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keitimai\2016-2018 SVP keitimas\2016-XX-XX keitimas T-XX\SPRENDIMAS\"/>
    </mc:Choice>
  </mc:AlternateContent>
  <bookViews>
    <workbookView xWindow="480" yWindow="180" windowWidth="20730" windowHeight="11760"/>
  </bookViews>
  <sheets>
    <sheet name="13 programa" sheetId="1" r:id="rId1"/>
    <sheet name="Aiskinamasis" sheetId="3" state="hidden" r:id="rId2"/>
    <sheet name="Lyginamasis variantas" sheetId="4" state="hidden" r:id="rId3"/>
  </sheets>
  <definedNames>
    <definedName name="_xlnm.Print_Area" localSheetId="0">'13 programa'!$A$1:$N$101</definedName>
    <definedName name="_xlnm.Print_Area" localSheetId="2">'Lyginamasis variantas'!$A$1:$M$95</definedName>
    <definedName name="_xlnm.Print_Titles" localSheetId="0">'13 programa'!$5:$7</definedName>
    <definedName name="_xlnm.Print_Titles" localSheetId="2">'Lyginamasis variantas'!$6:$8</definedName>
  </definedNames>
  <calcPr calcId="162913"/>
</workbook>
</file>

<file path=xl/calcChain.xml><?xml version="1.0" encoding="utf-8"?>
<calcChain xmlns="http://schemas.openxmlformats.org/spreadsheetml/2006/main">
  <c r="H34" i="1" l="1"/>
  <c r="H23" i="1"/>
  <c r="H22" i="1"/>
  <c r="H19" i="1"/>
  <c r="I34" i="4"/>
  <c r="J34" i="4" s="1"/>
  <c r="J24" i="4"/>
  <c r="I24" i="4"/>
  <c r="J23" i="4"/>
  <c r="I23" i="4"/>
  <c r="J20" i="4"/>
  <c r="I20" i="4"/>
  <c r="H47" i="4"/>
  <c r="H46" i="4"/>
  <c r="H78" i="4"/>
  <c r="H76" i="4"/>
  <c r="H74" i="4"/>
  <c r="H71" i="4"/>
  <c r="H67" i="4"/>
  <c r="H68" i="4" s="1"/>
  <c r="H40" i="4"/>
  <c r="H44" i="4" s="1"/>
  <c r="H48" i="1" l="1"/>
  <c r="J48" i="1"/>
  <c r="I48" i="1"/>
  <c r="J68" i="4"/>
  <c r="J67" i="4"/>
  <c r="I67" i="4"/>
  <c r="I46" i="4"/>
  <c r="J45" i="4" l="1"/>
  <c r="J46" i="4" s="1"/>
  <c r="H40" i="1"/>
  <c r="I40" i="4"/>
  <c r="J40" i="4" s="1"/>
  <c r="I85" i="4" l="1"/>
  <c r="H85" i="4"/>
  <c r="H89" i="1"/>
  <c r="I83" i="1"/>
  <c r="J83" i="1"/>
  <c r="J78" i="4"/>
  <c r="J77" i="4"/>
  <c r="I78" i="4"/>
  <c r="H80" i="1"/>
  <c r="I44" i="4" l="1"/>
  <c r="J43" i="4"/>
  <c r="J44" i="4" l="1"/>
  <c r="J85" i="4"/>
  <c r="J19" i="4"/>
  <c r="J22" i="4"/>
  <c r="J28" i="4"/>
  <c r="J31" i="4"/>
  <c r="J32" i="4" l="1"/>
  <c r="H66" i="4" l="1"/>
  <c r="H63" i="4"/>
  <c r="H61" i="4"/>
  <c r="H58" i="4"/>
  <c r="H55" i="4"/>
  <c r="H53" i="4"/>
  <c r="H51" i="4"/>
  <c r="H39" i="4"/>
  <c r="H37" i="4"/>
  <c r="H31" i="4"/>
  <c r="H28" i="4"/>
  <c r="H22" i="4"/>
  <c r="H19" i="4"/>
  <c r="I94" i="4"/>
  <c r="H94" i="4"/>
  <c r="I93" i="4"/>
  <c r="H93" i="4"/>
  <c r="J92" i="4"/>
  <c r="I92" i="4"/>
  <c r="H92" i="4"/>
  <c r="I90" i="4"/>
  <c r="H90" i="4"/>
  <c r="I89" i="4"/>
  <c r="H89" i="4"/>
  <c r="J88" i="4"/>
  <c r="I88" i="4"/>
  <c r="H88" i="4"/>
  <c r="I87" i="4"/>
  <c r="H87" i="4"/>
  <c r="J86" i="4"/>
  <c r="I86" i="4"/>
  <c r="H86" i="4"/>
  <c r="H84" i="4" s="1"/>
  <c r="I76" i="4"/>
  <c r="I74" i="4"/>
  <c r="J71" i="4"/>
  <c r="J79" i="4" s="1"/>
  <c r="I71" i="4"/>
  <c r="I68" i="4"/>
  <c r="I66" i="4"/>
  <c r="I63" i="4"/>
  <c r="I61" i="4"/>
  <c r="J58" i="4"/>
  <c r="I58" i="4"/>
  <c r="I55" i="4"/>
  <c r="I53" i="4"/>
  <c r="J53" i="4"/>
  <c r="J51" i="4"/>
  <c r="I51" i="4"/>
  <c r="J39" i="4"/>
  <c r="I39" i="4"/>
  <c r="I37" i="4"/>
  <c r="I47" i="4" s="1"/>
  <c r="J37" i="4"/>
  <c r="J47" i="4" s="1"/>
  <c r="I31" i="4"/>
  <c r="J93" i="4"/>
  <c r="I28" i="4"/>
  <c r="J89" i="4"/>
  <c r="I22" i="4"/>
  <c r="I19" i="4"/>
  <c r="H32" i="4" l="1"/>
  <c r="I32" i="4"/>
  <c r="I80" i="4" s="1"/>
  <c r="I81" i="4" s="1"/>
  <c r="I79" i="4"/>
  <c r="H79" i="4"/>
  <c r="H80" i="4" s="1"/>
  <c r="H81" i="4" s="1"/>
  <c r="I91" i="4"/>
  <c r="I84" i="4"/>
  <c r="H91" i="4"/>
  <c r="J87" i="4"/>
  <c r="J94" i="4"/>
  <c r="J91" i="4" s="1"/>
  <c r="J90" i="4"/>
  <c r="I95" i="4" l="1"/>
  <c r="J80" i="4"/>
  <c r="J81" i="4" s="1"/>
  <c r="H95" i="4"/>
  <c r="J84" i="4"/>
  <c r="J95" i="4" s="1"/>
  <c r="H31" i="1" l="1"/>
  <c r="J93" i="1" l="1"/>
  <c r="I93" i="1"/>
  <c r="H93" i="1"/>
  <c r="J91" i="1"/>
  <c r="I91" i="1"/>
  <c r="H91" i="1"/>
  <c r="H27" i="1"/>
  <c r="H18" i="1"/>
  <c r="J97" i="1" l="1"/>
  <c r="I97" i="1"/>
  <c r="H97" i="1"/>
  <c r="H55" i="1" l="1"/>
  <c r="O69" i="3" l="1"/>
  <c r="O71" i="3" s="1"/>
  <c r="L71" i="3"/>
  <c r="L69" i="3"/>
  <c r="Q106" i="3"/>
  <c r="P106" i="3"/>
  <c r="L106" i="3"/>
  <c r="Q105" i="3"/>
  <c r="P105" i="3"/>
  <c r="L105" i="3"/>
  <c r="K105" i="3"/>
  <c r="J105" i="3"/>
  <c r="Q104" i="3"/>
  <c r="Q103" i="3" s="1"/>
  <c r="P104" i="3"/>
  <c r="P103" i="3" s="1"/>
  <c r="L104" i="3"/>
  <c r="L103" i="3" s="1"/>
  <c r="K104" i="3"/>
  <c r="J104" i="3"/>
  <c r="Q102" i="3"/>
  <c r="P102" i="3"/>
  <c r="L102" i="3"/>
  <c r="Q101" i="3"/>
  <c r="J101" i="3"/>
  <c r="Q100" i="3"/>
  <c r="P100" i="3"/>
  <c r="K100" i="3"/>
  <c r="J100" i="3"/>
  <c r="Q99" i="3"/>
  <c r="P99" i="3"/>
  <c r="L99" i="3"/>
  <c r="K99" i="3"/>
  <c r="J99" i="3"/>
  <c r="Q98" i="3"/>
  <c r="P98" i="3"/>
  <c r="L98" i="3"/>
  <c r="K98" i="3"/>
  <c r="J98" i="3"/>
  <c r="Q97" i="3"/>
  <c r="P97" i="3"/>
  <c r="K97" i="3"/>
  <c r="J97" i="3"/>
  <c r="N88" i="3"/>
  <c r="M88" i="3"/>
  <c r="Q87" i="3"/>
  <c r="O87" i="3"/>
  <c r="L87" i="3"/>
  <c r="K86" i="3"/>
  <c r="K102" i="3" s="1"/>
  <c r="J86" i="3"/>
  <c r="J102" i="3" s="1"/>
  <c r="K85" i="3"/>
  <c r="J85" i="3"/>
  <c r="O83" i="3"/>
  <c r="L83" i="3"/>
  <c r="L88" i="3" s="1"/>
  <c r="K83" i="3"/>
  <c r="J83" i="3"/>
  <c r="O80" i="3"/>
  <c r="L80" i="3"/>
  <c r="K80" i="3"/>
  <c r="J80" i="3"/>
  <c r="Q77" i="3"/>
  <c r="P77" i="3"/>
  <c r="L77" i="3"/>
  <c r="O76" i="3"/>
  <c r="O77" i="3" s="1"/>
  <c r="O74" i="3"/>
  <c r="L74" i="3"/>
  <c r="O72" i="3"/>
  <c r="P101" i="3"/>
  <c r="L68" i="3"/>
  <c r="K68" i="3"/>
  <c r="J68" i="3"/>
  <c r="O66" i="3"/>
  <c r="O68" i="3" s="1"/>
  <c r="P65" i="3"/>
  <c r="L65" i="3"/>
  <c r="K65" i="3"/>
  <c r="J65" i="3"/>
  <c r="O63" i="3"/>
  <c r="O65" i="3" s="1"/>
  <c r="Q62" i="3"/>
  <c r="P62" i="3"/>
  <c r="O62" i="3"/>
  <c r="L62" i="3"/>
  <c r="K62" i="3"/>
  <c r="J62" i="3"/>
  <c r="P58" i="3"/>
  <c r="L58" i="3"/>
  <c r="K58" i="3"/>
  <c r="J58" i="3"/>
  <c r="O57" i="3"/>
  <c r="O58" i="3" s="1"/>
  <c r="Q56" i="3"/>
  <c r="P56" i="3"/>
  <c r="K56" i="3"/>
  <c r="J56" i="3"/>
  <c r="Q53" i="3"/>
  <c r="P53" i="3"/>
  <c r="O53" i="3"/>
  <c r="L53" i="3"/>
  <c r="K53" i="3"/>
  <c r="J53" i="3"/>
  <c r="Q48" i="3"/>
  <c r="P48" i="3"/>
  <c r="P49" i="3" s="1"/>
  <c r="O48" i="3"/>
  <c r="O49" i="3" s="1"/>
  <c r="N48" i="3"/>
  <c r="M48" i="3"/>
  <c r="L48" i="3"/>
  <c r="Q44" i="3"/>
  <c r="P44" i="3"/>
  <c r="O44" i="3"/>
  <c r="N44" i="3"/>
  <c r="K44" i="3"/>
  <c r="J44" i="3"/>
  <c r="M43" i="3"/>
  <c r="M44" i="3" s="1"/>
  <c r="L43" i="3"/>
  <c r="L44" i="3" s="1"/>
  <c r="Q42" i="3"/>
  <c r="P42" i="3"/>
  <c r="O42" i="3"/>
  <c r="N42" i="3"/>
  <c r="M42" i="3"/>
  <c r="K42" i="3"/>
  <c r="J42" i="3"/>
  <c r="J49" i="3" s="1"/>
  <c r="L37" i="3"/>
  <c r="L101" i="3" s="1"/>
  <c r="K37" i="3"/>
  <c r="K101" i="3" s="1"/>
  <c r="K34" i="3"/>
  <c r="J34" i="3"/>
  <c r="Q31" i="3"/>
  <c r="P31" i="3"/>
  <c r="O31" i="3"/>
  <c r="N31" i="3"/>
  <c r="L31" i="3"/>
  <c r="K31" i="3"/>
  <c r="J31" i="3"/>
  <c r="M29" i="3"/>
  <c r="M31" i="3" s="1"/>
  <c r="Q27" i="3"/>
  <c r="P27" i="3"/>
  <c r="O27" i="3"/>
  <c r="O35" i="3" s="1"/>
  <c r="N27" i="3"/>
  <c r="M27" i="3"/>
  <c r="K27" i="3"/>
  <c r="J27" i="3"/>
  <c r="L24" i="3"/>
  <c r="L100" i="3" s="1"/>
  <c r="Q22" i="3"/>
  <c r="P22" i="3"/>
  <c r="N22" i="3"/>
  <c r="M22" i="3"/>
  <c r="L22" i="3" s="1"/>
  <c r="K22" i="3"/>
  <c r="J22" i="3"/>
  <c r="Q19" i="3"/>
  <c r="P19" i="3"/>
  <c r="M19" i="3"/>
  <c r="L19" i="3" s="1"/>
  <c r="K19" i="3"/>
  <c r="J19" i="3"/>
  <c r="L13" i="3"/>
  <c r="L97" i="3" s="1"/>
  <c r="N35" i="3" l="1"/>
  <c r="J35" i="3"/>
  <c r="Q88" i="3"/>
  <c r="L35" i="3"/>
  <c r="P35" i="3"/>
  <c r="K35" i="3"/>
  <c r="K49" i="3"/>
  <c r="Q49" i="3"/>
  <c r="J87" i="3"/>
  <c r="J88" i="3" s="1"/>
  <c r="J89" i="3" s="1"/>
  <c r="J90" i="3" s="1"/>
  <c r="Q96" i="3"/>
  <c r="Q35" i="3"/>
  <c r="L27" i="3"/>
  <c r="L42" i="3"/>
  <c r="N49" i="3"/>
  <c r="K88" i="3"/>
  <c r="K87" i="3"/>
  <c r="M49" i="3"/>
  <c r="N89" i="3"/>
  <c r="N90" i="3" s="1"/>
  <c r="O88" i="3"/>
  <c r="O89" i="3" s="1"/>
  <c r="O90" i="3" s="1"/>
  <c r="L49" i="3"/>
  <c r="L96" i="3"/>
  <c r="L107" i="3" s="1"/>
  <c r="K96" i="3"/>
  <c r="K89" i="3"/>
  <c r="K90" i="3" s="1"/>
  <c r="J96" i="3"/>
  <c r="Q107" i="3"/>
  <c r="M89" i="3"/>
  <c r="M90" i="3" s="1"/>
  <c r="P96" i="3"/>
  <c r="P107" i="3" s="1"/>
  <c r="M35" i="3"/>
  <c r="J106" i="3"/>
  <c r="J103" i="3" s="1"/>
  <c r="P88" i="3"/>
  <c r="P89" i="3" s="1"/>
  <c r="P90" i="3" s="1"/>
  <c r="K106" i="3"/>
  <c r="K103" i="3" s="1"/>
  <c r="Q89" i="3" l="1"/>
  <c r="Q90" i="3" s="1"/>
  <c r="Q109" i="3" s="1"/>
  <c r="L89" i="3"/>
  <c r="L90" i="3" s="1"/>
  <c r="L109" i="3" s="1"/>
  <c r="K107" i="3"/>
  <c r="K109" i="3" s="1"/>
  <c r="P109" i="3"/>
  <c r="J107" i="3"/>
  <c r="J109" i="3" s="1"/>
  <c r="H68" i="1" l="1"/>
  <c r="J98" i="1" l="1"/>
  <c r="I98" i="1"/>
  <c r="H98" i="1"/>
  <c r="J96" i="1"/>
  <c r="I96" i="1"/>
  <c r="H96" i="1"/>
  <c r="J94" i="1"/>
  <c r="I94" i="1"/>
  <c r="H94" i="1"/>
  <c r="J92" i="1"/>
  <c r="I92" i="1"/>
  <c r="H92" i="1"/>
  <c r="J90" i="1"/>
  <c r="I90" i="1"/>
  <c r="H90" i="1"/>
  <c r="J89" i="1"/>
  <c r="I89" i="1"/>
  <c r="J82" i="1"/>
  <c r="H78" i="1"/>
  <c r="H76" i="1"/>
  <c r="J73" i="1"/>
  <c r="I73" i="1"/>
  <c r="H73" i="1"/>
  <c r="H70" i="1"/>
  <c r="H83" i="1" s="1"/>
  <c r="H65" i="1"/>
  <c r="I63" i="1"/>
  <c r="H63" i="1"/>
  <c r="J60" i="1"/>
  <c r="I60" i="1"/>
  <c r="H60" i="1"/>
  <c r="I57" i="1"/>
  <c r="H57" i="1"/>
  <c r="J55" i="1"/>
  <c r="I55" i="1"/>
  <c r="J53" i="1"/>
  <c r="I53" i="1"/>
  <c r="H53" i="1"/>
  <c r="J46" i="1"/>
  <c r="I46" i="1"/>
  <c r="H46" i="1"/>
  <c r="J39" i="1"/>
  <c r="I39" i="1"/>
  <c r="H39" i="1"/>
  <c r="J37" i="1"/>
  <c r="I37" i="1"/>
  <c r="H37" i="1"/>
  <c r="H49" i="1" s="1"/>
  <c r="J31" i="1"/>
  <c r="I31" i="1"/>
  <c r="J27" i="1"/>
  <c r="I27" i="1"/>
  <c r="J21" i="1"/>
  <c r="I21" i="1"/>
  <c r="H21" i="1"/>
  <c r="J18" i="1"/>
  <c r="I18" i="1"/>
  <c r="H95" i="1" l="1"/>
  <c r="H88" i="1"/>
  <c r="J32" i="1"/>
  <c r="I49" i="1"/>
  <c r="J49" i="1"/>
  <c r="I88" i="1"/>
  <c r="J88" i="1"/>
  <c r="J95" i="1"/>
  <c r="H32" i="1"/>
  <c r="I32" i="1"/>
  <c r="I95" i="1"/>
  <c r="J84" i="1" l="1"/>
  <c r="J85" i="1" s="1"/>
  <c r="I84" i="1"/>
  <c r="I85" i="1" s="1"/>
  <c r="H99" i="1"/>
  <c r="J99" i="1"/>
  <c r="I99" i="1"/>
  <c r="H84" i="1"/>
  <c r="H85" i="1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52" authorId="0" shapeId="0">
      <text>
        <r>
          <rPr>
            <sz val="9"/>
            <color indexed="81"/>
            <rFont val="Tahoma"/>
            <family val="2"/>
            <charset val="186"/>
          </rPr>
          <t xml:space="preserve">Renovuoti savivaldybės sveikatos priežiūros įstaigų pastatus, patalpas, inžinerinius tinklus bei įrenginius
</t>
        </r>
      </text>
    </comment>
    <comment ref="E67" authorId="0" shapeId="0">
      <text>
        <r>
          <rPr>
            <sz val="9"/>
            <color indexed="81"/>
            <rFont val="Tahoma"/>
            <family val="2"/>
            <charset val="186"/>
          </rPr>
          <t xml:space="preserve">"Atnaujinti savivaldybės sveikatos priežiūros įstaigų medicinos technologijų bazę"
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186"/>
          </rPr>
          <t xml:space="preserve">"Užtikrinti greitosios medicinos pagalbos operatyvumą ir kokybę"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</authors>
  <commentLis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186"/>
          </rPr>
          <t xml:space="preserve">Tiesiogiai stebimas trumpo gydymo kursas (anglų k. – directly observed treatment short course (sutr. DOTS) – Pasaulio sveikatos organizacijos patvirtinta strategija, kurią Pasaulio bankas įvardijo kaip vieną iš ekonomiškai efektyviausių tuberkuliozės kontrolės priemonių, leidžiančių pasiekti geriausių tuberkuliozės (toliau – TB) gydymo rezultatų 
</t>
        </r>
      </text>
    </comment>
  </commentList>
</comments>
</file>

<file path=xl/sharedStrings.xml><?xml version="1.0" encoding="utf-8"?>
<sst xmlns="http://schemas.openxmlformats.org/spreadsheetml/2006/main" count="958" uniqueCount="212">
  <si>
    <t xml:space="preserve"> 2016–2018 M. KLAIPĖDOS MIESTO SAVIVALDYBĖS</t>
  </si>
  <si>
    <t>SVEIKATOS APSAUGOS PROGRAMOS (NR. 13)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</si>
  <si>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</si>
  <si>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</si>
  <si>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</si>
  <si>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</si>
  <si>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</si>
  <si>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</si>
  <si>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</si>
  <si>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</si>
  <si>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</si>
  <si>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2016-ųjų metų asignavimų planas</t>
  </si>
  <si>
    <t>2017-ųjų metų lėšų projektas</t>
  </si>
  <si>
    <t>2018-ųjų metų lėšų projektas</t>
  </si>
  <si>
    <t>Produkto kriterijus</t>
  </si>
  <si>
    <t>2016 m.</t>
  </si>
  <si>
    <t>2017 m.</t>
  </si>
  <si>
    <t>2018 m.</t>
  </si>
  <si>
    <t>Strateginis tikslas 03. Užtikrinti gyventojams aukštą švietimo, kultūros, socialinių, sporto ir sveikatos apsaugos paslaugų kokybę ir prieinamumą</t>
  </si>
  <si>
    <t>13 Sveikatos apsaugos programa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</si>
  <si>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</si>
  <si>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</si>
  <si>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</si>
  <si>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</si>
  <si>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 xml:space="preserve"> 1.2.2.5</t>
  </si>
  <si>
    <t>07</t>
  </si>
  <si>
    <t>3</t>
  </si>
  <si>
    <t>SB</t>
  </si>
  <si>
    <t>Visuomenės sveikatos rėmimo specialiosios programos įgyvendinimas, proc.</t>
  </si>
  <si>
    <t>Užkrečiamųjų ligų prevencija</t>
  </si>
  <si>
    <t xml:space="preserve"> 1.2.2.4</t>
  </si>
  <si>
    <t>SB(AA)</t>
  </si>
  <si>
    <t>Vaikų sveikatos gerinimas</t>
  </si>
  <si>
    <t>Saugios bendruomenės organizavimas ir užtikrinimas</t>
  </si>
  <si>
    <t>1.2.2.3</t>
  </si>
  <si>
    <t>Sveikos gyvensenos (subalansuotos mitybos, fizinio aktyvumo) formavimas</t>
  </si>
  <si>
    <t>Visuomenės informavimas sveikatos klausimais</t>
  </si>
  <si>
    <t>Sveikatinimo projektų rėmimas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</si>
  <si>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</si>
  <si>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</si>
  <si>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</si>
  <si>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</si>
  <si>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</si>
  <si>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</si>
  <si>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</si>
  <si>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</si>
  <si>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Visuomenės sveikatos priežiūros paslaugų, teikiamų Klaipėdos miesto bendruomenei, padidėjimas, proc.</t>
  </si>
  <si>
    <t>Įsigyta kompiuterių, vnt.</t>
  </si>
  <si>
    <t>04</t>
  </si>
  <si>
    <t>Įsigyta kompiuterių / programinės įrangos, vnt.</t>
  </si>
  <si>
    <t>1/1</t>
  </si>
  <si>
    <t>Įrengta patalpų, proc.</t>
  </si>
  <si>
    <t>Suteikta konsultacijų, skaičius</t>
  </si>
  <si>
    <t>Iš viso uždaviniui:</t>
  </si>
  <si>
    <t>Užtikrinti asmens sveikatos priežiūros paslaugų teikimą</t>
  </si>
  <si>
    <t>BĮ Klaipėdos sutrikusio vystymosi kūdikių namų išlaikymas ir veiklos organizavimas</t>
  </si>
  <si>
    <t>55</t>
  </si>
  <si>
    <t>Vidutinis ankstyvosios reabilitacijos procedūrų, individualių programų skaičius 1 vaikui</t>
  </si>
  <si>
    <t>65</t>
  </si>
  <si>
    <t>66</t>
  </si>
  <si>
    <t>PSDF</t>
  </si>
  <si>
    <t>50</t>
  </si>
  <si>
    <t>Įsigytas automobilis, vnt.</t>
  </si>
  <si>
    <t>8</t>
  </si>
  <si>
    <t>Gerosios ir blogosios patirties analizės ir stebėsenos tarpinstitucinės sistemos, paremtos sveikatos priežiūros paslaugų organizavimo kokybės vertinimo kriterijais, taikymas sveikatos sektoriuje</t>
  </si>
  <si>
    <t xml:space="preserve">1.2.1.1, 1.2.1.4.     </t>
  </si>
  <si>
    <t xml:space="preserve">Atliktas tyrimas, vnt.
</t>
  </si>
  <si>
    <t>1</t>
  </si>
  <si>
    <t>Sukurta vertinimo sistema</t>
  </si>
  <si>
    <t>Sukurta analizės ir stebėsenos sistema</t>
  </si>
  <si>
    <t>5</t>
  </si>
  <si>
    <t>Modernizuoti sveikatos priežiūros įstaigų infrastruktūrą</t>
  </si>
  <si>
    <t xml:space="preserve">I  </t>
  </si>
  <si>
    <t>Įsigyta įranga, proc.</t>
  </si>
  <si>
    <t>Kt</t>
  </si>
  <si>
    <t xml:space="preserve">Atlikta rekonstrukcijos darbų, proc. </t>
  </si>
  <si>
    <t>Įsigyta medicinos įrangos, vnt.</t>
  </si>
  <si>
    <t>VšĮ Klaipėdos universitetinės ligoninės (Liepojos g. 41) I korpuso renovacija</t>
  </si>
  <si>
    <t>Rekonstrukcijos užbaigtumas, proc.</t>
  </si>
  <si>
    <r>
      <t xml:space="preserve">Pastato Taikos pr. 76 modernizavimas </t>
    </r>
    <r>
      <rPr>
        <sz val="10"/>
        <rFont val="Times New Roman"/>
        <family val="1"/>
        <charset val="186"/>
      </rPr>
      <t>(šilumos centro renovacija, pastato lauko sienų apšiltinimas, laiptinių remontas)</t>
    </r>
  </si>
  <si>
    <t>Atliktas energetinis auditas</t>
  </si>
  <si>
    <t>Parengtas techninis projektas</t>
  </si>
  <si>
    <t>Atlikta modernizacija, proc.</t>
  </si>
  <si>
    <t>05</t>
  </si>
  <si>
    <t xml:space="preserve">Viešosios įstaigos Klaipėdos medicininės slaugos ligoninės paliatyviosios pagalbos korpuso pritaikymas neįgaliųjų poreikiams ir įrangos įsigijimas </t>
  </si>
  <si>
    <t>Įrengtas liftas, vnt.</t>
  </si>
  <si>
    <t>Įsigyta įrangos,proc.</t>
  </si>
  <si>
    <t>06</t>
  </si>
  <si>
    <t xml:space="preserve">Parengtas techninis projektas, vnt.  </t>
  </si>
  <si>
    <t>Kompiuterinio tomografo įsigijimas VšĮ Klaipėdos vaikų ligoninėje</t>
  </si>
  <si>
    <t>Įsigytas kompiuterinis tomografas</t>
  </si>
  <si>
    <t>08</t>
  </si>
  <si>
    <t>VšĮ Klaipėdos greitosios medicinos pagalbos stoties sanitarinio transporto atnaujinimas</t>
  </si>
  <si>
    <t xml:space="preserve">Įsigytas greitosios pagalbos automobilis, vnt. </t>
  </si>
  <si>
    <t>09</t>
  </si>
  <si>
    <t>Pirminės sveikatos priežiūros paslaugų prieinamumo gerinimas VšĮ Jūrininkų sveikatos priežiūros centre, įrengiant liftą</t>
  </si>
  <si>
    <t>10</t>
  </si>
  <si>
    <t>Atliktas remontas, proc.</t>
  </si>
  <si>
    <t>11</t>
  </si>
  <si>
    <t>Pastato stogo Pievų Tako g. 38 remontas</t>
  </si>
  <si>
    <t>Suremontuotas stogas, proc.</t>
  </si>
  <si>
    <t>Keleivinio lifto įrengimas pastate Pievų Tako g. 38</t>
  </si>
  <si>
    <t>Įrengtas liftas</t>
  </si>
  <si>
    <t>Iš viso tikslui:</t>
  </si>
  <si>
    <t>13</t>
  </si>
  <si>
    <t xml:space="preserve">Iš viso  programai: </t>
  </si>
  <si>
    <t>Finansavimo šaltinių suvestinė</t>
  </si>
  <si>
    <t>Finansavimo šaltiniai</t>
  </si>
  <si>
    <t>2016 m. asignavimų planas</t>
  </si>
  <si>
    <t>2017 m. lėšų projektas</t>
  </si>
  <si>
    <t>2018 m. lėšų projektas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</si>
  <si>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</si>
  <si>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</si>
  <si>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</si>
  <si>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</si>
  <si>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</si>
  <si>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</si>
  <si>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</si>
  <si>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</si>
  <si>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</si>
  <si>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</si>
  <si>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Informacinių pranešimų skaičius</t>
  </si>
  <si>
    <t>Išlaikomas darbuotojo etatas projekto „Jaunimui palankių sveikatos priežiūros paslaugų teikimo modelio diegimas Klaipėdos miesto savivaldybėje“ tęstinumui užtikrinti</t>
  </si>
  <si>
    <t>12</t>
  </si>
  <si>
    <t>Suorganizuota konferencijų, skaičius</t>
  </si>
  <si>
    <t>Vaikų, gavusių ankstyvosios reabilitacijos paslaugas, skaičius</t>
  </si>
  <si>
    <t xml:space="preserve">Projekto „Jaunimui palankių sveikatos priežiūros paslaugų teikimo modelio diegimas Klaipėdos miesto savivaldybėje“ įgyvendinimas </t>
  </si>
  <si>
    <t>Apgyvendinta vaikų, skaičius</t>
  </si>
  <si>
    <t xml:space="preserve">Atokvėpio paslaugos teikimas šeimoms, auginančioms vaiką su negalia (BĮ Klaipėdos sutrikusio vystymosi kūdikių namuose) </t>
  </si>
  <si>
    <r>
      <t xml:space="preserve">Viešosios įstaigos Klaipėdos universitetinės ligoninės centrinio korpuso operacinės rekonstrukcija </t>
    </r>
    <r>
      <rPr>
        <sz val="10"/>
        <rFont val="Times New Roman"/>
        <family val="1"/>
        <charset val="186"/>
      </rPr>
      <t>Liepojos g. 41, Klaipėda</t>
    </r>
  </si>
  <si>
    <t>Administracinės paskirties pastato J. Karoso g. 12, Klaipėda, rekonstravimas į gydymo paskirties pastatą (techninio projekto parengimas)</t>
  </si>
  <si>
    <t xml:space="preserve">Psichikos sveikatos centro Narkomanų detoksikacijos skyriaus Galinio Pylimo g. 3, Klaipėdoje, remontas 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</si>
  <si>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</si>
  <si>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r>
      <t>Klaipėdos universitetinės ligoninės dezinfekcijos sterilizacijos proceso modernizavimas</t>
    </r>
    <r>
      <rPr>
        <sz val="10"/>
        <rFont val="Times New Roman"/>
        <family val="1"/>
        <charset val="186"/>
      </rPr>
      <t xml:space="preserve"> Liepojos g. 39</t>
    </r>
  </si>
  <si>
    <t>Aiškinamojo rašto priedas Nr.3</t>
  </si>
  <si>
    <t xml:space="preserve"> 2015–2018 M. KLAIPĖDOS MIESTO SAVIVALDYBĖS</t>
  </si>
  <si>
    <t xml:space="preserve"> TIKSLŲ, UŽDAVINIŲ, PRIEMONIŲ, PRIEMONIŲ IŠLAIDŲ IR PRODUKTO KRITERIJŲ DETALI SUVESTINĖ</t>
  </si>
  <si>
    <t>Eur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</si>
  <si>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</si>
  <si>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Vykdytojas (skyrius / asmuo)</t>
  </si>
  <si>
    <t>2015 m. patvirtintas asignavimų planas**</t>
  </si>
  <si>
    <t>2015 m. asignavimų plano pakeitimas***</t>
  </si>
  <si>
    <t>Lėšų poreikis biudžetiniams 2016-iesiems metams</t>
  </si>
  <si>
    <t>2017-ųjų metų lėšų poreikis</t>
  </si>
  <si>
    <t>2018-ųjų metų lėšų poreikis</t>
  </si>
  <si>
    <t>Iš viso</t>
  </si>
  <si>
    <t>Išlaidoms</t>
  </si>
  <si>
    <t>Turtui įsigyti ir finansiniams įsipareigojimams vykdyti</t>
  </si>
  <si>
    <t>Iš jų darbo užmokesčiui</t>
  </si>
  <si>
    <t>Sveikatos apsaugos skyrius</t>
  </si>
  <si>
    <t>SB(AAL)</t>
  </si>
  <si>
    <t>Visuomenės sveikatos priežiūros paslaugų, teikiamų Klaipėdos miesto bendruomenei, padidėjimas (proc.)</t>
  </si>
  <si>
    <t>Projekto „Jaunimui palankių sveikatos priežiūros paslaugų teikimo modelio diegimas Klaipėdos miesto savivaldybėje“ įgyvendinimas</t>
  </si>
  <si>
    <t>Patalpų įrengimas, proc.</t>
  </si>
  <si>
    <t>Suteiktų konsultacijų skaičius</t>
  </si>
  <si>
    <t>URBACT projekto „Sveikas senėjimas“  įgyvendinimas</t>
  </si>
  <si>
    <t>ES</t>
  </si>
  <si>
    <t>Apgyvendintų vaikų, skaičius</t>
  </si>
  <si>
    <t>Lovadienių skaičius</t>
  </si>
  <si>
    <t>20075</t>
  </si>
  <si>
    <t xml:space="preserve">Paskiepyta vaikų, proc.                          </t>
  </si>
  <si>
    <t>100</t>
  </si>
  <si>
    <t xml:space="preserve">Vietų atokvėpio paslaugai teikti skaičius </t>
  </si>
  <si>
    <t>Organizuota patirties sklaidos renginių, skaičius</t>
  </si>
  <si>
    <t>IED Projektų skyrius</t>
  </si>
  <si>
    <r>
      <t xml:space="preserve">Klaipėdos universitetinės ligoninės dezinfekcijos sterilizacijos proceso modernizavimas </t>
    </r>
    <r>
      <rPr>
        <sz val="10"/>
        <rFont val="Times New Roman"/>
        <family val="1"/>
        <charset val="186"/>
      </rPr>
      <t>Liepojos g. 39</t>
    </r>
  </si>
  <si>
    <t>Ūkio skyrius</t>
  </si>
  <si>
    <t>IED Statybos ir infrastrukt. plėtros skyrius</t>
  </si>
  <si>
    <t>Statybos ir infrastruktūros plėtros skyrius</t>
  </si>
  <si>
    <t>Paprastojo remonto darbų užbaigtumas, proc.</t>
  </si>
  <si>
    <t>PF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</si>
  <si>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</si>
  <si>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** pagal Klaipėdos miesto savivaldybės tarybos 2015 m. vasario 19 d. sprendimą Nr. T2-12</t>
  </si>
  <si>
    <t>** pagal Klaipėdos miesto savivaldybės tarybos 2015 m. spalio 29 d. sprendimą Nr. T2-265</t>
  </si>
  <si>
    <t>2015 m. plano pakeitimas***</t>
  </si>
  <si>
    <t>Lėšų poreikis 2016 m.</t>
  </si>
  <si>
    <t>2017 m. poreikis</t>
  </si>
  <si>
    <t>2018 m. poreikis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</si>
  <si>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</si>
  <si>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</si>
  <si>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LRVB</t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</si>
  <si>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</si>
  <si>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SB(SPL)</t>
  </si>
  <si>
    <r>
      <t xml:space="preserve">Pajamos už atsitiktines paslaugasir įmokos už apgyvendinimą įstaigoje likutis </t>
    </r>
    <r>
      <rPr>
        <b/>
        <sz val="10"/>
        <rFont val="Times New Roman"/>
        <family val="1"/>
        <charset val="186"/>
      </rPr>
      <t>SB(SPL)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</si>
  <si>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</si>
  <si>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t>Pirminės sveikatos priežiūros paslaugų organizavimo kokybės ir darbo sąlygų pagerinimo optimaliai panaudojant esamas patalpas galimybių  studijos parengimas</t>
  </si>
  <si>
    <t>Parengta galimybių studija, vnt.</t>
  </si>
  <si>
    <t>Galimybių studijų ir tyrimų parengimas:</t>
  </si>
  <si>
    <t xml:space="preserve">5 </t>
  </si>
  <si>
    <t>1.2.3.3</t>
  </si>
  <si>
    <t xml:space="preserve">1.2.3.3 </t>
  </si>
  <si>
    <t>1.2.3.2, 1.2.3.3</t>
  </si>
  <si>
    <r>
      <t>Administracinės paskirties pastato J. Karoso g. 12, Klaipėda, rekonstravimas į gydymo paskirties pastatą</t>
    </r>
    <r>
      <rPr>
        <sz val="10"/>
        <rFont val="Times New Roman"/>
        <family val="1"/>
        <charset val="186"/>
      </rPr>
      <t xml:space="preserve"> (techninio projekto parengimas)</t>
    </r>
  </si>
  <si>
    <t>1.2.3.2</t>
  </si>
  <si>
    <t xml:space="preserve">1.2.3.1  </t>
  </si>
  <si>
    <t>Lyginamasis variantas</t>
  </si>
  <si>
    <t>Siūlomas keisti 2016-ųjų m. asignavimų planas</t>
  </si>
  <si>
    <t>Skirtumas</t>
  </si>
  <si>
    <t xml:space="preserve"> </t>
  </si>
  <si>
    <t>Siūlomas keisti asignavimų planas</t>
  </si>
  <si>
    <t>Valstybės biudžeto lėšos LRVB</t>
  </si>
  <si>
    <t>PAAIŠKINIMAI</t>
  </si>
  <si>
    <t>1.3.3.3</t>
  </si>
  <si>
    <t>Įsigyta įrangos, proc.</t>
  </si>
  <si>
    <t>Viešųjų sveikatos įstaigų teritorijų tvarkymas</t>
  </si>
  <si>
    <t>6</t>
  </si>
  <si>
    <t xml:space="preserve">Tiesiogiai stebimo trumpo gydymo kurso (DOTS) kabineto paslaugų organizavimas </t>
  </si>
  <si>
    <t>Lankytojų skaičius</t>
  </si>
  <si>
    <t>30</t>
  </si>
  <si>
    <r>
      <t>Suremontuota kelio dangos, m</t>
    </r>
    <r>
      <rPr>
        <vertAlign val="superscript"/>
        <sz val="10"/>
        <rFont val="Times New Roman"/>
        <family val="1"/>
        <charset val="186"/>
      </rPr>
      <t>2</t>
    </r>
  </si>
  <si>
    <t>Siūloma padidinti finansavimo apimtį šiai priemonei  dėl šių padidintos valstybės dotacijos minimaliai mėnesinei algai (SAM 2016-09-30 įsakymas Nr.V-1131)</t>
  </si>
  <si>
    <t>Siūloma padidinti finansavimo apimtį šiai priemonei  dėl šių padidintos valstybės dotacijos minimaliai mėnesinei algai (SAM 2016-09-20 įsakymas Nr.V-1093)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</si>
</sst>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u/>
      <sz val="10"/>
      <name val="Times New Roman"/>
      <family val="1"/>
    </font>
    <font>
      <sz val="10"/>
      <color theme="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vertAlign val="superscript"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5">
    <xf numFmtId="0" fontId="0" fillId="0" borderId="0" xfId="0"/>
    <xf numFmtId="0" fontId="2" fillId="0" borderId="0" xfId="0" applyFont="1"/>
    <xf numFmtId="49" fontId="5" fillId="4" borderId="2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center" textRotation="90" wrapText="1"/>
    </xf>
    <xf numFmtId="0" fontId="1" fillId="0" borderId="28" xfId="0" applyFont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33" xfId="0" applyFont="1" applyBorder="1" applyAlignment="1">
      <alignment horizontal="center" vertical="top"/>
    </xf>
    <xf numFmtId="164" fontId="1" fillId="7" borderId="32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0" fontId="2" fillId="0" borderId="0" xfId="0" applyFont="1" applyBorder="1"/>
    <xf numFmtId="0" fontId="1" fillId="0" borderId="11" xfId="0" applyFont="1" applyFill="1" applyBorder="1" applyAlignment="1">
      <alignment vertical="top" wrapText="1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/>
    </xf>
    <xf numFmtId="164" fontId="1" fillId="7" borderId="35" xfId="0" applyNumberFormat="1" applyFont="1" applyFill="1" applyBorder="1" applyAlignment="1">
      <alignment horizontal="center" vertical="top"/>
    </xf>
    <xf numFmtId="164" fontId="1" fillId="7" borderId="50" xfId="0" applyNumberFormat="1" applyFont="1" applyFill="1" applyBorder="1" applyAlignment="1">
      <alignment horizontal="center" vertical="top" wrapText="1"/>
    </xf>
    <xf numFmtId="164" fontId="1" fillId="7" borderId="50" xfId="0" applyNumberFormat="1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7" borderId="53" xfId="0" applyFont="1" applyFill="1" applyBorder="1" applyAlignment="1">
      <alignment horizontal="center" vertical="top"/>
    </xf>
    <xf numFmtId="164" fontId="1" fillId="7" borderId="33" xfId="0" applyNumberFormat="1" applyFont="1" applyFill="1" applyBorder="1" applyAlignment="1">
      <alignment horizontal="center" vertical="top" wrapText="1"/>
    </xf>
    <xf numFmtId="164" fontId="1" fillId="7" borderId="33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164" fontId="1" fillId="7" borderId="56" xfId="0" applyNumberFormat="1" applyFont="1" applyFill="1" applyBorder="1" applyAlignment="1">
      <alignment horizontal="center" vertical="top"/>
    </xf>
    <xf numFmtId="164" fontId="1" fillId="7" borderId="57" xfId="0" applyNumberFormat="1" applyFont="1" applyFill="1" applyBorder="1" applyAlignment="1">
      <alignment horizontal="center" vertical="top" wrapText="1"/>
    </xf>
    <xf numFmtId="49" fontId="5" fillId="4" borderId="37" xfId="0" applyNumberFormat="1" applyFont="1" applyFill="1" applyBorder="1" applyAlignment="1">
      <alignment vertical="top"/>
    </xf>
    <xf numFmtId="49" fontId="5" fillId="5" borderId="16" xfId="0" applyNumberFormat="1" applyFont="1" applyFill="1" applyBorder="1" applyAlignment="1">
      <alignment vertical="top"/>
    </xf>
    <xf numFmtId="0" fontId="3" fillId="8" borderId="4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64" fontId="1" fillId="7" borderId="4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59" xfId="0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49" fontId="5" fillId="5" borderId="60" xfId="0" applyNumberFormat="1" applyFont="1" applyFill="1" applyBorder="1" applyAlignment="1">
      <alignment horizontal="center" vertical="top"/>
    </xf>
    <xf numFmtId="164" fontId="3" fillId="5" borderId="20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164" fontId="3" fillId="5" borderId="24" xfId="0" applyNumberFormat="1" applyFont="1" applyFill="1" applyBorder="1" applyAlignment="1">
      <alignment horizontal="center" vertical="top"/>
    </xf>
    <xf numFmtId="0" fontId="2" fillId="0" borderId="44" xfId="0" applyFont="1" applyBorder="1"/>
    <xf numFmtId="49" fontId="5" fillId="5" borderId="61" xfId="0" applyNumberFormat="1" applyFont="1" applyFill="1" applyBorder="1" applyAlignment="1">
      <alignment horizontal="center" vertical="top"/>
    </xf>
    <xf numFmtId="49" fontId="5" fillId="4" borderId="27" xfId="0" applyNumberFormat="1" applyFont="1" applyFill="1" applyBorder="1" applyAlignment="1">
      <alignment vertical="top"/>
    </xf>
    <xf numFmtId="49" fontId="5" fillId="5" borderId="4" xfId="0" applyNumberFormat="1" applyFont="1" applyFill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/>
    </xf>
    <xf numFmtId="0" fontId="1" fillId="0" borderId="57" xfId="0" applyFont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right" vertical="top" wrapText="1"/>
    </xf>
    <xf numFmtId="164" fontId="1" fillId="7" borderId="2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47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7" borderId="27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164" fontId="1" fillId="6" borderId="1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vertical="top" wrapText="1"/>
    </xf>
    <xf numFmtId="49" fontId="4" fillId="0" borderId="54" xfId="0" applyNumberFormat="1" applyFont="1" applyFill="1" applyBorder="1" applyAlignment="1">
      <alignment vertical="top"/>
    </xf>
    <xf numFmtId="49" fontId="4" fillId="0" borderId="55" xfId="0" applyNumberFormat="1" applyFont="1" applyFill="1" applyBorder="1" applyAlignment="1">
      <alignment vertical="top"/>
    </xf>
    <xf numFmtId="49" fontId="4" fillId="0" borderId="55" xfId="0" applyNumberFormat="1" applyFont="1" applyFill="1" applyBorder="1" applyAlignment="1">
      <alignment horizontal="center" vertical="top"/>
    </xf>
    <xf numFmtId="165" fontId="4" fillId="6" borderId="42" xfId="0" applyNumberFormat="1" applyFont="1" applyFill="1" applyBorder="1" applyAlignment="1">
      <alignment horizontal="center" vertical="top" wrapText="1"/>
    </xf>
    <xf numFmtId="164" fontId="1" fillId="6" borderId="27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center" vertical="top" wrapText="1"/>
    </xf>
    <xf numFmtId="164" fontId="1" fillId="6" borderId="47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40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/>
    </xf>
    <xf numFmtId="165" fontId="4" fillId="6" borderId="56" xfId="0" applyNumberFormat="1" applyFont="1" applyFill="1" applyBorder="1" applyAlignment="1">
      <alignment horizontal="center" vertical="top" wrapText="1"/>
    </xf>
    <xf numFmtId="164" fontId="1" fillId="6" borderId="8" xfId="0" applyNumberFormat="1" applyFont="1" applyFill="1" applyBorder="1" applyAlignment="1">
      <alignment horizontal="center" vertical="top" wrapText="1"/>
    </xf>
    <xf numFmtId="164" fontId="1" fillId="6" borderId="57" xfId="0" applyNumberFormat="1" applyFont="1" applyFill="1" applyBorder="1" applyAlignment="1">
      <alignment horizontal="center" vertical="top" wrapText="1"/>
    </xf>
    <xf numFmtId="164" fontId="1" fillId="6" borderId="64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/>
    <xf numFmtId="164" fontId="3" fillId="8" borderId="14" xfId="0" applyNumberFormat="1" applyFont="1" applyFill="1" applyBorder="1" applyAlignment="1">
      <alignment horizontal="center" vertical="top" wrapText="1"/>
    </xf>
    <xf numFmtId="164" fontId="3" fillId="8" borderId="38" xfId="0" applyNumberFormat="1" applyFont="1" applyFill="1" applyBorder="1" applyAlignment="1">
      <alignment horizontal="center" vertical="top" wrapText="1"/>
    </xf>
    <xf numFmtId="164" fontId="3" fillId="8" borderId="6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/>
    <xf numFmtId="165" fontId="4" fillId="0" borderId="6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/>
    </xf>
    <xf numFmtId="165" fontId="4" fillId="0" borderId="33" xfId="0" applyNumberFormat="1" applyFont="1" applyFill="1" applyBorder="1" applyAlignment="1">
      <alignment horizontal="center" vertical="top" wrapText="1"/>
    </xf>
    <xf numFmtId="164" fontId="1" fillId="0" borderId="32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165" fontId="4" fillId="7" borderId="28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65" fontId="4" fillId="7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left" vertical="top" wrapText="1"/>
    </xf>
    <xf numFmtId="164" fontId="3" fillId="8" borderId="12" xfId="0" applyNumberFormat="1" applyFont="1" applyFill="1" applyBorder="1" applyAlignment="1">
      <alignment horizontal="center" vertical="top" wrapText="1"/>
    </xf>
    <xf numFmtId="164" fontId="3" fillId="8" borderId="12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37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3" fillId="0" borderId="57" xfId="0" applyNumberFormat="1" applyFont="1" applyFill="1" applyBorder="1" applyAlignment="1">
      <alignment horizontal="center" vertical="top"/>
    </xf>
    <xf numFmtId="165" fontId="4" fillId="7" borderId="6" xfId="0" applyNumberFormat="1" applyFont="1" applyFill="1" applyBorder="1" applyAlignment="1">
      <alignment horizontal="center" vertical="top" wrapText="1"/>
    </xf>
    <xf numFmtId="165" fontId="4" fillId="0" borderId="68" xfId="0" applyNumberFormat="1" applyFont="1" applyFill="1" applyBorder="1" applyAlignment="1">
      <alignment horizontal="center" vertical="top" wrapText="1"/>
    </xf>
    <xf numFmtId="164" fontId="1" fillId="0" borderId="29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4" fontId="1" fillId="0" borderId="57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/>
    </xf>
    <xf numFmtId="165" fontId="4" fillId="0" borderId="57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4" fillId="0" borderId="47" xfId="0" applyNumberFormat="1" applyFont="1" applyFill="1" applyBorder="1" applyAlignment="1">
      <alignment horizontal="center" vertical="top" wrapText="1"/>
    </xf>
    <xf numFmtId="49" fontId="5" fillId="4" borderId="24" xfId="0" applyNumberFormat="1" applyFont="1" applyFill="1" applyBorder="1" applyAlignment="1">
      <alignment horizontal="center" vertical="top" wrapText="1"/>
    </xf>
    <xf numFmtId="164" fontId="3" fillId="5" borderId="20" xfId="0" applyNumberFormat="1" applyFont="1" applyFill="1" applyBorder="1" applyAlignment="1">
      <alignment horizontal="center" vertical="top" wrapText="1"/>
    </xf>
    <xf numFmtId="164" fontId="3" fillId="4" borderId="20" xfId="0" applyNumberFormat="1" applyFont="1" applyFill="1" applyBorder="1" applyAlignment="1">
      <alignment horizontal="center" vertical="top"/>
    </xf>
    <xf numFmtId="49" fontId="5" fillId="3" borderId="24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3" fillId="3" borderId="8" xfId="0" applyNumberFormat="1" applyFont="1" applyFill="1" applyBorder="1" applyAlignment="1">
      <alignment horizontal="center" vertical="top" wrapText="1"/>
    </xf>
    <xf numFmtId="164" fontId="3" fillId="3" borderId="5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0" fontId="4" fillId="7" borderId="0" xfId="0" applyFont="1" applyFill="1" applyAlignment="1">
      <alignment vertical="top"/>
    </xf>
    <xf numFmtId="164" fontId="1" fillId="7" borderId="8" xfId="0" applyNumberFormat="1" applyFont="1" applyFill="1" applyBorder="1" applyAlignment="1">
      <alignment horizontal="center" vertical="top" wrapText="1"/>
    </xf>
    <xf numFmtId="165" fontId="1" fillId="7" borderId="0" xfId="0" applyNumberFormat="1" applyFont="1" applyFill="1" applyBorder="1" applyAlignment="1">
      <alignment vertical="top" wrapText="1"/>
    </xf>
    <xf numFmtId="165" fontId="3" fillId="7" borderId="0" xfId="0" applyNumberFormat="1" applyFont="1" applyFill="1" applyBorder="1" applyAlignment="1">
      <alignment horizontal="center" vertical="top" wrapText="1"/>
    </xf>
    <xf numFmtId="0" fontId="2" fillId="7" borderId="0" xfId="0" applyFont="1" applyFill="1"/>
    <xf numFmtId="0" fontId="4" fillId="6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vertical="top"/>
    </xf>
    <xf numFmtId="0" fontId="1" fillId="7" borderId="12" xfId="0" applyFont="1" applyFill="1" applyBorder="1" applyAlignment="1">
      <alignment horizontal="center" vertical="top"/>
    </xf>
    <xf numFmtId="0" fontId="4" fillId="7" borderId="42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49" fontId="5" fillId="4" borderId="30" xfId="0" applyNumberFormat="1" applyFont="1" applyFill="1" applyBorder="1" applyAlignment="1">
      <alignment vertical="top"/>
    </xf>
    <xf numFmtId="49" fontId="5" fillId="6" borderId="31" xfId="0" applyNumberFormat="1" applyFont="1" applyFill="1" applyBorder="1" applyAlignment="1">
      <alignment vertical="top"/>
    </xf>
    <xf numFmtId="49" fontId="5" fillId="6" borderId="40" xfId="0" applyNumberFormat="1" applyFont="1" applyFill="1" applyBorder="1" applyAlignment="1">
      <alignment vertical="top"/>
    </xf>
    <xf numFmtId="49" fontId="5" fillId="6" borderId="25" xfId="0" applyNumberFormat="1" applyFont="1" applyFill="1" applyBorder="1" applyAlignment="1">
      <alignment vertical="top"/>
    </xf>
    <xf numFmtId="0" fontId="11" fillId="0" borderId="0" xfId="0" applyFont="1"/>
    <xf numFmtId="49" fontId="3" fillId="4" borderId="23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/>
    </xf>
    <xf numFmtId="49" fontId="3" fillId="5" borderId="25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horizontal="center" vertical="top"/>
    </xf>
    <xf numFmtId="49" fontId="3" fillId="5" borderId="40" xfId="0" applyNumberFormat="1" applyFont="1" applyFill="1" applyBorder="1" applyAlignment="1">
      <alignment horizontal="center" vertical="top"/>
    </xf>
    <xf numFmtId="49" fontId="3" fillId="4" borderId="37" xfId="0" applyNumberFormat="1" applyFont="1" applyFill="1" applyBorder="1" applyAlignment="1">
      <alignment horizontal="center" vertical="top"/>
    </xf>
    <xf numFmtId="0" fontId="1" fillId="7" borderId="54" xfId="0" applyFont="1" applyFill="1" applyBorder="1" applyAlignment="1">
      <alignment horizontal="center" vertical="top" wrapText="1"/>
    </xf>
    <xf numFmtId="0" fontId="1" fillId="7" borderId="55" xfId="0" applyFont="1" applyFill="1" applyBorder="1" applyAlignment="1">
      <alignment horizontal="center" vertical="top" wrapText="1"/>
    </xf>
    <xf numFmtId="49" fontId="3" fillId="4" borderId="37" xfId="0" applyNumberFormat="1" applyFont="1" applyFill="1" applyBorder="1" applyAlignment="1">
      <alignment vertical="top"/>
    </xf>
    <xf numFmtId="49" fontId="3" fillId="5" borderId="16" xfId="0" applyNumberFormat="1" applyFont="1" applyFill="1" applyBorder="1" applyAlignment="1">
      <alignment vertical="top"/>
    </xf>
    <xf numFmtId="49" fontId="3" fillId="6" borderId="25" xfId="0" applyNumberFormat="1" applyFont="1" applyFill="1" applyBorder="1" applyAlignment="1">
      <alignment vertical="top"/>
    </xf>
    <xf numFmtId="49" fontId="3" fillId="4" borderId="20" xfId="0" applyNumberFormat="1" applyFont="1" applyFill="1" applyBorder="1" applyAlignment="1">
      <alignment horizontal="center" vertical="top"/>
    </xf>
    <xf numFmtId="49" fontId="3" fillId="5" borderId="60" xfId="0" applyNumberFormat="1" applyFont="1" applyFill="1" applyBorder="1" applyAlignment="1">
      <alignment horizontal="center" vertical="top"/>
    </xf>
    <xf numFmtId="49" fontId="3" fillId="5" borderId="61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vertical="top"/>
    </xf>
    <xf numFmtId="49" fontId="3" fillId="5" borderId="4" xfId="0" applyNumberFormat="1" applyFont="1" applyFill="1" applyBorder="1" applyAlignment="1">
      <alignment vertical="top"/>
    </xf>
    <xf numFmtId="49" fontId="3" fillId="6" borderId="40" xfId="0" applyNumberFormat="1" applyFont="1" applyFill="1" applyBorder="1" applyAlignment="1">
      <alignment vertical="top"/>
    </xf>
    <xf numFmtId="0" fontId="1" fillId="0" borderId="29" xfId="0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1" fontId="1" fillId="0" borderId="63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vertical="top"/>
    </xf>
    <xf numFmtId="49" fontId="3" fillId="5" borderId="10" xfId="0" applyNumberFormat="1" applyFont="1" applyFill="1" applyBorder="1" applyAlignment="1">
      <alignment vertical="top"/>
    </xf>
    <xf numFmtId="49" fontId="3" fillId="6" borderId="31" xfId="0" applyNumberFormat="1" applyFont="1" applyFill="1" applyBorder="1" applyAlignment="1">
      <alignment vertical="top"/>
    </xf>
    <xf numFmtId="0" fontId="1" fillId="0" borderId="56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64" xfId="0" applyNumberFormat="1" applyFont="1" applyFill="1" applyBorder="1" applyAlignment="1">
      <alignment horizontal="center" vertical="top"/>
    </xf>
    <xf numFmtId="0" fontId="1" fillId="0" borderId="45" xfId="0" applyFont="1" applyFill="1" applyBorder="1" applyAlignment="1">
      <alignment vertical="top" wrapText="1"/>
    </xf>
    <xf numFmtId="1" fontId="1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66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Alignment="1">
      <alignment horizontal="right" vertical="top"/>
    </xf>
    <xf numFmtId="164" fontId="1" fillId="7" borderId="0" xfId="0" applyNumberFormat="1" applyFont="1" applyFill="1" applyAlignment="1">
      <alignment horizontal="center" vertical="top"/>
    </xf>
    <xf numFmtId="164" fontId="1" fillId="7" borderId="0" xfId="0" applyNumberFormat="1" applyFont="1" applyFill="1" applyAlignment="1">
      <alignment vertical="top"/>
    </xf>
    <xf numFmtId="0" fontId="14" fillId="0" borderId="0" xfId="0" applyFont="1"/>
    <xf numFmtId="49" fontId="5" fillId="4" borderId="30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top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0" xfId="0" applyFont="1"/>
    <xf numFmtId="3" fontId="7" fillId="0" borderId="2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Fill="1" applyBorder="1" applyAlignment="1">
      <alignment horizontal="center" vertical="center" textRotation="90" wrapText="1"/>
    </xf>
    <xf numFmtId="49" fontId="5" fillId="4" borderId="23" xfId="0" applyNumberFormat="1" applyFont="1" applyFill="1" applyBorder="1" applyAlignment="1">
      <alignment horizontal="center" vertical="top" wrapText="1"/>
    </xf>
    <xf numFmtId="49" fontId="5" fillId="5" borderId="25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/>
    </xf>
    <xf numFmtId="3" fontId="1" fillId="7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/>
    </xf>
    <xf numFmtId="3" fontId="1" fillId="0" borderId="55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3" fontId="1" fillId="7" borderId="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/>
    </xf>
    <xf numFmtId="3" fontId="1" fillId="0" borderId="33" xfId="0" applyNumberFormat="1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 wrapText="1"/>
    </xf>
    <xf numFmtId="3" fontId="1" fillId="7" borderId="53" xfId="0" applyNumberFormat="1" applyFont="1" applyFill="1" applyBorder="1" applyAlignment="1">
      <alignment horizontal="center" vertical="top"/>
    </xf>
    <xf numFmtId="3" fontId="1" fillId="7" borderId="55" xfId="0" applyNumberFormat="1" applyFont="1" applyFill="1" applyBorder="1" applyAlignment="1">
      <alignment horizontal="center" vertical="top"/>
    </xf>
    <xf numFmtId="3" fontId="3" fillId="8" borderId="45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3" fontId="3" fillId="8" borderId="14" xfId="0" applyNumberFormat="1" applyFont="1" applyFill="1" applyBorder="1" applyAlignment="1">
      <alignment horizontal="center" vertical="top"/>
    </xf>
    <xf numFmtId="3" fontId="3" fillId="8" borderId="67" xfId="0" applyNumberFormat="1" applyFont="1" applyFill="1" applyBorder="1" applyAlignment="1">
      <alignment horizontal="center" vertical="top"/>
    </xf>
    <xf numFmtId="3" fontId="3" fillId="8" borderId="66" xfId="0" applyNumberFormat="1" applyFont="1" applyFill="1" applyBorder="1" applyAlignment="1">
      <alignment horizontal="center" vertical="top"/>
    </xf>
    <xf numFmtId="3" fontId="3" fillId="8" borderId="39" xfId="0" applyNumberFormat="1" applyFont="1" applyFill="1" applyBorder="1" applyAlignment="1">
      <alignment horizontal="center" vertical="top"/>
    </xf>
    <xf numFmtId="3" fontId="3" fillId="8" borderId="38" xfId="0" applyNumberFormat="1" applyFont="1" applyFill="1" applyBorder="1" applyAlignment="1">
      <alignment horizontal="center" vertical="top"/>
    </xf>
    <xf numFmtId="49" fontId="5" fillId="4" borderId="27" xfId="0" applyNumberFormat="1" applyFont="1" applyFill="1" applyBorder="1" applyAlignment="1">
      <alignment horizontal="center" vertical="top"/>
    </xf>
    <xf numFmtId="49" fontId="5" fillId="5" borderId="40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3" fontId="1" fillId="7" borderId="42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 wrapText="1"/>
    </xf>
    <xf numFmtId="49" fontId="5" fillId="5" borderId="31" xfId="0" applyNumberFormat="1" applyFont="1" applyFill="1" applyBorder="1" applyAlignment="1">
      <alignment horizontal="center" vertical="top"/>
    </xf>
    <xf numFmtId="3" fontId="1" fillId="7" borderId="56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0" borderId="44" xfId="0" applyNumberFormat="1" applyFont="1" applyFill="1" applyBorder="1" applyAlignment="1">
      <alignment horizontal="center" vertical="top"/>
    </xf>
    <xf numFmtId="49" fontId="5" fillId="4" borderId="37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center" textRotation="90" wrapText="1"/>
    </xf>
    <xf numFmtId="49" fontId="4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3" fontId="1" fillId="7" borderId="43" xfId="0" applyNumberFormat="1" applyFont="1" applyFill="1" applyBorder="1" applyAlignment="1">
      <alignment horizontal="center" vertical="top"/>
    </xf>
    <xf numFmtId="3" fontId="1" fillId="7" borderId="52" xfId="0" applyNumberFormat="1" applyFont="1" applyFill="1" applyBorder="1" applyAlignment="1">
      <alignment horizontal="center" vertical="top"/>
    </xf>
    <xf numFmtId="3" fontId="1" fillId="7" borderId="35" xfId="0" applyNumberFormat="1" applyFont="1" applyFill="1" applyBorder="1" applyAlignment="1">
      <alignment horizontal="center" vertical="top"/>
    </xf>
    <xf numFmtId="3" fontId="1" fillId="7" borderId="51" xfId="0" applyNumberFormat="1" applyFont="1" applyFill="1" applyBorder="1" applyAlignment="1">
      <alignment horizontal="center" vertical="top"/>
    </xf>
    <xf numFmtId="3" fontId="3" fillId="7" borderId="52" xfId="0" applyNumberFormat="1" applyFont="1" applyFill="1" applyBorder="1" applyAlignment="1">
      <alignment horizontal="center" vertical="top"/>
    </xf>
    <xf numFmtId="3" fontId="1" fillId="7" borderId="50" xfId="0" applyNumberFormat="1" applyFont="1" applyFill="1" applyBorder="1" applyAlignment="1">
      <alignment horizontal="center" vertical="top" wrapText="1"/>
    </xf>
    <xf numFmtId="3" fontId="1" fillId="7" borderId="5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top" wrapText="1"/>
    </xf>
    <xf numFmtId="49" fontId="5" fillId="4" borderId="35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vertical="center" textRotation="90" wrapText="1"/>
    </xf>
    <xf numFmtId="49" fontId="4" fillId="0" borderId="51" xfId="0" applyNumberFormat="1" applyFont="1" applyBorder="1" applyAlignment="1">
      <alignment vertical="top" wrapText="1"/>
    </xf>
    <xf numFmtId="49" fontId="3" fillId="0" borderId="52" xfId="0" applyNumberFormat="1" applyFont="1" applyBorder="1" applyAlignment="1">
      <alignment vertical="top"/>
    </xf>
    <xf numFmtId="49" fontId="7" fillId="0" borderId="50" xfId="0" applyNumberFormat="1" applyFont="1" applyBorder="1" applyAlignment="1">
      <alignment vertical="top" wrapText="1"/>
    </xf>
    <xf numFmtId="0" fontId="1" fillId="7" borderId="56" xfId="0" applyFont="1" applyFill="1" applyBorder="1" applyAlignment="1">
      <alignment horizontal="center" vertical="top"/>
    </xf>
    <xf numFmtId="3" fontId="1" fillId="7" borderId="57" xfId="0" applyNumberFormat="1" applyFont="1" applyFill="1" applyBorder="1" applyAlignment="1">
      <alignment horizontal="center" vertical="top" wrapText="1"/>
    </xf>
    <xf numFmtId="3" fontId="1" fillId="7" borderId="5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3" fontId="1" fillId="7" borderId="44" xfId="0" applyNumberFormat="1" applyFont="1" applyFill="1" applyBorder="1" applyAlignment="1">
      <alignment horizontal="center" vertical="top"/>
    </xf>
    <xf numFmtId="3" fontId="1" fillId="7" borderId="72" xfId="0" applyNumberFormat="1" applyFont="1" applyFill="1" applyBorder="1" applyAlignment="1">
      <alignment horizontal="center" vertical="top"/>
    </xf>
    <xf numFmtId="3" fontId="1" fillId="7" borderId="68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49" fontId="5" fillId="5" borderId="16" xfId="0" applyNumberFormat="1" applyFont="1" applyFill="1" applyBorder="1" applyAlignment="1">
      <alignment horizontal="center" vertical="top"/>
    </xf>
    <xf numFmtId="49" fontId="5" fillId="6" borderId="25" xfId="0" applyNumberFormat="1" applyFont="1" applyFill="1" applyBorder="1" applyAlignment="1">
      <alignment horizontal="center" vertical="top"/>
    </xf>
    <xf numFmtId="0" fontId="1" fillId="7" borderId="1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center" textRotation="90" wrapText="1"/>
    </xf>
    <xf numFmtId="49" fontId="4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/>
    </xf>
    <xf numFmtId="49" fontId="7" fillId="0" borderId="18" xfId="0" applyNumberFormat="1" applyFont="1" applyBorder="1" applyAlignment="1">
      <alignment vertical="top" wrapText="1"/>
    </xf>
    <xf numFmtId="3" fontId="1" fillId="7" borderId="41" xfId="0" applyNumberFormat="1" applyFont="1" applyFill="1" applyBorder="1" applyAlignment="1">
      <alignment horizontal="center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0" borderId="63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/>
    </xf>
    <xf numFmtId="3" fontId="1" fillId="0" borderId="49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/>
    </xf>
    <xf numFmtId="3" fontId="1" fillId="0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3" fillId="8" borderId="73" xfId="0" applyNumberFormat="1" applyFont="1" applyFill="1" applyBorder="1" applyAlignment="1">
      <alignment horizontal="center" vertical="top"/>
    </xf>
    <xf numFmtId="3" fontId="3" fillId="8" borderId="53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horizontal="center" vertical="top"/>
    </xf>
    <xf numFmtId="3" fontId="3" fillId="8" borderId="54" xfId="0" applyNumberFormat="1" applyFont="1" applyFill="1" applyBorder="1" applyAlignment="1">
      <alignment horizontal="center" vertical="top"/>
    </xf>
    <xf numFmtId="3" fontId="3" fillId="8" borderId="74" xfId="0" applyNumberFormat="1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1" fillId="6" borderId="53" xfId="0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49" fontId="5" fillId="4" borderId="20" xfId="0" applyNumberFormat="1" applyFont="1" applyFill="1" applyBorder="1" applyAlignment="1">
      <alignment horizontal="center" vertical="top"/>
    </xf>
    <xf numFmtId="3" fontId="3" fillId="5" borderId="21" xfId="0" applyNumberFormat="1" applyFont="1" applyFill="1" applyBorder="1" applyAlignment="1">
      <alignment horizontal="center" vertical="top"/>
    </xf>
    <xf numFmtId="3" fontId="3" fillId="5" borderId="75" xfId="0" applyNumberFormat="1" applyFont="1" applyFill="1" applyBorder="1" applyAlignment="1">
      <alignment horizontal="center" vertical="top"/>
    </xf>
    <xf numFmtId="3" fontId="3" fillId="5" borderId="24" xfId="0" applyNumberFormat="1" applyFont="1" applyFill="1" applyBorder="1" applyAlignment="1">
      <alignment horizontal="center" vertical="top"/>
    </xf>
    <xf numFmtId="3" fontId="3" fillId="5" borderId="76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3" fontId="3" fillId="5" borderId="62" xfId="0" applyNumberFormat="1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49" fontId="5" fillId="6" borderId="40" xfId="0" applyNumberFormat="1" applyFont="1" applyFill="1" applyBorder="1" applyAlignment="1">
      <alignment horizontal="center" vertical="top"/>
    </xf>
    <xf numFmtId="3" fontId="1" fillId="7" borderId="27" xfId="0" applyNumberFormat="1" applyFont="1" applyFill="1" applyBorder="1" applyAlignment="1">
      <alignment horizontal="center" vertical="top"/>
    </xf>
    <xf numFmtId="3" fontId="1" fillId="7" borderId="77" xfId="0" applyNumberFormat="1" applyFont="1" applyFill="1" applyBorder="1" applyAlignment="1">
      <alignment horizontal="center" vertical="top"/>
    </xf>
    <xf numFmtId="3" fontId="1" fillId="0" borderId="77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6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horizontal="center" vertical="top"/>
    </xf>
    <xf numFmtId="3" fontId="1" fillId="7" borderId="30" xfId="0" applyNumberFormat="1" applyFont="1" applyFill="1" applyBorder="1" applyAlignment="1">
      <alignment horizontal="center" vertical="top"/>
    </xf>
    <xf numFmtId="3" fontId="1" fillId="7" borderId="48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3" fontId="1" fillId="7" borderId="11" xfId="0" applyNumberFormat="1" applyFont="1" applyFill="1" applyBorder="1" applyAlignment="1">
      <alignment horizontal="center" vertical="top"/>
    </xf>
    <xf numFmtId="3" fontId="1" fillId="6" borderId="44" xfId="0" applyNumberFormat="1" applyFont="1" applyFill="1" applyBorder="1" applyAlignment="1">
      <alignment horizontal="center" vertical="top"/>
    </xf>
    <xf numFmtId="0" fontId="4" fillId="6" borderId="56" xfId="0" applyFont="1" applyFill="1" applyBorder="1" applyAlignment="1">
      <alignment vertical="top" wrapText="1"/>
    </xf>
    <xf numFmtId="49" fontId="4" fillId="6" borderId="9" xfId="0" applyNumberFormat="1" applyFont="1" applyFill="1" applyBorder="1" applyAlignment="1">
      <alignment horizontal="center" vertical="center"/>
    </xf>
    <xf numFmtId="49" fontId="4" fillId="6" borderId="78" xfId="0" applyNumberFormat="1" applyFont="1" applyFill="1" applyBorder="1" applyAlignment="1">
      <alignment horizontal="center" vertical="center"/>
    </xf>
    <xf numFmtId="49" fontId="4" fillId="6" borderId="6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4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4" fillId="0" borderId="56" xfId="0" applyFont="1" applyFill="1" applyBorder="1" applyAlignment="1">
      <alignment vertical="top" wrapText="1"/>
    </xf>
    <xf numFmtId="49" fontId="4" fillId="0" borderId="64" xfId="0" applyNumberFormat="1" applyFont="1" applyFill="1" applyBorder="1" applyAlignment="1">
      <alignment horizontal="center" vertical="top"/>
    </xf>
    <xf numFmtId="3" fontId="1" fillId="7" borderId="78" xfId="0" applyNumberFormat="1" applyFont="1" applyFill="1" applyBorder="1" applyAlignment="1">
      <alignment horizontal="center" vertical="top"/>
    </xf>
    <xf numFmtId="3" fontId="1" fillId="0" borderId="78" xfId="0" applyNumberFormat="1" applyFont="1" applyFill="1" applyBorder="1" applyAlignment="1">
      <alignment horizontal="center" vertical="top"/>
    </xf>
    <xf numFmtId="3" fontId="1" fillId="6" borderId="57" xfId="0" applyNumberFormat="1" applyFont="1" applyFill="1" applyBorder="1" applyAlignment="1">
      <alignment horizontal="center" vertical="top"/>
    </xf>
    <xf numFmtId="49" fontId="4" fillId="0" borderId="65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vertical="top" wrapText="1"/>
    </xf>
    <xf numFmtId="1" fontId="4" fillId="0" borderId="9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3" fontId="1" fillId="7" borderId="2" xfId="0" applyNumberFormat="1" applyFont="1" applyFill="1" applyBorder="1" applyAlignment="1">
      <alignment horizontal="center" vertical="top"/>
    </xf>
    <xf numFmtId="3" fontId="1" fillId="7" borderId="46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/>
    </xf>
    <xf numFmtId="3" fontId="1" fillId="6" borderId="12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/>
    </xf>
    <xf numFmtId="3" fontId="1" fillId="7" borderId="42" xfId="0" applyNumberFormat="1" applyFont="1" applyFill="1" applyBorder="1" applyAlignment="1">
      <alignment horizontal="center" vertical="top" wrapText="1"/>
    </xf>
    <xf numFmtId="3" fontId="1" fillId="7" borderId="5" xfId="0" applyNumberFormat="1" applyFont="1" applyFill="1" applyBorder="1" applyAlignment="1">
      <alignment horizontal="center" vertical="top" wrapText="1"/>
    </xf>
    <xf numFmtId="3" fontId="1" fillId="6" borderId="27" xfId="0" applyNumberFormat="1" applyFont="1" applyFill="1" applyBorder="1" applyAlignment="1">
      <alignment horizontal="center" vertical="top" wrapText="1"/>
    </xf>
    <xf numFmtId="3" fontId="1" fillId="6" borderId="4" xfId="0" applyNumberFormat="1" applyFont="1" applyFill="1" applyBorder="1" applyAlignment="1">
      <alignment horizontal="center" vertical="top" wrapText="1"/>
    </xf>
    <xf numFmtId="3" fontId="1" fillId="6" borderId="5" xfId="0" applyNumberFormat="1" applyFont="1" applyFill="1" applyBorder="1" applyAlignment="1">
      <alignment horizontal="center" vertical="top" wrapText="1"/>
    </xf>
    <xf numFmtId="3" fontId="1" fillId="6" borderId="6" xfId="0" applyNumberFormat="1" applyFont="1" applyFill="1" applyBorder="1" applyAlignment="1">
      <alignment horizontal="center" vertical="top" wrapText="1"/>
    </xf>
    <xf numFmtId="3" fontId="1" fillId="6" borderId="47" xfId="0" applyNumberFormat="1" applyFont="1" applyFill="1" applyBorder="1" applyAlignment="1">
      <alignment horizontal="center" vertical="top" wrapText="1"/>
    </xf>
    <xf numFmtId="3" fontId="1" fillId="7" borderId="56" xfId="0" applyNumberFormat="1" applyFont="1" applyFill="1" applyBorder="1" applyAlignment="1">
      <alignment horizontal="center" vertical="top" wrapText="1"/>
    </xf>
    <xf numFmtId="3" fontId="1" fillId="7" borderId="13" xfId="0" applyNumberFormat="1" applyFont="1" applyFill="1" applyBorder="1" applyAlignment="1">
      <alignment horizontal="center" vertical="top" wrapText="1"/>
    </xf>
    <xf numFmtId="3" fontId="1" fillId="6" borderId="8" xfId="0" applyNumberFormat="1" applyFont="1" applyFill="1" applyBorder="1" applyAlignment="1">
      <alignment horizontal="center" vertical="top" wrapText="1"/>
    </xf>
    <xf numFmtId="3" fontId="1" fillId="6" borderId="9" xfId="0" applyNumberFormat="1" applyFont="1" applyFill="1" applyBorder="1" applyAlignment="1">
      <alignment horizontal="center" vertical="top" wrapText="1"/>
    </xf>
    <xf numFmtId="3" fontId="1" fillId="6" borderId="13" xfId="0" applyNumberFormat="1" applyFont="1" applyFill="1" applyBorder="1" applyAlignment="1">
      <alignment horizontal="center" vertical="top" wrapText="1"/>
    </xf>
    <xf numFmtId="3" fontId="1" fillId="6" borderId="57" xfId="0" applyNumberFormat="1" applyFont="1" applyFill="1" applyBorder="1" applyAlignment="1">
      <alignment horizontal="center" vertical="top" wrapText="1"/>
    </xf>
    <xf numFmtId="3" fontId="1" fillId="6" borderId="64" xfId="0" applyNumberFormat="1" applyFont="1" applyFill="1" applyBorder="1" applyAlignment="1">
      <alignment horizontal="center" vertical="top" wrapText="1"/>
    </xf>
    <xf numFmtId="3" fontId="3" fillId="8" borderId="45" xfId="0" applyNumberFormat="1" applyFont="1" applyFill="1" applyBorder="1" applyAlignment="1">
      <alignment horizontal="center" vertical="top" wrapText="1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14" xfId="0" applyNumberFormat="1" applyFont="1" applyFill="1" applyBorder="1" applyAlignment="1">
      <alignment horizontal="center" vertical="top" wrapText="1"/>
    </xf>
    <xf numFmtId="3" fontId="3" fillId="8" borderId="15" xfId="0" applyNumberFormat="1" applyFont="1" applyFill="1" applyBorder="1" applyAlignment="1">
      <alignment horizontal="center" vertical="top" wrapText="1"/>
    </xf>
    <xf numFmtId="3" fontId="3" fillId="8" borderId="38" xfId="0" applyNumberFormat="1" applyFont="1" applyFill="1" applyBorder="1" applyAlignment="1">
      <alignment horizontal="center" vertical="top" wrapText="1"/>
    </xf>
    <xf numFmtId="3" fontId="3" fillId="8" borderId="66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center" vertical="top"/>
    </xf>
    <xf numFmtId="3" fontId="1" fillId="0" borderId="70" xfId="0" applyNumberFormat="1" applyFont="1" applyFill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top"/>
    </xf>
    <xf numFmtId="3" fontId="1" fillId="0" borderId="71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/>
    </xf>
    <xf numFmtId="3" fontId="3" fillId="0" borderId="44" xfId="0" applyNumberFormat="1" applyFont="1" applyFill="1" applyBorder="1" applyAlignment="1">
      <alignment horizontal="center" vertical="top"/>
    </xf>
    <xf numFmtId="3" fontId="3" fillId="8" borderId="36" xfId="0" applyNumberFormat="1" applyFont="1" applyFill="1" applyBorder="1" applyAlignment="1">
      <alignment horizontal="center" vertical="top"/>
    </xf>
    <xf numFmtId="3" fontId="3" fillId="0" borderId="54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 wrapText="1"/>
    </xf>
    <xf numFmtId="165" fontId="4" fillId="0" borderId="65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/>
    </xf>
    <xf numFmtId="3" fontId="3" fillId="0" borderId="7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 wrapText="1"/>
    </xf>
    <xf numFmtId="3" fontId="3" fillId="8" borderId="67" xfId="0" applyNumberFormat="1" applyFont="1" applyFill="1" applyBorder="1" applyAlignment="1">
      <alignment horizontal="center" vertical="top" wrapText="1"/>
    </xf>
    <xf numFmtId="3" fontId="3" fillId="8" borderId="39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3" fontId="3" fillId="0" borderId="57" xfId="0" applyNumberFormat="1" applyFont="1" applyFill="1" applyBorder="1" applyAlignment="1">
      <alignment horizontal="center" vertical="top"/>
    </xf>
    <xf numFmtId="3" fontId="3" fillId="7" borderId="4" xfId="0" applyNumberFormat="1" applyFont="1" applyFill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165" fontId="4" fillId="7" borderId="68" xfId="0" applyNumberFormat="1" applyFont="1" applyFill="1" applyBorder="1" applyAlignment="1">
      <alignment horizontal="center" vertical="top" wrapText="1"/>
    </xf>
    <xf numFmtId="0" fontId="5" fillId="7" borderId="66" xfId="0" applyFont="1" applyFill="1" applyBorder="1" applyAlignment="1">
      <alignment horizontal="right" vertical="top" wrapText="1"/>
    </xf>
    <xf numFmtId="3" fontId="1" fillId="7" borderId="6" xfId="0" applyNumberFormat="1" applyFont="1" applyFill="1" applyBorder="1" applyAlignment="1">
      <alignment horizontal="center" vertical="top"/>
    </xf>
    <xf numFmtId="3" fontId="1" fillId="0" borderId="79" xfId="0" applyNumberFormat="1" applyFont="1" applyFill="1" applyBorder="1" applyAlignment="1">
      <alignment horizontal="center" vertical="top"/>
    </xf>
    <xf numFmtId="165" fontId="4" fillId="0" borderId="49" xfId="0" applyNumberFormat="1" applyFont="1" applyFill="1" applyBorder="1" applyAlignment="1">
      <alignment horizontal="center" vertical="top" wrapText="1"/>
    </xf>
    <xf numFmtId="3" fontId="1" fillId="0" borderId="69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/>
    </xf>
    <xf numFmtId="3" fontId="3" fillId="5" borderId="20" xfId="0" applyNumberFormat="1" applyFont="1" applyFill="1" applyBorder="1" applyAlignment="1">
      <alignment horizontal="center" vertical="top" wrapText="1"/>
    </xf>
    <xf numFmtId="3" fontId="3" fillId="5" borderId="75" xfId="0" applyNumberFormat="1" applyFont="1" applyFill="1" applyBorder="1" applyAlignment="1">
      <alignment horizontal="center" vertical="top" wrapText="1"/>
    </xf>
    <xf numFmtId="3" fontId="3" fillId="5" borderId="60" xfId="0" applyNumberFormat="1" applyFont="1" applyFill="1" applyBorder="1" applyAlignment="1">
      <alignment horizontal="center" vertical="top" wrapText="1"/>
    </xf>
    <xf numFmtId="3" fontId="3" fillId="5" borderId="21" xfId="0" applyNumberFormat="1" applyFont="1" applyFill="1" applyBorder="1" applyAlignment="1">
      <alignment horizontal="center" vertical="top" wrapText="1"/>
    </xf>
    <xf numFmtId="3" fontId="3" fillId="4" borderId="20" xfId="0" applyNumberFormat="1" applyFont="1" applyFill="1" applyBorder="1" applyAlignment="1">
      <alignment horizontal="center" vertical="top"/>
    </xf>
    <xf numFmtId="3" fontId="3" fillId="4" borderId="75" xfId="0" applyNumberFormat="1" applyFont="1" applyFill="1" applyBorder="1" applyAlignment="1">
      <alignment horizontal="center" vertical="top"/>
    </xf>
    <xf numFmtId="3" fontId="3" fillId="4" borderId="60" xfId="0" applyNumberFormat="1" applyFont="1" applyFill="1" applyBorder="1" applyAlignment="1">
      <alignment horizontal="center" vertical="top"/>
    </xf>
    <xf numFmtId="3" fontId="3" fillId="4" borderId="21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75" xfId="0" applyNumberFormat="1" applyFont="1" applyFill="1" applyBorder="1" applyAlignment="1">
      <alignment horizontal="center" vertical="top"/>
    </xf>
    <xf numFmtId="3" fontId="3" fillId="3" borderId="60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29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79" xfId="0" applyNumberFormat="1" applyFont="1" applyBorder="1" applyAlignment="1">
      <alignment vertical="top" wrapText="1"/>
    </xf>
    <xf numFmtId="3" fontId="1" fillId="0" borderId="63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3" fillId="3" borderId="56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3" fontId="3" fillId="3" borderId="69" xfId="0" applyNumberFormat="1" applyFont="1" applyFill="1" applyBorder="1" applyAlignment="1">
      <alignment vertical="top" wrapText="1"/>
    </xf>
    <xf numFmtId="3" fontId="3" fillId="3" borderId="64" xfId="0" applyNumberFormat="1" applyFont="1" applyFill="1" applyBorder="1" applyAlignment="1">
      <alignment vertical="top" wrapText="1"/>
    </xf>
    <xf numFmtId="3" fontId="3" fillId="3" borderId="57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69" xfId="0" applyNumberFormat="1" applyFont="1" applyBorder="1" applyAlignment="1">
      <alignment vertical="top" wrapText="1"/>
    </xf>
    <xf numFmtId="3" fontId="1" fillId="0" borderId="64" xfId="0" applyNumberFormat="1" applyFont="1" applyBorder="1" applyAlignment="1">
      <alignment vertical="top" wrapText="1"/>
    </xf>
    <xf numFmtId="3" fontId="1" fillId="0" borderId="57" xfId="0" applyNumberFormat="1" applyFont="1" applyBorder="1" applyAlignment="1">
      <alignment horizontal="center" vertical="top" wrapText="1"/>
    </xf>
    <xf numFmtId="3" fontId="1" fillId="7" borderId="8" xfId="0" applyNumberFormat="1" applyFont="1" applyFill="1" applyBorder="1" applyAlignment="1">
      <alignment horizontal="center" vertical="top" wrapText="1"/>
    </xf>
    <xf numFmtId="3" fontId="1" fillId="7" borderId="69" xfId="0" applyNumberFormat="1" applyFont="1" applyFill="1" applyBorder="1" applyAlignment="1">
      <alignment vertical="top" wrapText="1"/>
    </xf>
    <xf numFmtId="3" fontId="1" fillId="7" borderId="64" xfId="0" applyNumberFormat="1" applyFont="1" applyFill="1" applyBorder="1" applyAlignment="1">
      <alignment vertical="top" wrapText="1"/>
    </xf>
    <xf numFmtId="0" fontId="4" fillId="7" borderId="0" xfId="0" applyFont="1" applyFill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3" fontId="3" fillId="8" borderId="39" xfId="0" applyNumberFormat="1" applyFont="1" applyFill="1" applyBorder="1" applyAlignment="1">
      <alignment vertical="top" wrapText="1"/>
    </xf>
    <xf numFmtId="3" fontId="3" fillId="8" borderId="66" xfId="0" applyNumberFormat="1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top"/>
    </xf>
    <xf numFmtId="3" fontId="1" fillId="0" borderId="29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0" borderId="63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164" fontId="6" fillId="0" borderId="4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top"/>
    </xf>
    <xf numFmtId="164" fontId="1" fillId="7" borderId="53" xfId="0" applyNumberFormat="1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 wrapText="1"/>
    </xf>
    <xf numFmtId="0" fontId="2" fillId="0" borderId="23" xfId="0" applyFont="1" applyBorder="1"/>
    <xf numFmtId="0" fontId="2" fillId="0" borderId="16" xfId="0" applyFont="1" applyBorder="1"/>
    <xf numFmtId="0" fontId="2" fillId="0" borderId="17" xfId="0" applyFont="1" applyBorder="1"/>
    <xf numFmtId="0" fontId="4" fillId="7" borderId="4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164" fontId="1" fillId="7" borderId="53" xfId="0" applyNumberFormat="1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164" fontId="1" fillId="6" borderId="56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49" fontId="4" fillId="0" borderId="51" xfId="0" applyNumberFormat="1" applyFont="1" applyFill="1" applyBorder="1" applyAlignment="1">
      <alignment horizontal="center" vertical="top"/>
    </xf>
    <xf numFmtId="0" fontId="2" fillId="0" borderId="3" xfId="0" applyFont="1" applyBorder="1"/>
    <xf numFmtId="0" fontId="14" fillId="0" borderId="0" xfId="0" applyFont="1" applyAlignment="1">
      <alignment horizontal="center"/>
    </xf>
    <xf numFmtId="165" fontId="1" fillId="0" borderId="2" xfId="0" applyNumberFormat="1" applyFont="1" applyFill="1" applyBorder="1" applyAlignment="1">
      <alignment horizontal="center" vertical="top" textRotation="90" wrapText="1"/>
    </xf>
    <xf numFmtId="165" fontId="3" fillId="0" borderId="14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>
      <alignment vertical="center" textRotation="90"/>
    </xf>
    <xf numFmtId="0" fontId="1" fillId="0" borderId="30" xfId="0" applyFont="1" applyBorder="1" applyAlignment="1">
      <alignment vertical="center" textRotation="90"/>
    </xf>
    <xf numFmtId="0" fontId="20" fillId="0" borderId="0" xfId="0" applyFont="1" applyAlignment="1">
      <alignment horizontal="center"/>
    </xf>
    <xf numFmtId="49" fontId="1" fillId="7" borderId="5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vertical="center" textRotation="90"/>
    </xf>
    <xf numFmtId="1" fontId="1" fillId="0" borderId="7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vertical="center" textRotation="90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3" fillId="0" borderId="37" xfId="0" applyFont="1" applyBorder="1" applyAlignment="1">
      <alignment vertical="center" textRotation="90"/>
    </xf>
    <xf numFmtId="0" fontId="3" fillId="8" borderId="18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" fontId="1" fillId="0" borderId="17" xfId="0" applyNumberFormat="1" applyFont="1" applyFill="1" applyBorder="1" applyAlignment="1">
      <alignment horizontal="center" vertical="top"/>
    </xf>
    <xf numFmtId="1" fontId="4" fillId="0" borderId="5" xfId="0" applyNumberFormat="1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2" xfId="0" applyFont="1" applyBorder="1"/>
    <xf numFmtId="0" fontId="2" fillId="0" borderId="7" xfId="0" applyFont="1" applyBorder="1"/>
    <xf numFmtId="164" fontId="1" fillId="0" borderId="0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164" fontId="1" fillId="6" borderId="42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64" fontId="1" fillId="6" borderId="56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center" vertical="top" wrapText="1"/>
    </xf>
    <xf numFmtId="164" fontId="3" fillId="8" borderId="45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5" fillId="8" borderId="6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center" textRotation="90" wrapText="1"/>
    </xf>
    <xf numFmtId="164" fontId="1" fillId="0" borderId="47" xfId="0" applyNumberFormat="1" applyFont="1" applyBorder="1" applyAlignment="1">
      <alignment horizontal="center" vertical="center" textRotation="90" wrapText="1"/>
    </xf>
    <xf numFmtId="0" fontId="20" fillId="0" borderId="0" xfId="0" applyFont="1"/>
    <xf numFmtId="0" fontId="3" fillId="0" borderId="5" xfId="0" applyFont="1" applyBorder="1" applyAlignment="1">
      <alignment vertical="top" wrapText="1"/>
    </xf>
    <xf numFmtId="0" fontId="1" fillId="6" borderId="47" xfId="0" applyFont="1" applyFill="1" applyBorder="1" applyAlignment="1">
      <alignment horizontal="left" vertical="top" wrapText="1"/>
    </xf>
    <xf numFmtId="0" fontId="1" fillId="6" borderId="49" xfId="0" applyFont="1" applyFill="1" applyBorder="1" applyAlignment="1">
      <alignment horizontal="left" vertical="top" wrapText="1"/>
    </xf>
    <xf numFmtId="0" fontId="1" fillId="6" borderId="5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63" xfId="0" applyFont="1" applyFill="1" applyBorder="1" applyAlignment="1">
      <alignment horizontal="left" vertical="top" wrapText="1"/>
    </xf>
    <xf numFmtId="0" fontId="1" fillId="7" borderId="49" xfId="0" applyFont="1" applyFill="1" applyBorder="1" applyAlignment="1">
      <alignment horizontal="left" vertical="top" wrapText="1"/>
    </xf>
    <xf numFmtId="0" fontId="1" fillId="7" borderId="58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65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vertical="top" wrapText="1"/>
    </xf>
    <xf numFmtId="0" fontId="4" fillId="7" borderId="47" xfId="0" applyFont="1" applyFill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165" fontId="4" fillId="0" borderId="47" xfId="0" applyNumberFormat="1" applyFont="1" applyFill="1" applyBorder="1" applyAlignment="1">
      <alignment horizontal="left" vertical="top" wrapText="1"/>
    </xf>
    <xf numFmtId="165" fontId="4" fillId="0" borderId="49" xfId="0" applyNumberFormat="1" applyFont="1" applyFill="1" applyBorder="1" applyAlignment="1">
      <alignment horizontal="left" vertical="top" wrapText="1"/>
    </xf>
    <xf numFmtId="165" fontId="4" fillId="0" borderId="58" xfId="0" applyNumberFormat="1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7" borderId="47" xfId="0" applyFont="1" applyFill="1" applyBorder="1" applyAlignment="1">
      <alignment horizontal="left" vertical="top" wrapText="1"/>
    </xf>
    <xf numFmtId="0" fontId="4" fillId="7" borderId="49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0" fontId="22" fillId="0" borderId="0" xfId="0" applyFont="1"/>
    <xf numFmtId="0" fontId="3" fillId="0" borderId="27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top" wrapText="1"/>
    </xf>
    <xf numFmtId="164" fontId="1" fillId="6" borderId="50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vertical="top" wrapText="1"/>
    </xf>
    <xf numFmtId="49" fontId="1" fillId="0" borderId="52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0" fontId="4" fillId="0" borderId="78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164" fontId="1" fillId="0" borderId="6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3" fillId="0" borderId="37" xfId="0" applyFont="1" applyBorder="1" applyAlignment="1">
      <alignment horizontal="center" vertical="center" textRotation="90"/>
    </xf>
    <xf numFmtId="0" fontId="1" fillId="0" borderId="12" xfId="0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top" wrapText="1"/>
    </xf>
    <xf numFmtId="49" fontId="5" fillId="6" borderId="10" xfId="0" applyNumberFormat="1" applyFont="1" applyFill="1" applyBorder="1" applyAlignment="1">
      <alignment vertical="top"/>
    </xf>
    <xf numFmtId="0" fontId="3" fillId="8" borderId="33" xfId="0" applyFont="1" applyFill="1" applyBorder="1" applyAlignment="1">
      <alignment horizontal="center" vertical="top" wrapText="1"/>
    </xf>
    <xf numFmtId="164" fontId="3" fillId="5" borderId="37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center" vertical="top"/>
    </xf>
    <xf numFmtId="49" fontId="3" fillId="4" borderId="35" xfId="0" applyNumberFormat="1" applyFont="1" applyFill="1" applyBorder="1" applyAlignment="1">
      <alignment vertical="top"/>
    </xf>
    <xf numFmtId="49" fontId="3" fillId="5" borderId="51" xfId="0" applyNumberFormat="1" applyFont="1" applyFill="1" applyBorder="1" applyAlignment="1">
      <alignment vertical="top"/>
    </xf>
    <xf numFmtId="49" fontId="3" fillId="6" borderId="71" xfId="0" applyNumberFormat="1" applyFont="1" applyFill="1" applyBorder="1" applyAlignment="1">
      <alignment vertical="top"/>
    </xf>
    <xf numFmtId="0" fontId="3" fillId="0" borderId="35" xfId="0" applyFont="1" applyBorder="1" applyAlignment="1">
      <alignment vertical="center" textRotation="90"/>
    </xf>
    <xf numFmtId="0" fontId="4" fillId="0" borderId="17" xfId="0" applyFont="1" applyFill="1" applyBorder="1" applyAlignment="1">
      <alignment horizontal="center" vertical="top"/>
    </xf>
    <xf numFmtId="0" fontId="1" fillId="0" borderId="80" xfId="0" applyFont="1" applyBorder="1" applyAlignment="1">
      <alignment vertical="center" textRotation="90"/>
    </xf>
    <xf numFmtId="0" fontId="3" fillId="8" borderId="33" xfId="0" applyFont="1" applyFill="1" applyBorder="1" applyAlignment="1">
      <alignment horizontal="right" vertical="top" wrapText="1"/>
    </xf>
    <xf numFmtId="164" fontId="3" fillId="8" borderId="32" xfId="0" applyNumberFormat="1" applyFont="1" applyFill="1" applyBorder="1" applyAlignment="1">
      <alignment horizontal="center" vertical="top"/>
    </xf>
    <xf numFmtId="0" fontId="1" fillId="0" borderId="77" xfId="0" applyFont="1" applyBorder="1" applyAlignment="1">
      <alignment vertical="center" textRotation="90"/>
    </xf>
    <xf numFmtId="0" fontId="4" fillId="0" borderId="77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/>
    </xf>
    <xf numFmtId="0" fontId="4" fillId="0" borderId="80" xfId="0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/>
    </xf>
    <xf numFmtId="49" fontId="3" fillId="6" borderId="31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 textRotation="90" wrapText="1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center" textRotation="90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center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49" fontId="5" fillId="4" borderId="30" xfId="0" applyNumberFormat="1" applyFont="1" applyFill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textRotation="90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164" fontId="3" fillId="5" borderId="23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0" fontId="1" fillId="0" borderId="49" xfId="0" applyFont="1" applyFill="1" applyBorder="1" applyAlignment="1">
      <alignment vertical="top" wrapText="1"/>
    </xf>
    <xf numFmtId="0" fontId="1" fillId="7" borderId="12" xfId="0" applyFont="1" applyFill="1" applyBorder="1" applyAlignment="1">
      <alignment horizontal="left" vertical="top" wrapText="1"/>
    </xf>
    <xf numFmtId="164" fontId="3" fillId="8" borderId="66" xfId="0" applyNumberFormat="1" applyFont="1" applyFill="1" applyBorder="1" applyAlignment="1">
      <alignment horizontal="center" vertical="top"/>
    </xf>
    <xf numFmtId="164" fontId="1" fillId="0" borderId="63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0" borderId="64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/>
    </xf>
    <xf numFmtId="164" fontId="1" fillId="7" borderId="47" xfId="0" applyNumberFormat="1" applyFont="1" applyFill="1" applyBorder="1" applyAlignment="1">
      <alignment horizontal="center" vertical="top"/>
    </xf>
    <xf numFmtId="164" fontId="3" fillId="5" borderId="21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 wrapText="1"/>
    </xf>
    <xf numFmtId="164" fontId="1" fillId="6" borderId="9" xfId="0" applyNumberFormat="1" applyFont="1" applyFill="1" applyBorder="1" applyAlignment="1">
      <alignment horizontal="center" vertical="top" wrapText="1"/>
    </xf>
    <xf numFmtId="164" fontId="3" fillId="8" borderId="1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3" fillId="5" borderId="60" xfId="0" applyNumberFormat="1" applyFont="1" applyFill="1" applyBorder="1" applyAlignment="1">
      <alignment horizontal="center" vertical="top" wrapText="1"/>
    </xf>
    <xf numFmtId="164" fontId="3" fillId="4" borderId="60" xfId="0" applyNumberFormat="1" applyFont="1" applyFill="1" applyBorder="1" applyAlignment="1">
      <alignment horizontal="center" vertical="top"/>
    </xf>
    <xf numFmtId="164" fontId="3" fillId="3" borderId="60" xfId="0" applyNumberFormat="1" applyFont="1" applyFill="1" applyBorder="1" applyAlignment="1">
      <alignment horizontal="center" vertical="top"/>
    </xf>
    <xf numFmtId="164" fontId="3" fillId="3" borderId="64" xfId="0" applyNumberFormat="1" applyFont="1" applyFill="1" applyBorder="1" applyAlignment="1">
      <alignment horizontal="center" vertical="top" wrapText="1"/>
    </xf>
    <xf numFmtId="164" fontId="1" fillId="0" borderId="64" xfId="0" applyNumberFormat="1" applyFont="1" applyBorder="1" applyAlignment="1">
      <alignment horizontal="center" vertical="top" wrapText="1"/>
    </xf>
    <xf numFmtId="164" fontId="1" fillId="7" borderId="64" xfId="0" applyNumberFormat="1" applyFont="1" applyFill="1" applyBorder="1" applyAlignment="1">
      <alignment horizontal="center" vertical="top" wrapText="1"/>
    </xf>
    <xf numFmtId="164" fontId="3" fillId="3" borderId="56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Border="1" applyAlignment="1">
      <alignment horizontal="center" vertical="top" wrapText="1"/>
    </xf>
    <xf numFmtId="164" fontId="1" fillId="7" borderId="56" xfId="0" applyNumberFormat="1" applyFont="1" applyFill="1" applyBorder="1" applyAlignment="1">
      <alignment horizontal="center" vertical="top" wrapText="1"/>
    </xf>
    <xf numFmtId="164" fontId="3" fillId="3" borderId="9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7" borderId="9" xfId="0" applyNumberFormat="1" applyFont="1" applyFill="1" applyBorder="1" applyAlignment="1">
      <alignment horizontal="center" vertical="top" wrapText="1"/>
    </xf>
    <xf numFmtId="164" fontId="1" fillId="6" borderId="42" xfId="0" applyNumberFormat="1" applyFont="1" applyFill="1" applyBorder="1" applyAlignment="1">
      <alignment horizontal="center" vertical="top"/>
    </xf>
    <xf numFmtId="164" fontId="1" fillId="6" borderId="43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1" fillId="6" borderId="44" xfId="0" applyNumberFormat="1" applyFont="1" applyFill="1" applyBorder="1" applyAlignment="1">
      <alignment horizontal="center" vertical="top"/>
    </xf>
    <xf numFmtId="164" fontId="21" fillId="0" borderId="47" xfId="0" applyNumberFormat="1" applyFont="1" applyFill="1" applyBorder="1" applyAlignment="1">
      <alignment horizontal="center" vertical="top"/>
    </xf>
    <xf numFmtId="164" fontId="1" fillId="6" borderId="68" xfId="0" applyNumberFormat="1" applyFont="1" applyFill="1" applyBorder="1" applyAlignment="1">
      <alignment horizontal="center" vertical="top"/>
    </xf>
    <xf numFmtId="164" fontId="3" fillId="8" borderId="80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21" fillId="6" borderId="4" xfId="0" applyNumberFormat="1" applyFont="1" applyFill="1" applyBorder="1" applyAlignment="1">
      <alignment horizontal="center" vertical="top"/>
    </xf>
    <xf numFmtId="164" fontId="1" fillId="6" borderId="9" xfId="0" applyNumberFormat="1" applyFont="1" applyFill="1" applyBorder="1" applyAlignment="1">
      <alignment horizontal="center" vertical="top"/>
    </xf>
    <xf numFmtId="164" fontId="1" fillId="6" borderId="51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/>
    </xf>
    <xf numFmtId="164" fontId="1" fillId="6" borderId="10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3" fillId="5" borderId="16" xfId="0" applyNumberFormat="1" applyFont="1" applyFill="1" applyBorder="1" applyAlignment="1">
      <alignment horizontal="center" vertical="top"/>
    </xf>
    <xf numFmtId="164" fontId="1" fillId="0" borderId="65" xfId="0" applyNumberFormat="1" applyFont="1" applyFill="1" applyBorder="1" applyAlignment="1">
      <alignment horizontal="center" vertical="top"/>
    </xf>
    <xf numFmtId="164" fontId="21" fillId="0" borderId="47" xfId="0" applyNumberFormat="1" applyFont="1" applyFill="1" applyBorder="1" applyAlignment="1">
      <alignment horizontal="center" vertical="top" wrapText="1"/>
    </xf>
    <xf numFmtId="164" fontId="21" fillId="0" borderId="63" xfId="0" applyNumberFormat="1" applyFont="1" applyFill="1" applyBorder="1" applyAlignment="1">
      <alignment horizontal="center" vertical="top" wrapText="1"/>
    </xf>
    <xf numFmtId="164" fontId="21" fillId="7" borderId="68" xfId="0" applyNumberFormat="1" applyFont="1" applyFill="1" applyBorder="1" applyAlignment="1">
      <alignment horizontal="center" vertical="top"/>
    </xf>
    <xf numFmtId="164" fontId="1" fillId="7" borderId="65" xfId="0" applyNumberFormat="1" applyFont="1" applyFill="1" applyBorder="1" applyAlignment="1">
      <alignment horizontal="center" vertical="top"/>
    </xf>
    <xf numFmtId="164" fontId="1" fillId="7" borderId="73" xfId="0" applyNumberFormat="1" applyFont="1" applyFill="1" applyBorder="1" applyAlignment="1">
      <alignment horizontal="center" vertical="top" wrapText="1"/>
    </xf>
    <xf numFmtId="164" fontId="3" fillId="5" borderId="76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 wrapText="1"/>
    </xf>
    <xf numFmtId="164" fontId="1" fillId="7" borderId="43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top"/>
    </xf>
    <xf numFmtId="164" fontId="1" fillId="7" borderId="54" xfId="0" applyNumberFormat="1" applyFont="1" applyFill="1" applyBorder="1" applyAlignment="1">
      <alignment horizontal="center" vertical="top"/>
    </xf>
    <xf numFmtId="164" fontId="21" fillId="0" borderId="4" xfId="0" applyNumberFormat="1" applyFont="1" applyFill="1" applyBorder="1" applyAlignment="1">
      <alignment horizontal="center" vertical="top" wrapText="1"/>
    </xf>
    <xf numFmtId="164" fontId="21" fillId="0" borderId="3" xfId="0" applyNumberFormat="1" applyFont="1" applyFill="1" applyBorder="1" applyAlignment="1">
      <alignment horizontal="center" vertical="top"/>
    </xf>
    <xf numFmtId="164" fontId="21" fillId="7" borderId="51" xfId="0" applyNumberFormat="1" applyFont="1" applyFill="1" applyBorder="1" applyAlignment="1">
      <alignment horizontal="center" vertical="top"/>
    </xf>
    <xf numFmtId="164" fontId="1" fillId="7" borderId="9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 wrapText="1"/>
    </xf>
    <xf numFmtId="164" fontId="3" fillId="5" borderId="60" xfId="0" applyNumberFormat="1" applyFon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center" textRotation="90" wrapText="1"/>
    </xf>
    <xf numFmtId="49" fontId="3" fillId="6" borderId="40" xfId="0" applyNumberFormat="1" applyFont="1" applyFill="1" applyBorder="1" applyAlignment="1">
      <alignment horizontal="center" vertical="top"/>
    </xf>
    <xf numFmtId="49" fontId="3" fillId="6" borderId="31" xfId="0" applyNumberFormat="1" applyFont="1" applyFill="1" applyBorder="1" applyAlignment="1">
      <alignment horizontal="center" vertical="top"/>
    </xf>
    <xf numFmtId="49" fontId="3" fillId="6" borderId="25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2" xfId="0" applyNumberFormat="1" applyFont="1" applyBorder="1" applyAlignment="1">
      <alignment horizontal="center" vertical="center" textRotation="90" wrapText="1"/>
    </xf>
    <xf numFmtId="164" fontId="1" fillId="0" borderId="18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textRotation="90"/>
    </xf>
    <xf numFmtId="0" fontId="1" fillId="0" borderId="19" xfId="0" applyNumberFormat="1" applyFont="1" applyBorder="1" applyAlignment="1">
      <alignment horizontal="center" vertical="center" textRotation="90"/>
    </xf>
    <xf numFmtId="49" fontId="3" fillId="2" borderId="20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left" vertical="top" wrapText="1"/>
    </xf>
    <xf numFmtId="49" fontId="3" fillId="2" borderId="22" xfId="0" applyNumberFormat="1" applyFont="1" applyFill="1" applyBorder="1" applyAlignment="1">
      <alignment horizontal="left" vertical="top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21" xfId="0" applyFont="1" applyFill="1" applyBorder="1" applyAlignment="1">
      <alignment horizontal="left" vertical="top" wrapText="1"/>
    </xf>
    <xf numFmtId="0" fontId="13" fillId="3" borderId="22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horizontal="center" vertical="top"/>
    </xf>
    <xf numFmtId="49" fontId="3" fillId="5" borderId="26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5" borderId="34" xfId="0" applyNumberFormat="1" applyFont="1" applyFill="1" applyBorder="1" applyAlignment="1">
      <alignment horizontal="center" vertical="top"/>
    </xf>
    <xf numFmtId="49" fontId="3" fillId="5" borderId="36" xfId="0" applyNumberFormat="1" applyFont="1" applyFill="1" applyBorder="1" applyAlignment="1">
      <alignment horizontal="center" vertical="top"/>
    </xf>
    <xf numFmtId="49" fontId="3" fillId="6" borderId="26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6" borderId="27" xfId="0" applyFont="1" applyFill="1" applyBorder="1" applyAlignment="1">
      <alignment horizontal="left" vertical="top" wrapText="1"/>
    </xf>
    <xf numFmtId="0" fontId="1" fillId="6" borderId="30" xfId="0" applyFont="1" applyFill="1" applyBorder="1" applyAlignment="1">
      <alignment horizontal="left" vertical="top" wrapText="1"/>
    </xf>
    <xf numFmtId="0" fontId="1" fillId="6" borderId="3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49" fontId="3" fillId="5" borderId="46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49" fontId="3" fillId="5" borderId="20" xfId="0" applyNumberFormat="1" applyFont="1" applyFill="1" applyBorder="1" applyAlignment="1">
      <alignment horizontal="left" vertical="top"/>
    </xf>
    <xf numFmtId="49" fontId="3" fillId="5" borderId="21" xfId="0" applyNumberFormat="1" applyFont="1" applyFill="1" applyBorder="1" applyAlignment="1">
      <alignment horizontal="left" vertical="top"/>
    </xf>
    <xf numFmtId="49" fontId="3" fillId="5" borderId="22" xfId="0" applyNumberFormat="1" applyFont="1" applyFill="1" applyBorder="1" applyAlignment="1">
      <alignment horizontal="left" vertical="top"/>
    </xf>
    <xf numFmtId="0" fontId="1" fillId="7" borderId="32" xfId="0" applyFont="1" applyFill="1" applyBorder="1" applyAlignment="1">
      <alignment horizontal="left" vertical="top" wrapText="1"/>
    </xf>
    <xf numFmtId="0" fontId="1" fillId="7" borderId="30" xfId="0" applyFont="1" applyFill="1" applyBorder="1" applyAlignment="1">
      <alignment horizontal="left" vertical="top" wrapText="1"/>
    </xf>
    <xf numFmtId="0" fontId="1" fillId="7" borderId="37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49" fontId="3" fillId="5" borderId="61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22" xfId="0" applyNumberFormat="1" applyFont="1" applyFill="1" applyBorder="1" applyAlignment="1">
      <alignment horizontal="right" vertical="top"/>
    </xf>
    <xf numFmtId="165" fontId="4" fillId="0" borderId="27" xfId="0" applyNumberFormat="1" applyFont="1" applyFill="1" applyBorder="1" applyAlignment="1">
      <alignment horizontal="left" vertical="top" wrapText="1"/>
    </xf>
    <xf numFmtId="165" fontId="4" fillId="0" borderId="30" xfId="0" applyNumberFormat="1" applyFont="1" applyFill="1" applyBorder="1" applyAlignment="1">
      <alignment horizontal="left" vertical="top" wrapText="1"/>
    </xf>
    <xf numFmtId="165" fontId="4" fillId="0" borderId="37" xfId="0" applyNumberFormat="1" applyFont="1" applyFill="1" applyBorder="1" applyAlignment="1">
      <alignment horizontal="left"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49" fontId="5" fillId="4" borderId="14" xfId="0" applyNumberFormat="1" applyFont="1" applyFill="1" applyBorder="1" applyAlignment="1">
      <alignment horizontal="center" vertical="top" wrapText="1"/>
    </xf>
    <xf numFmtId="49" fontId="5" fillId="5" borderId="46" xfId="0" applyNumberFormat="1" applyFont="1" applyFill="1" applyBorder="1" applyAlignment="1">
      <alignment horizontal="center" vertical="top"/>
    </xf>
    <xf numFmtId="49" fontId="5" fillId="5" borderId="67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49" fontId="5" fillId="6" borderId="36" xfId="0" applyNumberFormat="1" applyFont="1" applyFill="1" applyBorder="1" applyAlignment="1">
      <alignment horizontal="center" vertical="top"/>
    </xf>
    <xf numFmtId="165" fontId="3" fillId="7" borderId="26" xfId="0" applyNumberFormat="1" applyFont="1" applyFill="1" applyBorder="1" applyAlignment="1">
      <alignment horizontal="left" vertical="top" wrapText="1"/>
    </xf>
    <xf numFmtId="165" fontId="3" fillId="7" borderId="3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5" borderId="23" xfId="0" applyNumberFormat="1" applyFont="1" applyFill="1" applyBorder="1" applyAlignment="1">
      <alignment horizontal="right" vertical="top" wrapText="1"/>
    </xf>
    <xf numFmtId="49" fontId="5" fillId="5" borderId="1" xfId="0" applyNumberFormat="1" applyFont="1" applyFill="1" applyBorder="1" applyAlignment="1">
      <alignment horizontal="right" vertical="top" wrapText="1"/>
    </xf>
    <xf numFmtId="49" fontId="5" fillId="5" borderId="58" xfId="0" applyNumberFormat="1" applyFont="1" applyFill="1" applyBorder="1" applyAlignment="1">
      <alignment horizontal="right" vertical="top" wrapText="1"/>
    </xf>
    <xf numFmtId="49" fontId="5" fillId="5" borderId="20" xfId="0" applyNumberFormat="1" applyFont="1" applyFill="1" applyBorder="1" applyAlignment="1">
      <alignment horizontal="left" vertical="top" wrapText="1"/>
    </xf>
    <xf numFmtId="49" fontId="5" fillId="5" borderId="21" xfId="0" applyNumberFormat="1" applyFont="1" applyFill="1" applyBorder="1" applyAlignment="1">
      <alignment horizontal="left" vertical="top" wrapText="1"/>
    </xf>
    <xf numFmtId="49" fontId="5" fillId="5" borderId="22" xfId="0" applyNumberFormat="1" applyFont="1" applyFill="1" applyBorder="1" applyAlignment="1">
      <alignment horizontal="left" vertical="top" wrapText="1"/>
    </xf>
    <xf numFmtId="49" fontId="5" fillId="4" borderId="30" xfId="0" applyNumberFormat="1" applyFont="1" applyFill="1" applyBorder="1" applyAlignment="1">
      <alignment horizontal="center" vertical="top" wrapText="1"/>
    </xf>
    <xf numFmtId="49" fontId="5" fillId="5" borderId="48" xfId="0" applyNumberFormat="1" applyFont="1" applyFill="1" applyBorder="1" applyAlignment="1">
      <alignment horizontal="center" vertical="top"/>
    </xf>
    <xf numFmtId="49" fontId="5" fillId="6" borderId="3" xfId="0" applyNumberFormat="1" applyFont="1" applyFill="1" applyBorder="1" applyAlignment="1">
      <alignment horizontal="center" vertical="top"/>
    </xf>
    <xf numFmtId="49" fontId="5" fillId="6" borderId="10" xfId="0" applyNumberFormat="1" applyFont="1" applyFill="1" applyBorder="1" applyAlignment="1">
      <alignment horizontal="center" vertical="top"/>
    </xf>
    <xf numFmtId="49" fontId="5" fillId="6" borderId="15" xfId="0" applyNumberFormat="1" applyFont="1" applyFill="1" applyBorder="1" applyAlignment="1">
      <alignment horizontal="center" vertical="top"/>
    </xf>
    <xf numFmtId="165" fontId="3" fillId="0" borderId="26" xfId="0" applyNumberFormat="1" applyFont="1" applyBorder="1" applyAlignment="1">
      <alignment horizontal="left" vertical="top" wrapText="1"/>
    </xf>
    <xf numFmtId="165" fontId="3" fillId="0" borderId="59" xfId="0" applyNumberFormat="1" applyFont="1" applyBorder="1" applyAlignment="1">
      <alignment horizontal="left" vertical="top" wrapText="1"/>
    </xf>
    <xf numFmtId="165" fontId="3" fillId="0" borderId="36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/>
    </xf>
    <xf numFmtId="165" fontId="3" fillId="5" borderId="20" xfId="0" applyNumberFormat="1" applyFont="1" applyFill="1" applyBorder="1" applyAlignment="1">
      <alignment horizontal="center" vertical="top"/>
    </xf>
    <xf numFmtId="165" fontId="3" fillId="5" borderId="21" xfId="0" applyNumberFormat="1" applyFont="1" applyFill="1" applyBorder="1" applyAlignment="1">
      <alignment horizontal="center" vertical="top"/>
    </xf>
    <xf numFmtId="165" fontId="3" fillId="5" borderId="22" xfId="0" applyNumberFormat="1" applyFont="1" applyFill="1" applyBorder="1" applyAlignment="1">
      <alignment horizontal="center" vertical="top"/>
    </xf>
    <xf numFmtId="0" fontId="1" fillId="0" borderId="5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5" fontId="1" fillId="0" borderId="32" xfId="0" applyNumberFormat="1" applyFont="1" applyBorder="1" applyAlignment="1">
      <alignment horizontal="center" vertical="center" textRotation="90" wrapText="1"/>
    </xf>
    <xf numFmtId="165" fontId="1" fillId="0" borderId="37" xfId="0" applyNumberFormat="1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7" borderId="40" xfId="0" applyFont="1" applyFill="1" applyBorder="1" applyAlignment="1">
      <alignment horizontal="left" vertical="top" wrapText="1"/>
    </xf>
    <xf numFmtId="0" fontId="1" fillId="7" borderId="2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49" fontId="5" fillId="6" borderId="31" xfId="0" applyNumberFormat="1" applyFont="1" applyFill="1" applyBorder="1" applyAlignment="1">
      <alignment horizontal="center" vertical="top"/>
    </xf>
    <xf numFmtId="165" fontId="3" fillId="6" borderId="26" xfId="0" applyNumberFormat="1" applyFont="1" applyFill="1" applyBorder="1" applyAlignment="1">
      <alignment horizontal="left" vertical="top" wrapText="1"/>
    </xf>
    <xf numFmtId="165" fontId="3" fillId="6" borderId="31" xfId="0" applyNumberFormat="1" applyFont="1" applyFill="1" applyBorder="1" applyAlignment="1">
      <alignment horizontal="left" vertical="top" wrapText="1"/>
    </xf>
    <xf numFmtId="165" fontId="3" fillId="6" borderId="36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165" fontId="1" fillId="0" borderId="32" xfId="0" applyNumberFormat="1" applyFont="1" applyFill="1" applyBorder="1" applyAlignment="1">
      <alignment horizontal="center" vertical="center" textRotation="90" wrapText="1"/>
    </xf>
    <xf numFmtId="165" fontId="1" fillId="0" borderId="37" xfId="0" applyNumberFormat="1" applyFont="1" applyFill="1" applyBorder="1" applyAlignment="1">
      <alignment horizontal="center" vertical="center" textRotation="90" wrapText="1"/>
    </xf>
    <xf numFmtId="164" fontId="3" fillId="5" borderId="23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3" fillId="5" borderId="58" xfId="0" applyNumberFormat="1" applyFont="1" applyFill="1" applyBorder="1" applyAlignment="1">
      <alignment horizontal="center" vertical="top"/>
    </xf>
    <xf numFmtId="165" fontId="3" fillId="7" borderId="31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5" fontId="1" fillId="7" borderId="32" xfId="0" applyNumberFormat="1" applyFont="1" applyFill="1" applyBorder="1" applyAlignment="1">
      <alignment horizontal="center" vertical="center" textRotation="90" wrapText="1"/>
    </xf>
    <xf numFmtId="165" fontId="1" fillId="7" borderId="37" xfId="0" applyNumberFormat="1" applyFont="1" applyFill="1" applyBorder="1" applyAlignment="1">
      <alignment horizontal="center" vertical="center" textRotation="90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 wrapText="1"/>
    </xf>
    <xf numFmtId="165" fontId="1" fillId="7" borderId="26" xfId="0" applyNumberFormat="1" applyFont="1" applyFill="1" applyBorder="1" applyAlignment="1">
      <alignment horizontal="left" vertical="top" wrapText="1"/>
    </xf>
    <xf numFmtId="165" fontId="1" fillId="7" borderId="36" xfId="0" applyNumberFormat="1" applyFont="1" applyFill="1" applyBorder="1" applyAlignment="1">
      <alignment horizontal="left" vertical="top" wrapText="1"/>
    </xf>
    <xf numFmtId="165" fontId="1" fillId="0" borderId="27" xfId="0" applyNumberFormat="1" applyFont="1" applyFill="1" applyBorder="1" applyAlignment="1">
      <alignment horizontal="center" vertical="center" textRotation="90" wrapText="1"/>
    </xf>
    <xf numFmtId="49" fontId="5" fillId="5" borderId="61" xfId="0" applyNumberFormat="1" applyFont="1" applyFill="1" applyBorder="1" applyAlignment="1">
      <alignment horizontal="right" vertical="top" wrapText="1"/>
    </xf>
    <xf numFmtId="49" fontId="5" fillId="5" borderId="21" xfId="0" applyNumberFormat="1" applyFont="1" applyFill="1" applyBorder="1" applyAlignment="1">
      <alignment horizontal="right" vertical="top" wrapText="1"/>
    </xf>
    <xf numFmtId="49" fontId="5" fillId="5" borderId="22" xfId="0" applyNumberFormat="1" applyFont="1" applyFill="1" applyBorder="1" applyAlignment="1">
      <alignment horizontal="right" vertical="top" wrapText="1"/>
    </xf>
    <xf numFmtId="165" fontId="5" fillId="5" borderId="20" xfId="0" applyNumberFormat="1" applyFont="1" applyFill="1" applyBorder="1" applyAlignment="1">
      <alignment horizontal="center" vertical="center" wrapText="1"/>
    </xf>
    <xf numFmtId="165" fontId="5" fillId="5" borderId="21" xfId="0" applyNumberFormat="1" applyFont="1" applyFill="1" applyBorder="1" applyAlignment="1">
      <alignment horizontal="center" vertical="center" wrapText="1"/>
    </xf>
    <xf numFmtId="165" fontId="5" fillId="5" borderId="2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165" fontId="5" fillId="4" borderId="61" xfId="0" applyNumberFormat="1" applyFont="1" applyFill="1" applyBorder="1" applyAlignment="1">
      <alignment horizontal="right" vertical="top"/>
    </xf>
    <xf numFmtId="165" fontId="5" fillId="4" borderId="21" xfId="0" applyNumberFormat="1" applyFont="1" applyFill="1" applyBorder="1" applyAlignment="1">
      <alignment horizontal="right" vertical="top"/>
    </xf>
    <xf numFmtId="165" fontId="5" fillId="4" borderId="22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center" vertical="top"/>
    </xf>
    <xf numFmtId="165" fontId="5" fillId="4" borderId="21" xfId="0" applyNumberFormat="1" applyFont="1" applyFill="1" applyBorder="1" applyAlignment="1">
      <alignment horizontal="center" vertical="top"/>
    </xf>
    <xf numFmtId="165" fontId="5" fillId="4" borderId="22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right" vertical="top"/>
    </xf>
    <xf numFmtId="49" fontId="5" fillId="3" borderId="21" xfId="0" applyNumberFormat="1" applyFont="1" applyFill="1" applyBorder="1" applyAlignment="1">
      <alignment horizontal="right" vertical="top"/>
    </xf>
    <xf numFmtId="49" fontId="5" fillId="3" borderId="22" xfId="0" applyNumberFormat="1" applyFont="1" applyFill="1" applyBorder="1" applyAlignment="1">
      <alignment horizontal="right" vertical="top"/>
    </xf>
    <xf numFmtId="165" fontId="5" fillId="3" borderId="23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165" fontId="5" fillId="3" borderId="58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center" textRotation="90" wrapText="1"/>
    </xf>
    <xf numFmtId="165" fontId="1" fillId="0" borderId="14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165" fontId="3" fillId="6" borderId="0" xfId="0" applyNumberFormat="1" applyFont="1" applyFill="1" applyBorder="1" applyAlignment="1">
      <alignment horizontal="center" vertical="top" wrapText="1"/>
    </xf>
    <xf numFmtId="0" fontId="5" fillId="8" borderId="45" xfId="0" applyFont="1" applyFill="1" applyBorder="1" applyAlignment="1">
      <alignment horizontal="right" vertical="top" wrapText="1"/>
    </xf>
    <xf numFmtId="0" fontId="5" fillId="8" borderId="39" xfId="0" applyFont="1" applyFill="1" applyBorder="1" applyAlignment="1">
      <alignment horizontal="right" vertical="top" wrapText="1"/>
    </xf>
    <xf numFmtId="0" fontId="5" fillId="8" borderId="66" xfId="0" applyFont="1" applyFill="1" applyBorder="1" applyAlignment="1">
      <alignment horizontal="right" vertical="top" wrapText="1"/>
    </xf>
    <xf numFmtId="0" fontId="3" fillId="7" borderId="56" xfId="0" applyFont="1" applyFill="1" applyBorder="1" applyAlignment="1">
      <alignment horizontal="left" vertical="top" wrapText="1"/>
    </xf>
    <xf numFmtId="0" fontId="5" fillId="7" borderId="69" xfId="0" applyFont="1" applyFill="1" applyBorder="1" applyAlignment="1">
      <alignment horizontal="left" vertical="top" wrapText="1"/>
    </xf>
    <xf numFmtId="0" fontId="5" fillId="7" borderId="6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49" fontId="5" fillId="5" borderId="26" xfId="0" applyNumberFormat="1" applyFont="1" applyFill="1" applyBorder="1" applyAlignment="1">
      <alignment horizontal="center" vertical="top"/>
    </xf>
    <xf numFmtId="49" fontId="5" fillId="5" borderId="31" xfId="0" applyNumberFormat="1" applyFont="1" applyFill="1" applyBorder="1" applyAlignment="1">
      <alignment horizontal="center" vertical="top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6" borderId="34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8" xfId="0" applyNumberFormat="1" applyFont="1" applyBorder="1" applyAlignment="1">
      <alignment horizontal="center" vertical="center" textRotation="90" wrapText="1"/>
    </xf>
    <xf numFmtId="49" fontId="5" fillId="2" borderId="20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22" xfId="0" applyNumberFormat="1" applyFont="1" applyFill="1" applyBorder="1" applyAlignment="1">
      <alignment horizontal="left" vertical="top" wrapText="1"/>
    </xf>
    <xf numFmtId="0" fontId="18" fillId="3" borderId="20" xfId="0" applyFont="1" applyFill="1" applyBorder="1" applyAlignment="1">
      <alignment horizontal="left" vertical="top" wrapText="1"/>
    </xf>
    <xf numFmtId="0" fontId="18" fillId="3" borderId="21" xfId="0" applyFont="1" applyFill="1" applyBorder="1" applyAlignment="1">
      <alignment horizontal="left" vertical="top" wrapText="1"/>
    </xf>
    <xf numFmtId="0" fontId="18" fillId="3" borderId="22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4" borderId="22" xfId="0" applyFont="1" applyFill="1" applyBorder="1" applyAlignment="1">
      <alignment horizontal="left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49" fontId="5" fillId="4" borderId="32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3" fontId="1" fillId="0" borderId="42" xfId="0" applyNumberFormat="1" applyFont="1" applyBorder="1" applyAlignment="1">
      <alignment horizontal="center" vertical="center" textRotation="90" wrapText="1"/>
    </xf>
    <xf numFmtId="3" fontId="1" fillId="0" borderId="44" xfId="0" applyNumberFormat="1" applyFont="1" applyBorder="1" applyAlignment="1">
      <alignment horizontal="center" vertical="center" textRotation="90" wrapText="1"/>
    </xf>
    <xf numFmtId="3" fontId="1" fillId="0" borderId="23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textRotation="90" wrapText="1"/>
    </xf>
    <xf numFmtId="3" fontId="1" fillId="0" borderId="37" xfId="0" applyNumberFormat="1" applyFont="1" applyBorder="1" applyAlignment="1">
      <alignment horizontal="center" vertical="center" textRotation="90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 textRotation="90" wrapText="1"/>
    </xf>
    <xf numFmtId="3" fontId="1" fillId="0" borderId="17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7" xfId="0" applyNumberFormat="1" applyFont="1" applyBorder="1" applyAlignment="1">
      <alignment horizontal="center" vertical="center" textRotation="90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top" wrapText="1"/>
    </xf>
    <xf numFmtId="49" fontId="5" fillId="5" borderId="70" xfId="0" applyNumberFormat="1" applyFont="1" applyFill="1" applyBorder="1" applyAlignment="1">
      <alignment horizontal="center" vertical="top"/>
    </xf>
    <xf numFmtId="49" fontId="5" fillId="6" borderId="71" xfId="0" applyNumberFormat="1" applyFont="1" applyFill="1" applyBorder="1" applyAlignment="1">
      <alignment horizontal="center" vertical="top"/>
    </xf>
    <xf numFmtId="0" fontId="1" fillId="7" borderId="52" xfId="0" applyFont="1" applyFill="1" applyBorder="1" applyAlignment="1">
      <alignment horizontal="left" vertical="top" wrapText="1"/>
    </xf>
    <xf numFmtId="49" fontId="5" fillId="6" borderId="40" xfId="0" applyNumberFormat="1" applyFont="1" applyFill="1" applyBorder="1" applyAlignment="1">
      <alignment horizontal="center" vertical="top"/>
    </xf>
    <xf numFmtId="49" fontId="5" fillId="6" borderId="25" xfId="0" applyNumberFormat="1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3" fillId="0" borderId="47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/>
    </xf>
    <xf numFmtId="49" fontId="5" fillId="5" borderId="61" xfId="0" applyNumberFormat="1" applyFont="1" applyFill="1" applyBorder="1" applyAlignment="1">
      <alignment horizontal="right" vertical="top"/>
    </xf>
    <xf numFmtId="49" fontId="5" fillId="5" borderId="21" xfId="0" applyNumberFormat="1" applyFont="1" applyFill="1" applyBorder="1" applyAlignment="1">
      <alignment horizontal="right" vertical="top"/>
    </xf>
    <xf numFmtId="49" fontId="5" fillId="5" borderId="22" xfId="0" applyNumberFormat="1" applyFont="1" applyFill="1" applyBorder="1" applyAlignment="1">
      <alignment horizontal="right" vertical="top"/>
    </xf>
    <xf numFmtId="165" fontId="5" fillId="5" borderId="20" xfId="0" applyNumberFormat="1" applyFont="1" applyFill="1" applyBorder="1" applyAlignment="1">
      <alignment horizontal="center" vertical="top"/>
    </xf>
    <xf numFmtId="165" fontId="5" fillId="5" borderId="21" xfId="0" applyNumberFormat="1" applyFont="1" applyFill="1" applyBorder="1" applyAlignment="1">
      <alignment horizontal="center" vertical="top"/>
    </xf>
    <xf numFmtId="165" fontId="5" fillId="5" borderId="22" xfId="0" applyNumberFormat="1" applyFont="1" applyFill="1" applyBorder="1" applyAlignment="1">
      <alignment horizontal="center" vertical="top"/>
    </xf>
    <xf numFmtId="49" fontId="5" fillId="5" borderId="20" xfId="0" applyNumberFormat="1" applyFont="1" applyFill="1" applyBorder="1" applyAlignment="1">
      <alignment horizontal="left" vertical="top"/>
    </xf>
    <xf numFmtId="49" fontId="5" fillId="5" borderId="21" xfId="0" applyNumberFormat="1" applyFont="1" applyFill="1" applyBorder="1" applyAlignment="1">
      <alignment horizontal="left" vertical="top"/>
    </xf>
    <xf numFmtId="49" fontId="5" fillId="5" borderId="22" xfId="0" applyNumberFormat="1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 textRotation="90"/>
    </xf>
    <xf numFmtId="165" fontId="5" fillId="0" borderId="2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0" borderId="30" xfId="0" applyNumberFormat="1" applyFont="1" applyFill="1" applyBorder="1" applyAlignment="1">
      <alignment horizontal="center" vertical="top" wrapText="1"/>
    </xf>
    <xf numFmtId="165" fontId="1" fillId="7" borderId="31" xfId="0" applyNumberFormat="1" applyFont="1" applyFill="1" applyBorder="1" applyAlignment="1">
      <alignment horizontal="left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165" fontId="5" fillId="7" borderId="30" xfId="0" applyNumberFormat="1" applyFont="1" applyFill="1" applyBorder="1" applyAlignment="1">
      <alignment horizontal="center" vertical="top" wrapText="1"/>
    </xf>
    <xf numFmtId="165" fontId="5" fillId="7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41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center" vertical="top"/>
    </xf>
    <xf numFmtId="0" fontId="4" fillId="7" borderId="56" xfId="0" applyFont="1" applyFill="1" applyBorder="1" applyAlignment="1">
      <alignment horizontal="left" vertical="top" wrapText="1"/>
    </xf>
    <xf numFmtId="0" fontId="4" fillId="7" borderId="69" xfId="0" applyFont="1" applyFill="1" applyBorder="1" applyAlignment="1">
      <alignment horizontal="left" vertical="top" wrapText="1"/>
    </xf>
    <xf numFmtId="0" fontId="4" fillId="7" borderId="6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3" fillId="0" borderId="56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49" fontId="5" fillId="5" borderId="25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2"/>
  <sheetViews>
    <sheetView tabSelected="1" zoomScaleNormal="100" zoomScaleSheetLayoutView="100" workbookViewId="0">
      <selection activeCell="O16" sqref="O16"/>
    </sheetView>
  </sheetViews>
  <sheetFormatPr defaultRowHeight="15" x14ac:dyDescent="0.25"/>
  <cols>
    <col min="1" max="3" width="3" style="251" customWidth="1"/>
    <col min="4" max="4" width="32.85546875" style="251" customWidth="1"/>
    <col min="5" max="5" width="3.7109375" style="557" customWidth="1"/>
    <col min="6" max="6" width="3.7109375" style="251" customWidth="1"/>
    <col min="7" max="7" width="8.140625" style="251" customWidth="1"/>
    <col min="8" max="10" width="7" style="251" customWidth="1"/>
    <col min="11" max="11" width="23.85546875" style="594" customWidth="1"/>
    <col min="12" max="14" width="3.5703125" style="251" customWidth="1"/>
    <col min="15" max="16384" width="9.140625" style="251"/>
  </cols>
  <sheetData>
    <row r="1" spans="1:16" s="216" customFormat="1" ht="15.75" x14ac:dyDescent="0.2">
      <c r="A1" s="781" t="s">
        <v>0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6" s="216" customFormat="1" ht="12" customHeight="1" x14ac:dyDescent="0.2">
      <c r="A2" s="782" t="s">
        <v>1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6" s="216" customFormat="1" ht="15.75" x14ac:dyDescent="0.2">
      <c r="A3" s="783" t="s">
        <v>2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6" s="1" customFormat="1" ht="19.5" customHeight="1" thickBot="1" x14ac:dyDescent="0.25">
      <c r="A4" s="784" t="s">
        <v>3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</row>
    <row r="5" spans="1:16" s="1" customFormat="1" ht="22.5" customHeight="1" x14ac:dyDescent="0.2">
      <c r="A5" s="785" t="s">
        <v>4</v>
      </c>
      <c r="B5" s="788" t="s">
        <v>5</v>
      </c>
      <c r="C5" s="788" t="s">
        <v>6</v>
      </c>
      <c r="D5" s="791" t="s">
        <v>7</v>
      </c>
      <c r="E5" s="794" t="s">
        <v>8</v>
      </c>
      <c r="F5" s="797" t="s">
        <v>9</v>
      </c>
      <c r="G5" s="800" t="s">
        <v>10</v>
      </c>
      <c r="H5" s="803" t="s">
        <v>11</v>
      </c>
      <c r="I5" s="803" t="s">
        <v>12</v>
      </c>
      <c r="J5" s="803" t="s">
        <v>13</v>
      </c>
      <c r="K5" s="806" t="s">
        <v>14</v>
      </c>
      <c r="L5" s="807"/>
      <c r="M5" s="807"/>
      <c r="N5" s="808"/>
    </row>
    <row r="6" spans="1:16" s="1" customFormat="1" ht="12" customHeight="1" x14ac:dyDescent="0.2">
      <c r="A6" s="786"/>
      <c r="B6" s="789"/>
      <c r="C6" s="789"/>
      <c r="D6" s="792"/>
      <c r="E6" s="795"/>
      <c r="F6" s="798"/>
      <c r="G6" s="801"/>
      <c r="H6" s="804"/>
      <c r="I6" s="804"/>
      <c r="J6" s="804"/>
      <c r="K6" s="809" t="s">
        <v>7</v>
      </c>
      <c r="L6" s="789" t="s">
        <v>15</v>
      </c>
      <c r="M6" s="789" t="s">
        <v>16</v>
      </c>
      <c r="N6" s="811" t="s">
        <v>17</v>
      </c>
    </row>
    <row r="7" spans="1:16" s="1" customFormat="1" ht="104.25" customHeight="1" thickBot="1" x14ac:dyDescent="0.25">
      <c r="A7" s="787"/>
      <c r="B7" s="790"/>
      <c r="C7" s="790"/>
      <c r="D7" s="793"/>
      <c r="E7" s="796"/>
      <c r="F7" s="799"/>
      <c r="G7" s="802"/>
      <c r="H7" s="805"/>
      <c r="I7" s="805"/>
      <c r="J7" s="805"/>
      <c r="K7" s="810"/>
      <c r="L7" s="790"/>
      <c r="M7" s="790"/>
      <c r="N7" s="812"/>
    </row>
    <row r="8" spans="1:16" s="1" customFormat="1" ht="13.5" thickBot="1" x14ac:dyDescent="0.25">
      <c r="A8" s="813" t="s">
        <v>18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5"/>
    </row>
    <row r="9" spans="1:16" s="1" customFormat="1" ht="13.5" thickBot="1" x14ac:dyDescent="0.25">
      <c r="A9" s="816" t="s">
        <v>19</v>
      </c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8"/>
    </row>
    <row r="10" spans="1:16" s="1" customFormat="1" ht="13.5" customHeight="1" thickBot="1" x14ac:dyDescent="0.25">
      <c r="A10" s="217" t="s">
        <v>20</v>
      </c>
      <c r="B10" s="819" t="s">
        <v>21</v>
      </c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1"/>
    </row>
    <row r="11" spans="1:16" s="1" customFormat="1" ht="13.5" thickBot="1" x14ac:dyDescent="0.25">
      <c r="A11" s="218" t="s">
        <v>20</v>
      </c>
      <c r="B11" s="219" t="s">
        <v>20</v>
      </c>
      <c r="C11" s="822" t="s">
        <v>22</v>
      </c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4"/>
    </row>
    <row r="12" spans="1:16" s="1" customFormat="1" ht="41.25" customHeight="1" x14ac:dyDescent="0.2">
      <c r="A12" s="825" t="s">
        <v>20</v>
      </c>
      <c r="B12" s="829" t="s">
        <v>20</v>
      </c>
      <c r="C12" s="833" t="s">
        <v>20</v>
      </c>
      <c r="D12" s="3" t="s">
        <v>23</v>
      </c>
      <c r="E12" s="669" t="s">
        <v>24</v>
      </c>
      <c r="F12" s="836" t="s">
        <v>26</v>
      </c>
      <c r="G12" s="5" t="s">
        <v>27</v>
      </c>
      <c r="H12" s="6">
        <v>10.7</v>
      </c>
      <c r="I12" s="7">
        <v>11</v>
      </c>
      <c r="J12" s="7">
        <v>11</v>
      </c>
      <c r="K12" s="839" t="s">
        <v>28</v>
      </c>
      <c r="L12" s="8">
        <v>100</v>
      </c>
      <c r="M12" s="8">
        <v>100</v>
      </c>
      <c r="N12" s="9">
        <v>100</v>
      </c>
    </row>
    <row r="13" spans="1:16" s="1" customFormat="1" ht="22.5" customHeight="1" x14ac:dyDescent="0.2">
      <c r="A13" s="826"/>
      <c r="B13" s="830"/>
      <c r="C13" s="773"/>
      <c r="D13" s="10" t="s">
        <v>29</v>
      </c>
      <c r="E13" s="842" t="s">
        <v>30</v>
      </c>
      <c r="F13" s="837"/>
      <c r="G13" s="11" t="s">
        <v>31</v>
      </c>
      <c r="H13" s="540">
        <v>96.2</v>
      </c>
      <c r="I13" s="13">
        <v>97</v>
      </c>
      <c r="J13" s="13">
        <v>97</v>
      </c>
      <c r="K13" s="840"/>
      <c r="L13" s="14"/>
      <c r="M13" s="14"/>
      <c r="N13" s="15"/>
      <c r="P13" s="16"/>
    </row>
    <row r="14" spans="1:16" s="1" customFormat="1" ht="14.25" customHeight="1" x14ac:dyDescent="0.2">
      <c r="A14" s="827"/>
      <c r="B14" s="831"/>
      <c r="C14" s="834"/>
      <c r="D14" s="17" t="s">
        <v>32</v>
      </c>
      <c r="E14" s="843"/>
      <c r="F14" s="837"/>
      <c r="G14" s="547" t="s">
        <v>150</v>
      </c>
      <c r="H14" s="539">
        <v>70</v>
      </c>
      <c r="I14" s="13"/>
      <c r="J14" s="13"/>
      <c r="K14" s="840"/>
      <c r="L14" s="14"/>
      <c r="M14" s="14"/>
      <c r="N14" s="15"/>
    </row>
    <row r="15" spans="1:16" s="1" customFormat="1" ht="27.75" customHeight="1" x14ac:dyDescent="0.2">
      <c r="A15" s="827"/>
      <c r="B15" s="831"/>
      <c r="C15" s="834"/>
      <c r="D15" s="17" t="s">
        <v>33</v>
      </c>
      <c r="E15" s="842" t="s">
        <v>34</v>
      </c>
      <c r="F15" s="837"/>
      <c r="G15" s="20"/>
      <c r="H15" s="37"/>
      <c r="I15" s="19"/>
      <c r="J15" s="19"/>
      <c r="K15" s="840"/>
      <c r="L15" s="14"/>
      <c r="M15" s="14"/>
      <c r="N15" s="15"/>
    </row>
    <row r="16" spans="1:16" s="1" customFormat="1" ht="27.75" customHeight="1" x14ac:dyDescent="0.2">
      <c r="A16" s="827"/>
      <c r="B16" s="831"/>
      <c r="C16" s="834"/>
      <c r="D16" s="17" t="s">
        <v>35</v>
      </c>
      <c r="E16" s="779"/>
      <c r="F16" s="837"/>
      <c r="G16" s="20"/>
      <c r="H16" s="37"/>
      <c r="I16" s="19"/>
      <c r="J16" s="19"/>
      <c r="K16" s="840"/>
      <c r="L16" s="14"/>
      <c r="M16" s="14"/>
      <c r="N16" s="15"/>
    </row>
    <row r="17" spans="1:17" s="1" customFormat="1" ht="28.5" customHeight="1" x14ac:dyDescent="0.2">
      <c r="A17" s="827"/>
      <c r="B17" s="831"/>
      <c r="C17" s="834"/>
      <c r="D17" s="17" t="s">
        <v>36</v>
      </c>
      <c r="E17" s="779"/>
      <c r="F17" s="837"/>
      <c r="G17" s="21"/>
      <c r="H17" s="37"/>
      <c r="I17" s="19"/>
      <c r="J17" s="19"/>
      <c r="K17" s="840"/>
      <c r="L17" s="22"/>
      <c r="M17" s="22"/>
      <c r="N17" s="23"/>
    </row>
    <row r="18" spans="1:17" s="1" customFormat="1" ht="18" customHeight="1" thickBot="1" x14ac:dyDescent="0.25">
      <c r="A18" s="828"/>
      <c r="B18" s="832"/>
      <c r="C18" s="835"/>
      <c r="D18" s="17" t="s">
        <v>37</v>
      </c>
      <c r="E18" s="780"/>
      <c r="F18" s="838"/>
      <c r="G18" s="24" t="s">
        <v>38</v>
      </c>
      <c r="H18" s="38">
        <f>SUM(H12:H17)</f>
        <v>176.9</v>
      </c>
      <c r="I18" s="27">
        <f>SUM(I12:I17)</f>
        <v>108</v>
      </c>
      <c r="J18" s="27">
        <f>SUM(J12:J17)</f>
        <v>108</v>
      </c>
      <c r="K18" s="841"/>
      <c r="L18" s="28"/>
      <c r="M18" s="28"/>
      <c r="N18" s="29"/>
    </row>
    <row r="19" spans="1:17" s="1" customFormat="1" ht="27" customHeight="1" x14ac:dyDescent="0.2">
      <c r="A19" s="220" t="s">
        <v>20</v>
      </c>
      <c r="B19" s="221" t="s">
        <v>20</v>
      </c>
      <c r="C19" s="772" t="s">
        <v>39</v>
      </c>
      <c r="D19" s="775" t="s">
        <v>40</v>
      </c>
      <c r="E19" s="778" t="s">
        <v>34</v>
      </c>
      <c r="F19" s="836" t="s">
        <v>26</v>
      </c>
      <c r="G19" s="30" t="s">
        <v>41</v>
      </c>
      <c r="H19" s="32">
        <f>278.5+5.3</f>
        <v>283.8</v>
      </c>
      <c r="I19" s="32">
        <v>271.89999999999998</v>
      </c>
      <c r="J19" s="32">
        <v>271.89999999999998</v>
      </c>
      <c r="K19" s="861" t="s">
        <v>42</v>
      </c>
      <c r="L19" s="204">
        <v>108</v>
      </c>
      <c r="M19" s="204">
        <v>108</v>
      </c>
      <c r="N19" s="205">
        <v>108</v>
      </c>
      <c r="P19" s="16"/>
    </row>
    <row r="20" spans="1:17" s="1" customFormat="1" ht="27" customHeight="1" x14ac:dyDescent="0.2">
      <c r="A20" s="670"/>
      <c r="B20" s="671"/>
      <c r="C20" s="773"/>
      <c r="D20" s="776"/>
      <c r="E20" s="779"/>
      <c r="F20" s="837"/>
      <c r="G20" s="35"/>
      <c r="H20" s="36"/>
      <c r="I20" s="37"/>
      <c r="J20" s="19"/>
      <c r="K20" s="862"/>
      <c r="L20" s="204"/>
      <c r="M20" s="204"/>
      <c r="N20" s="205"/>
    </row>
    <row r="21" spans="1:17" s="1" customFormat="1" ht="14.25" customHeight="1" thickBot="1" x14ac:dyDescent="0.25">
      <c r="A21" s="222"/>
      <c r="B21" s="219"/>
      <c r="C21" s="774"/>
      <c r="D21" s="777"/>
      <c r="E21" s="780"/>
      <c r="F21" s="838"/>
      <c r="G21" s="24" t="s">
        <v>38</v>
      </c>
      <c r="H21" s="25">
        <f>SUM(H19:H20)</f>
        <v>283.8</v>
      </c>
      <c r="I21" s="38">
        <f>SUM(I19:I20)</f>
        <v>271.89999999999998</v>
      </c>
      <c r="J21" s="27">
        <f>SUM(J19:J20)</f>
        <v>271.89999999999998</v>
      </c>
      <c r="K21" s="862"/>
      <c r="L21" s="204"/>
      <c r="M21" s="204"/>
      <c r="N21" s="205"/>
    </row>
    <row r="22" spans="1:17" s="1" customFormat="1" ht="26.25" customHeight="1" x14ac:dyDescent="0.2">
      <c r="A22" s="825" t="s">
        <v>20</v>
      </c>
      <c r="B22" s="844" t="s">
        <v>20</v>
      </c>
      <c r="C22" s="833" t="s">
        <v>43</v>
      </c>
      <c r="D22" s="846" t="s">
        <v>44</v>
      </c>
      <c r="E22" s="849"/>
      <c r="F22" s="836" t="s">
        <v>26</v>
      </c>
      <c r="G22" s="39" t="s">
        <v>41</v>
      </c>
      <c r="H22" s="40">
        <f>169.6+1.9</f>
        <v>171.5</v>
      </c>
      <c r="I22" s="41">
        <v>171.4</v>
      </c>
      <c r="J22" s="41">
        <v>171.4</v>
      </c>
      <c r="K22" s="154" t="s">
        <v>121</v>
      </c>
      <c r="L22" s="42">
        <v>340</v>
      </c>
      <c r="M22" s="42">
        <v>380</v>
      </c>
      <c r="N22" s="43">
        <v>420</v>
      </c>
    </row>
    <row r="23" spans="1:17" s="1" customFormat="1" ht="66.75" customHeight="1" x14ac:dyDescent="0.2">
      <c r="A23" s="826"/>
      <c r="B23" s="845"/>
      <c r="C23" s="773"/>
      <c r="D23" s="847"/>
      <c r="E23" s="850"/>
      <c r="F23" s="837"/>
      <c r="G23" s="44" t="s">
        <v>45</v>
      </c>
      <c r="H23" s="45">
        <f>2.8+0.4</f>
        <v>3.1999999999999997</v>
      </c>
      <c r="I23" s="46">
        <v>2.8</v>
      </c>
      <c r="J23" s="47">
        <v>2.8</v>
      </c>
      <c r="K23" s="677" t="s">
        <v>46</v>
      </c>
      <c r="L23" s="48">
        <v>5</v>
      </c>
      <c r="M23" s="48">
        <v>10</v>
      </c>
      <c r="N23" s="49">
        <v>15</v>
      </c>
    </row>
    <row r="24" spans="1:17" s="1" customFormat="1" ht="15.75" customHeight="1" x14ac:dyDescent="0.2">
      <c r="A24" s="826"/>
      <c r="B24" s="845"/>
      <c r="C24" s="773"/>
      <c r="D24" s="847"/>
      <c r="E24" s="850"/>
      <c r="F24" s="837"/>
      <c r="G24" s="50" t="s">
        <v>27</v>
      </c>
      <c r="H24" s="12">
        <v>1.5</v>
      </c>
      <c r="I24" s="51">
        <v>1.5</v>
      </c>
      <c r="J24" s="52">
        <v>1.5</v>
      </c>
      <c r="K24" s="70" t="s">
        <v>47</v>
      </c>
      <c r="L24" s="54">
        <v>2</v>
      </c>
      <c r="M24" s="54">
        <v>2</v>
      </c>
      <c r="N24" s="55">
        <v>2</v>
      </c>
      <c r="P24" s="16"/>
      <c r="Q24" s="16"/>
    </row>
    <row r="25" spans="1:17" s="1" customFormat="1" ht="40.5" customHeight="1" x14ac:dyDescent="0.2">
      <c r="A25" s="670"/>
      <c r="B25" s="675"/>
      <c r="C25" s="668"/>
      <c r="D25" s="847"/>
      <c r="E25" s="850"/>
      <c r="F25" s="837"/>
      <c r="G25" s="50" t="s">
        <v>27</v>
      </c>
      <c r="H25" s="56">
        <v>5.4</v>
      </c>
      <c r="I25" s="57">
        <v>9.1999999999999993</v>
      </c>
      <c r="J25" s="57">
        <v>9.1999999999999993</v>
      </c>
      <c r="K25" s="855" t="s">
        <v>122</v>
      </c>
      <c r="L25" s="223">
        <v>1</v>
      </c>
      <c r="M25" s="223">
        <v>1</v>
      </c>
      <c r="N25" s="224">
        <v>1</v>
      </c>
      <c r="P25" s="16"/>
      <c r="Q25" s="16"/>
    </row>
    <row r="26" spans="1:17" s="1" customFormat="1" ht="37.5" customHeight="1" x14ac:dyDescent="0.2">
      <c r="A26" s="670"/>
      <c r="B26" s="675"/>
      <c r="C26" s="668"/>
      <c r="D26" s="847"/>
      <c r="E26" s="850"/>
      <c r="F26" s="837"/>
      <c r="G26" s="50" t="s">
        <v>182</v>
      </c>
      <c r="H26" s="540">
        <v>0.2</v>
      </c>
      <c r="I26" s="548"/>
      <c r="J26" s="548"/>
      <c r="K26" s="856"/>
      <c r="L26" s="549"/>
      <c r="M26" s="549"/>
      <c r="N26" s="541"/>
      <c r="P26" s="16"/>
      <c r="Q26" s="16"/>
    </row>
    <row r="27" spans="1:17" s="1" customFormat="1" ht="16.5" customHeight="1" thickBot="1" x14ac:dyDescent="0.25">
      <c r="A27" s="225"/>
      <c r="B27" s="226"/>
      <c r="C27" s="227"/>
      <c r="D27" s="848"/>
      <c r="E27" s="851"/>
      <c r="F27" s="838"/>
      <c r="G27" s="60" t="s">
        <v>38</v>
      </c>
      <c r="H27" s="38">
        <f>SUM(H22:H26)</f>
        <v>181.79999999999998</v>
      </c>
      <c r="I27" s="38">
        <f>SUM(I22:I25)</f>
        <v>184.9</v>
      </c>
      <c r="J27" s="38">
        <f>SUM(J22:J25)</f>
        <v>184.9</v>
      </c>
      <c r="K27" s="857"/>
      <c r="L27" s="163"/>
      <c r="M27" s="163"/>
      <c r="N27" s="164"/>
    </row>
    <row r="28" spans="1:17" s="1" customFormat="1" ht="27.75" customHeight="1" x14ac:dyDescent="0.2">
      <c r="A28" s="825" t="s">
        <v>20</v>
      </c>
      <c r="B28" s="829" t="s">
        <v>20</v>
      </c>
      <c r="C28" s="833" t="s">
        <v>48</v>
      </c>
      <c r="D28" s="846" t="s">
        <v>126</v>
      </c>
      <c r="E28" s="778"/>
      <c r="F28" s="836" t="s">
        <v>26</v>
      </c>
      <c r="G28" s="209" t="s">
        <v>74</v>
      </c>
      <c r="H28" s="64">
        <v>34.6</v>
      </c>
      <c r="I28" s="32"/>
      <c r="J28" s="65"/>
      <c r="K28" s="676" t="s">
        <v>49</v>
      </c>
      <c r="L28" s="66" t="s">
        <v>50</v>
      </c>
      <c r="M28" s="176"/>
      <c r="N28" s="177"/>
    </row>
    <row r="29" spans="1:17" s="1" customFormat="1" ht="27.75" customHeight="1" x14ac:dyDescent="0.2">
      <c r="A29" s="826"/>
      <c r="B29" s="830"/>
      <c r="C29" s="773"/>
      <c r="D29" s="847"/>
      <c r="E29" s="779"/>
      <c r="F29" s="837"/>
      <c r="G29" s="11" t="s">
        <v>180</v>
      </c>
      <c r="H29" s="540">
        <v>6.1</v>
      </c>
      <c r="I29" s="551"/>
      <c r="J29" s="13"/>
      <c r="K29" s="70" t="s">
        <v>124</v>
      </c>
      <c r="L29" s="71">
        <v>4</v>
      </c>
      <c r="M29" s="54"/>
      <c r="N29" s="55"/>
    </row>
    <row r="30" spans="1:17" s="1" customFormat="1" ht="18" customHeight="1" x14ac:dyDescent="0.2">
      <c r="A30" s="827"/>
      <c r="B30" s="831"/>
      <c r="C30" s="834"/>
      <c r="D30" s="847"/>
      <c r="E30" s="779"/>
      <c r="F30" s="837"/>
      <c r="G30" s="21"/>
      <c r="H30" s="74"/>
      <c r="I30" s="75"/>
      <c r="J30" s="75"/>
      <c r="K30" s="76" t="s">
        <v>51</v>
      </c>
      <c r="L30" s="77"/>
      <c r="M30" s="206">
        <v>100</v>
      </c>
      <c r="N30" s="207"/>
    </row>
    <row r="31" spans="1:17" s="1" customFormat="1" ht="18" customHeight="1" thickBot="1" x14ac:dyDescent="0.25">
      <c r="A31" s="828"/>
      <c r="B31" s="832"/>
      <c r="C31" s="835"/>
      <c r="D31" s="848"/>
      <c r="E31" s="780"/>
      <c r="F31" s="838"/>
      <c r="G31" s="24" t="s">
        <v>38</v>
      </c>
      <c r="H31" s="78">
        <f>SUM(H28:H30)</f>
        <v>40.700000000000003</v>
      </c>
      <c r="I31" s="79">
        <f>SUM(I28:I30)</f>
        <v>0</v>
      </c>
      <c r="J31" s="79">
        <f t="shared" ref="J31" si="0">SUM(J28:J30)</f>
        <v>0</v>
      </c>
      <c r="K31" s="80" t="s">
        <v>52</v>
      </c>
      <c r="L31" s="81"/>
      <c r="M31" s="204">
        <v>920</v>
      </c>
      <c r="N31" s="205">
        <v>920</v>
      </c>
    </row>
    <row r="32" spans="1:17" s="1" customFormat="1" ht="14.25" customHeight="1" thickBot="1" x14ac:dyDescent="0.25">
      <c r="A32" s="228" t="s">
        <v>20</v>
      </c>
      <c r="B32" s="229" t="s">
        <v>20</v>
      </c>
      <c r="C32" s="863" t="s">
        <v>53</v>
      </c>
      <c r="D32" s="864"/>
      <c r="E32" s="864"/>
      <c r="F32" s="864"/>
      <c r="G32" s="865"/>
      <c r="H32" s="83">
        <f>H27+H21+H18+H31</f>
        <v>683.2</v>
      </c>
      <c r="I32" s="84">
        <f t="shared" ref="I32:J32" si="1">I27+I21+I18+I31</f>
        <v>564.79999999999995</v>
      </c>
      <c r="J32" s="85">
        <f t="shared" si="1"/>
        <v>564.79999999999995</v>
      </c>
      <c r="K32" s="894"/>
      <c r="L32" s="895"/>
      <c r="M32" s="895"/>
      <c r="N32" s="896"/>
      <c r="O32" s="86"/>
    </row>
    <row r="33" spans="1:17" s="1" customFormat="1" ht="14.25" customHeight="1" thickBot="1" x14ac:dyDescent="0.25">
      <c r="A33" s="218" t="s">
        <v>20</v>
      </c>
      <c r="B33" s="230" t="s">
        <v>39</v>
      </c>
      <c r="C33" s="852" t="s">
        <v>54</v>
      </c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4"/>
    </row>
    <row r="34" spans="1:17" s="1" customFormat="1" ht="16.5" customHeight="1" x14ac:dyDescent="0.2">
      <c r="A34" s="231" t="s">
        <v>20</v>
      </c>
      <c r="B34" s="232" t="s">
        <v>39</v>
      </c>
      <c r="C34" s="233" t="s">
        <v>20</v>
      </c>
      <c r="D34" s="858" t="s">
        <v>55</v>
      </c>
      <c r="E34" s="564"/>
      <c r="F34" s="836" t="s">
        <v>26</v>
      </c>
      <c r="G34" s="90" t="s">
        <v>41</v>
      </c>
      <c r="H34" s="91">
        <f>897.1+10.7</f>
        <v>907.80000000000007</v>
      </c>
      <c r="I34" s="91">
        <v>896</v>
      </c>
      <c r="J34" s="65">
        <v>896</v>
      </c>
      <c r="K34" s="234" t="s">
        <v>127</v>
      </c>
      <c r="L34" s="235">
        <v>55</v>
      </c>
      <c r="M34" s="236" t="s">
        <v>56</v>
      </c>
      <c r="N34" s="237">
        <v>55</v>
      </c>
    </row>
    <row r="35" spans="1:17" s="1" customFormat="1" ht="54.75" customHeight="1" x14ac:dyDescent="0.2">
      <c r="A35" s="655"/>
      <c r="B35" s="656"/>
      <c r="C35" s="657"/>
      <c r="D35" s="859"/>
      <c r="E35" s="658"/>
      <c r="F35" s="860"/>
      <c r="G35" s="96" t="s">
        <v>182</v>
      </c>
      <c r="H35" s="97">
        <v>0.2</v>
      </c>
      <c r="I35" s="550"/>
      <c r="J35" s="172"/>
      <c r="K35" s="241" t="s">
        <v>57</v>
      </c>
      <c r="L35" s="242" t="s">
        <v>58</v>
      </c>
      <c r="M35" s="242" t="s">
        <v>59</v>
      </c>
      <c r="N35" s="243" t="s">
        <v>59</v>
      </c>
      <c r="P35" s="16"/>
    </row>
    <row r="36" spans="1:17" s="1" customFormat="1" ht="40.5" customHeight="1" x14ac:dyDescent="0.2">
      <c r="A36" s="238"/>
      <c r="B36" s="239"/>
      <c r="C36" s="240"/>
      <c r="D36" s="652"/>
      <c r="E36" s="566"/>
      <c r="F36" s="328"/>
      <c r="G36" s="629" t="s">
        <v>60</v>
      </c>
      <c r="H36" s="36">
        <v>1.1000000000000001</v>
      </c>
      <c r="I36" s="630">
        <v>1.1000000000000001</v>
      </c>
      <c r="J36" s="630">
        <v>1.1000000000000001</v>
      </c>
      <c r="K36" s="80" t="s">
        <v>125</v>
      </c>
      <c r="L36" s="653" t="s">
        <v>61</v>
      </c>
      <c r="M36" s="653" t="s">
        <v>61</v>
      </c>
      <c r="N36" s="654" t="s">
        <v>61</v>
      </c>
    </row>
    <row r="37" spans="1:17" s="1" customFormat="1" ht="16.5" customHeight="1" thickBot="1" x14ac:dyDescent="0.25">
      <c r="A37" s="225"/>
      <c r="B37" s="226"/>
      <c r="C37" s="227"/>
      <c r="D37" s="568"/>
      <c r="E37" s="569"/>
      <c r="F37" s="358"/>
      <c r="G37" s="99" t="s">
        <v>38</v>
      </c>
      <c r="H37" s="25">
        <f>SUM(H34:H36)</f>
        <v>909.10000000000014</v>
      </c>
      <c r="I37" s="25">
        <f>SUM(I34:I36)</f>
        <v>897.1</v>
      </c>
      <c r="J37" s="25">
        <f>SUM(J34:J36)</f>
        <v>897.1</v>
      </c>
      <c r="K37" s="244" t="s">
        <v>62</v>
      </c>
      <c r="L37" s="245">
        <v>1</v>
      </c>
      <c r="M37" s="246"/>
      <c r="N37" s="247"/>
      <c r="Q37" s="16"/>
    </row>
    <row r="38" spans="1:17" s="1" customFormat="1" ht="40.5" customHeight="1" x14ac:dyDescent="0.2">
      <c r="A38" s="88" t="s">
        <v>20</v>
      </c>
      <c r="B38" s="89" t="s">
        <v>39</v>
      </c>
      <c r="C38" s="214" t="s">
        <v>39</v>
      </c>
      <c r="D38" s="905" t="s">
        <v>128</v>
      </c>
      <c r="E38" s="907" t="s">
        <v>202</v>
      </c>
      <c r="F38" s="836" t="s">
        <v>26</v>
      </c>
      <c r="G38" s="90" t="s">
        <v>45</v>
      </c>
      <c r="H38" s="100">
        <v>16</v>
      </c>
      <c r="I38" s="7">
        <v>21</v>
      </c>
      <c r="J38" s="7">
        <v>21</v>
      </c>
      <c r="K38" s="210" t="s">
        <v>132</v>
      </c>
      <c r="L38" s="101">
        <v>8</v>
      </c>
      <c r="M38" s="102" t="s">
        <v>63</v>
      </c>
      <c r="N38" s="103">
        <v>8</v>
      </c>
    </row>
    <row r="39" spans="1:17" s="1" customFormat="1" ht="15" customHeight="1" thickBot="1" x14ac:dyDescent="0.25">
      <c r="A39" s="58"/>
      <c r="B39" s="59"/>
      <c r="C39" s="215"/>
      <c r="D39" s="906"/>
      <c r="E39" s="908"/>
      <c r="F39" s="838"/>
      <c r="G39" s="99" t="s">
        <v>38</v>
      </c>
      <c r="H39" s="25">
        <f t="shared" ref="H39:J39" si="2">SUM(H38:H38)</f>
        <v>16</v>
      </c>
      <c r="I39" s="27">
        <f>SUM(I38:I38)</f>
        <v>21</v>
      </c>
      <c r="J39" s="26">
        <f t="shared" si="2"/>
        <v>21</v>
      </c>
      <c r="K39" s="104"/>
      <c r="L39" s="105"/>
      <c r="M39" s="105"/>
      <c r="N39" s="106"/>
    </row>
    <row r="40" spans="1:17" s="1" customFormat="1" ht="33" customHeight="1" x14ac:dyDescent="0.2">
      <c r="A40" s="88" t="s">
        <v>20</v>
      </c>
      <c r="B40" s="89" t="s">
        <v>39</v>
      </c>
      <c r="C40" s="214" t="s">
        <v>43</v>
      </c>
      <c r="D40" s="554" t="s">
        <v>187</v>
      </c>
      <c r="E40" s="560"/>
      <c r="F40" s="836" t="s">
        <v>26</v>
      </c>
      <c r="G40" s="107" t="s">
        <v>27</v>
      </c>
      <c r="H40" s="108">
        <f>15+9.8-5.1</f>
        <v>19.700000000000003</v>
      </c>
      <c r="I40" s="91">
        <v>10</v>
      </c>
      <c r="J40" s="65">
        <v>5</v>
      </c>
      <c r="L40" s="556"/>
      <c r="M40" s="92"/>
      <c r="N40" s="110"/>
    </row>
    <row r="41" spans="1:17" s="1" customFormat="1" ht="16.5" customHeight="1" x14ac:dyDescent="0.2">
      <c r="A41" s="212"/>
      <c r="B41" s="93"/>
      <c r="C41" s="213"/>
      <c r="D41" s="898" t="s">
        <v>64</v>
      </c>
      <c r="E41" s="901" t="s">
        <v>65</v>
      </c>
      <c r="F41" s="837"/>
      <c r="G41" s="63"/>
      <c r="H41" s="111"/>
      <c r="I41" s="112"/>
      <c r="J41" s="19"/>
      <c r="K41" s="345" t="s">
        <v>66</v>
      </c>
      <c r="L41" s="95" t="s">
        <v>67</v>
      </c>
      <c r="M41" s="555"/>
      <c r="N41" s="553"/>
    </row>
    <row r="42" spans="1:17" s="1" customFormat="1" ht="17.25" customHeight="1" x14ac:dyDescent="0.2">
      <c r="A42" s="212"/>
      <c r="B42" s="93"/>
      <c r="C42" s="213"/>
      <c r="D42" s="898"/>
      <c r="E42" s="901"/>
      <c r="F42" s="837"/>
      <c r="G42" s="63"/>
      <c r="H42" s="111"/>
      <c r="I42" s="112"/>
      <c r="J42" s="19"/>
      <c r="K42" s="636" t="s">
        <v>68</v>
      </c>
      <c r="L42" s="95" t="s">
        <v>67</v>
      </c>
      <c r="M42" s="95"/>
      <c r="N42" s="114"/>
    </row>
    <row r="43" spans="1:17" s="1" customFormat="1" ht="28.5" customHeight="1" x14ac:dyDescent="0.2">
      <c r="A43" s="212"/>
      <c r="B43" s="93"/>
      <c r="C43" s="213"/>
      <c r="D43" s="898"/>
      <c r="E43" s="901"/>
      <c r="F43" s="837"/>
      <c r="G43" s="63"/>
      <c r="H43" s="111"/>
      <c r="I43" s="112"/>
      <c r="J43" s="19"/>
      <c r="K43" s="637" t="s">
        <v>69</v>
      </c>
      <c r="L43" s="116"/>
      <c r="M43" s="98" t="s">
        <v>67</v>
      </c>
      <c r="N43" s="117"/>
    </row>
    <row r="44" spans="1:17" s="1" customFormat="1" ht="30.75" customHeight="1" x14ac:dyDescent="0.2">
      <c r="A44" s="212"/>
      <c r="B44" s="93"/>
      <c r="C44" s="213"/>
      <c r="D44" s="859"/>
      <c r="E44" s="902"/>
      <c r="F44" s="837"/>
      <c r="G44" s="63"/>
      <c r="H44" s="111"/>
      <c r="I44" s="112"/>
      <c r="J44" s="19"/>
      <c r="K44" s="637" t="s">
        <v>163</v>
      </c>
      <c r="L44" s="98"/>
      <c r="M44" s="98"/>
      <c r="N44" s="118" t="s">
        <v>188</v>
      </c>
    </row>
    <row r="45" spans="1:17" s="1" customFormat="1" ht="42.75" customHeight="1" x14ac:dyDescent="0.2">
      <c r="A45" s="212"/>
      <c r="B45" s="93"/>
      <c r="C45" s="213"/>
      <c r="D45" s="897" t="s">
        <v>185</v>
      </c>
      <c r="E45" s="561"/>
      <c r="F45" s="837"/>
      <c r="G45" s="63"/>
      <c r="H45" s="111"/>
      <c r="I45" s="112"/>
      <c r="J45" s="19"/>
      <c r="K45" s="637" t="s">
        <v>186</v>
      </c>
      <c r="L45" s="98" t="s">
        <v>67</v>
      </c>
      <c r="M45" s="98"/>
      <c r="N45" s="117"/>
      <c r="O45" s="16"/>
      <c r="Q45" s="16"/>
    </row>
    <row r="46" spans="1:17" s="1" customFormat="1" ht="17.25" customHeight="1" thickBot="1" x14ac:dyDescent="0.25">
      <c r="A46" s="212"/>
      <c r="B46" s="93"/>
      <c r="C46" s="213"/>
      <c r="D46" s="898"/>
      <c r="E46" s="561"/>
      <c r="F46" s="837"/>
      <c r="G46" s="661" t="s">
        <v>38</v>
      </c>
      <c r="H46" s="662">
        <f t="shared" ref="H46:J48" si="3">SUM(H40:H40)</f>
        <v>19.700000000000003</v>
      </c>
      <c r="I46" s="79">
        <f t="shared" si="3"/>
        <v>10</v>
      </c>
      <c r="J46" s="79">
        <f t="shared" si="3"/>
        <v>5</v>
      </c>
      <c r="K46" s="638"/>
      <c r="L46" s="433"/>
      <c r="M46" s="433"/>
      <c r="N46" s="552"/>
    </row>
    <row r="47" spans="1:17" s="1" customFormat="1" ht="42.75" customHeight="1" x14ac:dyDescent="0.2">
      <c r="A47" s="88" t="s">
        <v>20</v>
      </c>
      <c r="B47" s="89" t="s">
        <v>39</v>
      </c>
      <c r="C47" s="214" t="s">
        <v>48</v>
      </c>
      <c r="D47" s="903" t="s">
        <v>206</v>
      </c>
      <c r="E47" s="663"/>
      <c r="F47" s="836" t="s">
        <v>26</v>
      </c>
      <c r="G47" s="107" t="s">
        <v>27</v>
      </c>
      <c r="H47" s="108">
        <v>4.3</v>
      </c>
      <c r="I47" s="91"/>
      <c r="J47" s="65"/>
      <c r="K47" s="664" t="s">
        <v>207</v>
      </c>
      <c r="L47" s="102" t="s">
        <v>208</v>
      </c>
      <c r="M47" s="102"/>
      <c r="N47" s="665"/>
      <c r="O47" s="16"/>
      <c r="Q47" s="16"/>
    </row>
    <row r="48" spans="1:17" s="1" customFormat="1" ht="17.25" customHeight="1" thickBot="1" x14ac:dyDescent="0.25">
      <c r="A48" s="58"/>
      <c r="B48" s="59"/>
      <c r="C48" s="215"/>
      <c r="D48" s="904"/>
      <c r="E48" s="660"/>
      <c r="F48" s="838"/>
      <c r="G48" s="99" t="s">
        <v>38</v>
      </c>
      <c r="H48" s="25">
        <f>SUM(H47)</f>
        <v>4.3</v>
      </c>
      <c r="I48" s="27">
        <f t="shared" si="3"/>
        <v>0</v>
      </c>
      <c r="J48" s="27">
        <f t="shared" si="3"/>
        <v>0</v>
      </c>
      <c r="K48" s="666"/>
      <c r="L48" s="667"/>
      <c r="M48" s="667"/>
      <c r="N48" s="106"/>
    </row>
    <row r="49" spans="1:18" s="1" customFormat="1" ht="15.75" customHeight="1" thickBot="1" x14ac:dyDescent="0.25">
      <c r="A49" s="322" t="s">
        <v>20</v>
      </c>
      <c r="B49" s="272" t="s">
        <v>39</v>
      </c>
      <c r="C49" s="879" t="s">
        <v>53</v>
      </c>
      <c r="D49" s="880"/>
      <c r="E49" s="880"/>
      <c r="F49" s="880"/>
      <c r="G49" s="881"/>
      <c r="H49" s="651">
        <f>H46+H39+H37+H48</f>
        <v>949.10000000000014</v>
      </c>
      <c r="I49" s="651">
        <f>I46+I39+I37</f>
        <v>928.1</v>
      </c>
      <c r="J49" s="651">
        <f>J46+J39+J37</f>
        <v>923.1</v>
      </c>
      <c r="K49" s="918"/>
      <c r="L49" s="919"/>
      <c r="M49" s="919"/>
      <c r="N49" s="920"/>
      <c r="O49" s="16"/>
    </row>
    <row r="50" spans="1:18" s="1" customFormat="1" ht="13.5" thickBot="1" x14ac:dyDescent="0.25">
      <c r="A50" s="2" t="s">
        <v>20</v>
      </c>
      <c r="B50" s="87" t="s">
        <v>43</v>
      </c>
      <c r="C50" s="882" t="s">
        <v>71</v>
      </c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4"/>
      <c r="O50" s="16"/>
    </row>
    <row r="51" spans="1:18" s="1" customFormat="1" ht="21.75" customHeight="1" x14ac:dyDescent="0.2">
      <c r="A51" s="869" t="s">
        <v>20</v>
      </c>
      <c r="B51" s="871" t="s">
        <v>43</v>
      </c>
      <c r="C51" s="887" t="s">
        <v>20</v>
      </c>
      <c r="D51" s="890" t="s">
        <v>129</v>
      </c>
      <c r="E51" s="689" t="s">
        <v>72</v>
      </c>
      <c r="F51" s="877" t="s">
        <v>70</v>
      </c>
      <c r="G51" s="119" t="s">
        <v>41</v>
      </c>
      <c r="H51" s="120">
        <v>125</v>
      </c>
      <c r="I51" s="121">
        <v>125</v>
      </c>
      <c r="J51" s="122">
        <v>125</v>
      </c>
      <c r="K51" s="866" t="s">
        <v>203</v>
      </c>
      <c r="L51" s="123">
        <v>30</v>
      </c>
      <c r="M51" s="124">
        <v>60</v>
      </c>
      <c r="N51" s="125">
        <v>100</v>
      </c>
      <c r="R51" s="16"/>
    </row>
    <row r="52" spans="1:18" s="1" customFormat="1" ht="25.5" customHeight="1" x14ac:dyDescent="0.2">
      <c r="A52" s="885"/>
      <c r="B52" s="886"/>
      <c r="C52" s="888"/>
      <c r="D52" s="891"/>
      <c r="E52" s="899" t="s">
        <v>189</v>
      </c>
      <c r="F52" s="893"/>
      <c r="G52" s="126" t="s">
        <v>74</v>
      </c>
      <c r="H52" s="127">
        <v>11.8</v>
      </c>
      <c r="I52" s="128"/>
      <c r="J52" s="129"/>
      <c r="K52" s="867"/>
      <c r="L52" s="130"/>
      <c r="M52" s="131"/>
      <c r="N52" s="132"/>
    </row>
    <row r="53" spans="1:18" s="1" customFormat="1" ht="15.75" customHeight="1" thickBot="1" x14ac:dyDescent="0.25">
      <c r="A53" s="870"/>
      <c r="B53" s="872"/>
      <c r="C53" s="889"/>
      <c r="D53" s="892"/>
      <c r="E53" s="900"/>
      <c r="F53" s="878"/>
      <c r="G53" s="686" t="s">
        <v>38</v>
      </c>
      <c r="H53" s="133">
        <f>SUM(H51:H52)</f>
        <v>136.80000000000001</v>
      </c>
      <c r="I53" s="134">
        <f>SUM(I51:I52)</f>
        <v>125</v>
      </c>
      <c r="J53" s="135">
        <f>SUM(J51:J52)</f>
        <v>125</v>
      </c>
      <c r="K53" s="868"/>
      <c r="L53" s="136"/>
      <c r="M53" s="137"/>
      <c r="N53" s="138"/>
      <c r="P53" s="16"/>
    </row>
    <row r="54" spans="1:18" s="1" customFormat="1" ht="39.75" customHeight="1" x14ac:dyDescent="0.2">
      <c r="A54" s="869" t="s">
        <v>20</v>
      </c>
      <c r="B54" s="871" t="s">
        <v>43</v>
      </c>
      <c r="C54" s="873" t="s">
        <v>39</v>
      </c>
      <c r="D54" s="875" t="s">
        <v>133</v>
      </c>
      <c r="E54" s="682" t="s">
        <v>189</v>
      </c>
      <c r="F54" s="877" t="s">
        <v>70</v>
      </c>
      <c r="G54" s="139" t="s">
        <v>41</v>
      </c>
      <c r="H54" s="31">
        <v>365</v>
      </c>
      <c r="I54" s="64"/>
      <c r="J54" s="64"/>
      <c r="K54" s="141" t="s">
        <v>76</v>
      </c>
      <c r="L54" s="545">
        <v>3</v>
      </c>
      <c r="M54" s="545"/>
      <c r="N54" s="546"/>
      <c r="O54" s="16"/>
      <c r="P54" s="16"/>
    </row>
    <row r="55" spans="1:18" s="1" customFormat="1" ht="18" customHeight="1" thickBot="1" x14ac:dyDescent="0.25">
      <c r="A55" s="870"/>
      <c r="B55" s="872"/>
      <c r="C55" s="874"/>
      <c r="D55" s="876"/>
      <c r="E55" s="692" t="s">
        <v>72</v>
      </c>
      <c r="F55" s="878"/>
      <c r="G55" s="687" t="s">
        <v>38</v>
      </c>
      <c r="H55" s="25">
        <f>H54</f>
        <v>365</v>
      </c>
      <c r="I55" s="38">
        <f>SUM(I54:I54)</f>
        <v>0</v>
      </c>
      <c r="J55" s="38">
        <f>SUM(J54:J54)</f>
        <v>0</v>
      </c>
      <c r="K55" s="542"/>
      <c r="L55" s="543"/>
      <c r="M55" s="543"/>
      <c r="N55" s="544"/>
      <c r="Q55" s="16"/>
    </row>
    <row r="56" spans="1:18" s="1" customFormat="1" ht="36.75" customHeight="1" x14ac:dyDescent="0.2">
      <c r="A56" s="869" t="s">
        <v>20</v>
      </c>
      <c r="B56" s="871" t="s">
        <v>43</v>
      </c>
      <c r="C56" s="873" t="s">
        <v>43</v>
      </c>
      <c r="D56" s="912" t="s">
        <v>77</v>
      </c>
      <c r="E56" s="558" t="s">
        <v>190</v>
      </c>
      <c r="F56" s="877" t="s">
        <v>70</v>
      </c>
      <c r="G56" s="142" t="s">
        <v>74</v>
      </c>
      <c r="H56" s="31">
        <v>3107.7</v>
      </c>
      <c r="I56" s="41">
        <v>2345.4</v>
      </c>
      <c r="J56" s="65"/>
      <c r="K56" s="909" t="s">
        <v>78</v>
      </c>
      <c r="L56" s="143">
        <v>60</v>
      </c>
      <c r="M56" s="143">
        <v>100</v>
      </c>
      <c r="N56" s="68"/>
      <c r="O56" s="86"/>
      <c r="P56" s="16"/>
      <c r="R56" s="16"/>
    </row>
    <row r="57" spans="1:18" s="1" customFormat="1" ht="13.5" thickBot="1" x14ac:dyDescent="0.25">
      <c r="A57" s="870"/>
      <c r="B57" s="872"/>
      <c r="C57" s="874"/>
      <c r="D57" s="914"/>
      <c r="E57" s="559" t="s">
        <v>72</v>
      </c>
      <c r="F57" s="878"/>
      <c r="G57" s="687" t="s">
        <v>38</v>
      </c>
      <c r="H57" s="25">
        <f>SUM(H56:H56)</f>
        <v>3107.7</v>
      </c>
      <c r="I57" s="38">
        <f>SUM(I56:I56)</f>
        <v>2345.4</v>
      </c>
      <c r="J57" s="38"/>
      <c r="K57" s="910"/>
      <c r="L57" s="144"/>
      <c r="M57" s="144"/>
      <c r="N57" s="62"/>
    </row>
    <row r="58" spans="1:18" s="1" customFormat="1" ht="18" customHeight="1" x14ac:dyDescent="0.2">
      <c r="A58" s="869" t="s">
        <v>20</v>
      </c>
      <c r="B58" s="871" t="s">
        <v>43</v>
      </c>
      <c r="C58" s="873" t="s">
        <v>48</v>
      </c>
      <c r="D58" s="912" t="s">
        <v>79</v>
      </c>
      <c r="E58" s="691" t="s">
        <v>72</v>
      </c>
      <c r="F58" s="877" t="s">
        <v>70</v>
      </c>
      <c r="G58" s="139" t="s">
        <v>27</v>
      </c>
      <c r="H58" s="31">
        <v>3.5</v>
      </c>
      <c r="I58" s="41"/>
      <c r="J58" s="7">
        <v>50</v>
      </c>
      <c r="K58" s="679" t="s">
        <v>80</v>
      </c>
      <c r="L58" s="145">
        <v>1</v>
      </c>
      <c r="M58" s="145"/>
      <c r="N58" s="146"/>
    </row>
    <row r="59" spans="1:18" s="1" customFormat="1" ht="21.75" customHeight="1" x14ac:dyDescent="0.2">
      <c r="A59" s="885"/>
      <c r="B59" s="886"/>
      <c r="C59" s="911"/>
      <c r="D59" s="913"/>
      <c r="E59" s="916" t="s">
        <v>189</v>
      </c>
      <c r="F59" s="915"/>
      <c r="G59" s="147" t="s">
        <v>74</v>
      </c>
      <c r="H59" s="148"/>
      <c r="I59" s="69">
        <v>104.5</v>
      </c>
      <c r="J59" s="19">
        <v>1113</v>
      </c>
      <c r="K59" s="680" t="s">
        <v>81</v>
      </c>
      <c r="L59" s="149"/>
      <c r="M59" s="149">
        <v>1</v>
      </c>
      <c r="N59" s="150"/>
      <c r="O59" s="86"/>
    </row>
    <row r="60" spans="1:18" s="1" customFormat="1" ht="18" customHeight="1" thickBot="1" x14ac:dyDescent="0.25">
      <c r="A60" s="870"/>
      <c r="B60" s="872"/>
      <c r="C60" s="874"/>
      <c r="D60" s="914"/>
      <c r="E60" s="917"/>
      <c r="F60" s="878"/>
      <c r="G60" s="687" t="s">
        <v>38</v>
      </c>
      <c r="H60" s="25">
        <f>SUM(H58:H59)</f>
        <v>3.5</v>
      </c>
      <c r="I60" s="38">
        <f>SUM(I58:I59)</f>
        <v>104.5</v>
      </c>
      <c r="J60" s="27">
        <f>SUM(J58:J59)</f>
        <v>1163</v>
      </c>
      <c r="K60" s="690" t="s">
        <v>82</v>
      </c>
      <c r="L60" s="151"/>
      <c r="M60" s="151"/>
      <c r="N60" s="152">
        <v>50</v>
      </c>
    </row>
    <row r="61" spans="1:18" s="1" customFormat="1" ht="24.75" customHeight="1" x14ac:dyDescent="0.2">
      <c r="A61" s="869" t="s">
        <v>20</v>
      </c>
      <c r="B61" s="871" t="s">
        <v>43</v>
      </c>
      <c r="C61" s="873" t="s">
        <v>83</v>
      </c>
      <c r="D61" s="875" t="s">
        <v>84</v>
      </c>
      <c r="E61" s="691" t="s">
        <v>72</v>
      </c>
      <c r="F61" s="877" t="s">
        <v>70</v>
      </c>
      <c r="G61" s="153" t="s">
        <v>41</v>
      </c>
      <c r="H61" s="40">
        <v>123</v>
      </c>
      <c r="I61" s="41">
        <v>59.5</v>
      </c>
      <c r="J61" s="7"/>
      <c r="K61" s="154" t="s">
        <v>85</v>
      </c>
      <c r="L61" s="42">
        <v>1</v>
      </c>
      <c r="M61" s="42"/>
      <c r="N61" s="146"/>
      <c r="P61" s="16"/>
    </row>
    <row r="62" spans="1:18" s="1" customFormat="1" ht="27" customHeight="1" x14ac:dyDescent="0.2">
      <c r="A62" s="885"/>
      <c r="B62" s="886"/>
      <c r="C62" s="911"/>
      <c r="D62" s="921"/>
      <c r="E62" s="916" t="s">
        <v>191</v>
      </c>
      <c r="F62" s="915"/>
      <c r="G62" s="155" t="s">
        <v>74</v>
      </c>
      <c r="H62" s="18"/>
      <c r="I62" s="156"/>
      <c r="J62" s="75"/>
      <c r="K62" s="695" t="s">
        <v>203</v>
      </c>
      <c r="L62" s="54"/>
      <c r="M62" s="54">
        <v>100</v>
      </c>
      <c r="N62" s="152"/>
    </row>
    <row r="63" spans="1:18" s="1" customFormat="1" ht="18.75" customHeight="1" thickBot="1" x14ac:dyDescent="0.25">
      <c r="A63" s="870"/>
      <c r="B63" s="872"/>
      <c r="C63" s="874"/>
      <c r="D63" s="876"/>
      <c r="E63" s="917"/>
      <c r="F63" s="878"/>
      <c r="G63" s="687" t="s">
        <v>38</v>
      </c>
      <c r="H63" s="133">
        <f t="shared" ref="H63" si="4">H61</f>
        <v>123</v>
      </c>
      <c r="I63" s="158">
        <f>I61</f>
        <v>59.5</v>
      </c>
      <c r="J63" s="159"/>
      <c r="K63" s="160"/>
      <c r="L63" s="48"/>
      <c r="M63" s="48"/>
      <c r="N63" s="694"/>
    </row>
    <row r="64" spans="1:18" s="1" customFormat="1" ht="42.75" customHeight="1" x14ac:dyDescent="0.2">
      <c r="A64" s="869" t="s">
        <v>20</v>
      </c>
      <c r="B64" s="871" t="s">
        <v>43</v>
      </c>
      <c r="C64" s="873" t="s">
        <v>87</v>
      </c>
      <c r="D64" s="912" t="s">
        <v>192</v>
      </c>
      <c r="E64" s="682" t="s">
        <v>190</v>
      </c>
      <c r="F64" s="877" t="s">
        <v>70</v>
      </c>
      <c r="G64" s="139" t="s">
        <v>27</v>
      </c>
      <c r="H64" s="31">
        <v>40</v>
      </c>
      <c r="I64" s="140"/>
      <c r="J64" s="65"/>
      <c r="K64" s="678" t="s">
        <v>88</v>
      </c>
      <c r="L64" s="67">
        <v>1</v>
      </c>
      <c r="M64" s="67"/>
      <c r="N64" s="68"/>
      <c r="P64" s="16"/>
    </row>
    <row r="65" spans="1:18" s="1" customFormat="1" ht="13.5" thickBot="1" x14ac:dyDescent="0.25">
      <c r="A65" s="870"/>
      <c r="B65" s="872"/>
      <c r="C65" s="874"/>
      <c r="D65" s="914"/>
      <c r="E65" s="559" t="s">
        <v>72</v>
      </c>
      <c r="F65" s="878"/>
      <c r="G65" s="687" t="s">
        <v>38</v>
      </c>
      <c r="H65" s="25">
        <f>SUM(H64:H64)</f>
        <v>40</v>
      </c>
      <c r="I65" s="38"/>
      <c r="J65" s="38"/>
      <c r="K65" s="162"/>
      <c r="L65" s="61"/>
      <c r="M65" s="163"/>
      <c r="N65" s="164"/>
    </row>
    <row r="66" spans="1:18" s="1" customFormat="1" ht="15.75" customHeight="1" x14ac:dyDescent="0.2">
      <c r="A66" s="869" t="s">
        <v>20</v>
      </c>
      <c r="B66" s="871" t="s">
        <v>43</v>
      </c>
      <c r="C66" s="873" t="s">
        <v>25</v>
      </c>
      <c r="D66" s="912" t="s">
        <v>89</v>
      </c>
      <c r="E66" s="691" t="s">
        <v>72</v>
      </c>
      <c r="F66" s="922" t="s">
        <v>26</v>
      </c>
      <c r="G66" s="142" t="s">
        <v>74</v>
      </c>
      <c r="H66" s="31">
        <v>304</v>
      </c>
      <c r="I66" s="41"/>
      <c r="J66" s="65"/>
      <c r="K66" s="924" t="s">
        <v>90</v>
      </c>
      <c r="L66" s="67">
        <v>1</v>
      </c>
      <c r="M66" s="67"/>
      <c r="N66" s="68"/>
      <c r="O66" s="86"/>
      <c r="P66" s="16"/>
    </row>
    <row r="67" spans="1:18" s="1" customFormat="1" ht="23.25" customHeight="1" x14ac:dyDescent="0.2">
      <c r="A67" s="885"/>
      <c r="B67" s="886"/>
      <c r="C67" s="911"/>
      <c r="D67" s="913"/>
      <c r="E67" s="916" t="s">
        <v>193</v>
      </c>
      <c r="F67" s="837"/>
      <c r="G67" s="165" t="s">
        <v>27</v>
      </c>
      <c r="H67" s="97">
        <v>130</v>
      </c>
      <c r="I67" s="69"/>
      <c r="J67" s="166"/>
      <c r="K67" s="925"/>
      <c r="L67" s="33"/>
      <c r="M67" s="33"/>
      <c r="N67" s="34"/>
      <c r="P67" s="16"/>
    </row>
    <row r="68" spans="1:18" s="1" customFormat="1" ht="15.75" customHeight="1" thickBot="1" x14ac:dyDescent="0.25">
      <c r="A68" s="870"/>
      <c r="B68" s="872"/>
      <c r="C68" s="874"/>
      <c r="D68" s="914"/>
      <c r="E68" s="917"/>
      <c r="F68" s="923"/>
      <c r="G68" s="687" t="s">
        <v>38</v>
      </c>
      <c r="H68" s="25">
        <f>SUM(H66:H67)</f>
        <v>434</v>
      </c>
      <c r="I68" s="38"/>
      <c r="J68" s="38"/>
      <c r="K68" s="926"/>
      <c r="L68" s="61"/>
      <c r="M68" s="61"/>
      <c r="N68" s="62"/>
      <c r="R68" s="16"/>
    </row>
    <row r="69" spans="1:18" s="1" customFormat="1" ht="36.75" customHeight="1" x14ac:dyDescent="0.2">
      <c r="A69" s="869" t="s">
        <v>20</v>
      </c>
      <c r="B69" s="871" t="s">
        <v>43</v>
      </c>
      <c r="C69" s="873" t="s">
        <v>91</v>
      </c>
      <c r="D69" s="912" t="s">
        <v>92</v>
      </c>
      <c r="E69" s="682" t="s">
        <v>194</v>
      </c>
      <c r="F69" s="922" t="s">
        <v>67</v>
      </c>
      <c r="G69" s="167" t="s">
        <v>27</v>
      </c>
      <c r="H69" s="108">
        <v>79</v>
      </c>
      <c r="I69" s="64"/>
      <c r="J69" s="65"/>
      <c r="K69" s="924" t="s">
        <v>93</v>
      </c>
      <c r="L69" s="67">
        <v>1</v>
      </c>
      <c r="M69" s="67"/>
      <c r="N69" s="68"/>
      <c r="O69" s="86"/>
      <c r="P69" s="16"/>
    </row>
    <row r="70" spans="1:18" s="1" customFormat="1" ht="13.5" thickBot="1" x14ac:dyDescent="0.25">
      <c r="A70" s="870"/>
      <c r="B70" s="872"/>
      <c r="C70" s="874"/>
      <c r="D70" s="914"/>
      <c r="E70" s="559" t="s">
        <v>72</v>
      </c>
      <c r="F70" s="923"/>
      <c r="G70" s="687" t="s">
        <v>38</v>
      </c>
      <c r="H70" s="25">
        <f>SUM(H69:H69)</f>
        <v>79</v>
      </c>
      <c r="I70" s="38"/>
      <c r="J70" s="38"/>
      <c r="K70" s="926"/>
      <c r="L70" s="61"/>
      <c r="M70" s="61"/>
      <c r="N70" s="62"/>
    </row>
    <row r="71" spans="1:18" s="1" customFormat="1" ht="27" customHeight="1" x14ac:dyDescent="0.2">
      <c r="A71" s="869" t="s">
        <v>20</v>
      </c>
      <c r="B71" s="871" t="s">
        <v>43</v>
      </c>
      <c r="C71" s="873" t="s">
        <v>94</v>
      </c>
      <c r="D71" s="912" t="s">
        <v>95</v>
      </c>
      <c r="E71" s="691" t="s">
        <v>72</v>
      </c>
      <c r="F71" s="877" t="s">
        <v>70</v>
      </c>
      <c r="G71" s="168" t="s">
        <v>27</v>
      </c>
      <c r="H71" s="31"/>
      <c r="I71" s="140">
        <v>100</v>
      </c>
      <c r="J71" s="169">
        <v>100</v>
      </c>
      <c r="K71" s="679" t="s">
        <v>88</v>
      </c>
      <c r="L71" s="170">
        <v>1</v>
      </c>
      <c r="M71" s="170"/>
      <c r="N71" s="171"/>
      <c r="P71" s="16"/>
    </row>
    <row r="72" spans="1:18" s="1" customFormat="1" ht="19.5" customHeight="1" x14ac:dyDescent="0.2">
      <c r="A72" s="885"/>
      <c r="B72" s="886"/>
      <c r="C72" s="911"/>
      <c r="D72" s="913"/>
      <c r="E72" s="916" t="s">
        <v>189</v>
      </c>
      <c r="F72" s="915"/>
      <c r="G72" s="168" t="s">
        <v>74</v>
      </c>
      <c r="H72" s="97">
        <v>20</v>
      </c>
      <c r="I72" s="172"/>
      <c r="J72" s="173"/>
      <c r="K72" s="690" t="s">
        <v>85</v>
      </c>
      <c r="L72" s="72"/>
      <c r="M72" s="72"/>
      <c r="N72" s="73">
        <v>1</v>
      </c>
      <c r="P72" s="16"/>
    </row>
    <row r="73" spans="1:18" s="1" customFormat="1" ht="15.75" customHeight="1" thickBot="1" x14ac:dyDescent="0.25">
      <c r="A73" s="870"/>
      <c r="B73" s="872"/>
      <c r="C73" s="874"/>
      <c r="D73" s="914"/>
      <c r="E73" s="917"/>
      <c r="F73" s="878"/>
      <c r="G73" s="687" t="s">
        <v>38</v>
      </c>
      <c r="H73" s="25">
        <f>SUM(H71:H72)</f>
        <v>20</v>
      </c>
      <c r="I73" s="38">
        <f>SUM(I71:I72)</f>
        <v>100</v>
      </c>
      <c r="J73" s="38">
        <f>SUM(J71:J72)</f>
        <v>100</v>
      </c>
      <c r="K73" s="162"/>
      <c r="L73" s="61"/>
      <c r="M73" s="163"/>
      <c r="N73" s="164"/>
      <c r="P73" s="16"/>
    </row>
    <row r="74" spans="1:18" s="1" customFormat="1" ht="22.5" customHeight="1" x14ac:dyDescent="0.2">
      <c r="A74" s="869" t="s">
        <v>20</v>
      </c>
      <c r="B74" s="871" t="s">
        <v>43</v>
      </c>
      <c r="C74" s="873" t="s">
        <v>96</v>
      </c>
      <c r="D74" s="875" t="s">
        <v>131</v>
      </c>
      <c r="E74" s="693" t="s">
        <v>72</v>
      </c>
      <c r="F74" s="877" t="s">
        <v>70</v>
      </c>
      <c r="G74" s="167" t="s">
        <v>27</v>
      </c>
      <c r="H74" s="108">
        <v>24</v>
      </c>
      <c r="I74" s="64"/>
      <c r="J74" s="174"/>
      <c r="K74" s="929" t="s">
        <v>97</v>
      </c>
      <c r="L74" s="67">
        <v>100</v>
      </c>
      <c r="M74" s="67"/>
      <c r="N74" s="68"/>
      <c r="O74" s="86"/>
      <c r="P74" s="16"/>
    </row>
    <row r="75" spans="1:18" s="1" customFormat="1" ht="22.5" customHeight="1" x14ac:dyDescent="0.2">
      <c r="A75" s="885"/>
      <c r="B75" s="886"/>
      <c r="C75" s="911"/>
      <c r="D75" s="921"/>
      <c r="E75" s="927" t="s">
        <v>189</v>
      </c>
      <c r="F75" s="915"/>
      <c r="G75" s="175" t="s">
        <v>74</v>
      </c>
      <c r="H75" s="97"/>
      <c r="I75" s="172"/>
      <c r="J75" s="166"/>
      <c r="K75" s="930"/>
      <c r="L75" s="33"/>
      <c r="M75" s="33"/>
      <c r="N75" s="34"/>
      <c r="P75" s="16"/>
    </row>
    <row r="76" spans="1:18" s="1" customFormat="1" ht="15.75" customHeight="1" thickBot="1" x14ac:dyDescent="0.25">
      <c r="A76" s="870"/>
      <c r="B76" s="872"/>
      <c r="C76" s="874"/>
      <c r="D76" s="876"/>
      <c r="E76" s="928"/>
      <c r="F76" s="878"/>
      <c r="G76" s="687" t="s">
        <v>38</v>
      </c>
      <c r="H76" s="25">
        <f>SUM(H74:H75)</f>
        <v>24</v>
      </c>
      <c r="I76" s="38"/>
      <c r="J76" s="38"/>
      <c r="K76" s="931"/>
      <c r="L76" s="61"/>
      <c r="M76" s="61"/>
      <c r="N76" s="62"/>
    </row>
    <row r="77" spans="1:18" s="1" customFormat="1" ht="17.25" customHeight="1" x14ac:dyDescent="0.2">
      <c r="A77" s="869" t="s">
        <v>20</v>
      </c>
      <c r="B77" s="871" t="s">
        <v>43</v>
      </c>
      <c r="C77" s="873" t="s">
        <v>98</v>
      </c>
      <c r="D77" s="932" t="s">
        <v>99</v>
      </c>
      <c r="E77" s="934" t="s">
        <v>189</v>
      </c>
      <c r="F77" s="877" t="s">
        <v>70</v>
      </c>
      <c r="G77" s="155" t="s">
        <v>27</v>
      </c>
      <c r="H77" s="18">
        <v>25</v>
      </c>
      <c r="I77" s="169"/>
      <c r="J77" s="169"/>
      <c r="K77" s="909" t="s">
        <v>100</v>
      </c>
      <c r="L77" s="941">
        <v>100</v>
      </c>
      <c r="M77" s="176"/>
      <c r="N77" s="177"/>
    </row>
    <row r="78" spans="1:18" s="1" customFormat="1" ht="15.75" customHeight="1" thickBot="1" x14ac:dyDescent="0.25">
      <c r="A78" s="870"/>
      <c r="B78" s="872"/>
      <c r="C78" s="874"/>
      <c r="D78" s="933"/>
      <c r="E78" s="917"/>
      <c r="F78" s="878"/>
      <c r="G78" s="687" t="s">
        <v>38</v>
      </c>
      <c r="H78" s="133">
        <f>SUM(H77:H77)</f>
        <v>25</v>
      </c>
      <c r="I78" s="133"/>
      <c r="J78" s="133"/>
      <c r="K78" s="910"/>
      <c r="L78" s="942"/>
      <c r="M78" s="163"/>
      <c r="N78" s="164"/>
    </row>
    <row r="79" spans="1:18" s="1" customFormat="1" ht="17.25" customHeight="1" x14ac:dyDescent="0.2">
      <c r="A79" s="869" t="s">
        <v>20</v>
      </c>
      <c r="B79" s="871" t="s">
        <v>43</v>
      </c>
      <c r="C79" s="873" t="s">
        <v>123</v>
      </c>
      <c r="D79" s="932" t="s">
        <v>204</v>
      </c>
      <c r="E79" s="934"/>
      <c r="F79" s="877" t="s">
        <v>205</v>
      </c>
      <c r="G79" s="155" t="s">
        <v>27</v>
      </c>
      <c r="H79" s="18">
        <v>50</v>
      </c>
      <c r="I79" s="169"/>
      <c r="J79" s="169"/>
      <c r="K79" s="909" t="s">
        <v>209</v>
      </c>
      <c r="L79" s="941">
        <v>900</v>
      </c>
      <c r="M79" s="176"/>
      <c r="N79" s="177"/>
    </row>
    <row r="80" spans="1:18" s="1" customFormat="1" ht="15.75" customHeight="1" thickBot="1" x14ac:dyDescent="0.25">
      <c r="A80" s="870"/>
      <c r="B80" s="872"/>
      <c r="C80" s="874"/>
      <c r="D80" s="933"/>
      <c r="E80" s="917"/>
      <c r="F80" s="878"/>
      <c r="G80" s="687" t="s">
        <v>38</v>
      </c>
      <c r="H80" s="133">
        <f>SUM(H79:H79)</f>
        <v>50</v>
      </c>
      <c r="I80" s="133"/>
      <c r="J80" s="133"/>
      <c r="K80" s="910"/>
      <c r="L80" s="942"/>
      <c r="M80" s="163"/>
      <c r="N80" s="164"/>
    </row>
    <row r="81" spans="1:14" s="1" customFormat="1" ht="26.25" customHeight="1" x14ac:dyDescent="0.2">
      <c r="A81" s="869" t="s">
        <v>20</v>
      </c>
      <c r="B81" s="871" t="s">
        <v>43</v>
      </c>
      <c r="C81" s="873" t="s">
        <v>104</v>
      </c>
      <c r="D81" s="932" t="s">
        <v>101</v>
      </c>
      <c r="E81" s="955" t="s">
        <v>189</v>
      </c>
      <c r="F81" s="877" t="s">
        <v>70</v>
      </c>
      <c r="G81" s="178" t="s">
        <v>27</v>
      </c>
      <c r="H81" s="40"/>
      <c r="I81" s="169"/>
      <c r="J81" s="169">
        <v>41.5</v>
      </c>
      <c r="K81" s="909" t="s">
        <v>102</v>
      </c>
      <c r="L81" s="941"/>
      <c r="M81" s="176"/>
      <c r="N81" s="177">
        <v>1</v>
      </c>
    </row>
    <row r="82" spans="1:14" s="1" customFormat="1" ht="13.5" thickBot="1" x14ac:dyDescent="0.25">
      <c r="A82" s="870"/>
      <c r="B82" s="872"/>
      <c r="C82" s="874"/>
      <c r="D82" s="933"/>
      <c r="E82" s="956"/>
      <c r="F82" s="878"/>
      <c r="G82" s="687" t="s">
        <v>38</v>
      </c>
      <c r="H82" s="133"/>
      <c r="I82" s="133"/>
      <c r="J82" s="133">
        <f>SUM(J81:J81)</f>
        <v>41.5</v>
      </c>
      <c r="K82" s="910"/>
      <c r="L82" s="942"/>
      <c r="M82" s="163"/>
      <c r="N82" s="164"/>
    </row>
    <row r="83" spans="1:14" s="1" customFormat="1" ht="15" customHeight="1" thickBot="1" x14ac:dyDescent="0.25">
      <c r="A83" s="179" t="s">
        <v>20</v>
      </c>
      <c r="B83" s="82" t="s">
        <v>43</v>
      </c>
      <c r="C83" s="935" t="s">
        <v>53</v>
      </c>
      <c r="D83" s="936"/>
      <c r="E83" s="936"/>
      <c r="F83" s="936"/>
      <c r="G83" s="937"/>
      <c r="H83" s="180">
        <f>H78+H76+H70+H68+H65+H73+H63+H60+H57+H55+H53+H82+H80</f>
        <v>4408</v>
      </c>
      <c r="I83" s="180">
        <f t="shared" ref="I83:J83" si="5">I78+I76+I70+I68+I65+I73+I63+I60+I57+I55+I53+I82+I80</f>
        <v>2734.4</v>
      </c>
      <c r="J83" s="180">
        <f t="shared" si="5"/>
        <v>1429.5</v>
      </c>
      <c r="K83" s="938"/>
      <c r="L83" s="939"/>
      <c r="M83" s="939"/>
      <c r="N83" s="940"/>
    </row>
    <row r="84" spans="1:14" s="1" customFormat="1" ht="13.5" thickBot="1" x14ac:dyDescent="0.25">
      <c r="A84" s="688" t="s">
        <v>20</v>
      </c>
      <c r="B84" s="943" t="s">
        <v>103</v>
      </c>
      <c r="C84" s="944"/>
      <c r="D84" s="944"/>
      <c r="E84" s="944"/>
      <c r="F84" s="944"/>
      <c r="G84" s="945"/>
      <c r="H84" s="181">
        <f>H83+H49+H32</f>
        <v>6040.3</v>
      </c>
      <c r="I84" s="181">
        <f>I83+I49+I32</f>
        <v>4227.3</v>
      </c>
      <c r="J84" s="181">
        <f>J83+J49+J32</f>
        <v>2917.3999999999996</v>
      </c>
      <c r="K84" s="946"/>
      <c r="L84" s="947"/>
      <c r="M84" s="947"/>
      <c r="N84" s="948"/>
    </row>
    <row r="85" spans="1:14" s="1" customFormat="1" ht="13.5" thickBot="1" x14ac:dyDescent="0.25">
      <c r="A85" s="182" t="s">
        <v>104</v>
      </c>
      <c r="B85" s="949" t="s">
        <v>105</v>
      </c>
      <c r="C85" s="950"/>
      <c r="D85" s="950"/>
      <c r="E85" s="950"/>
      <c r="F85" s="950"/>
      <c r="G85" s="951"/>
      <c r="H85" s="183">
        <f t="shared" ref="H85:J85" si="6">H84</f>
        <v>6040.3</v>
      </c>
      <c r="I85" s="183">
        <f t="shared" si="6"/>
        <v>4227.3</v>
      </c>
      <c r="J85" s="183">
        <f t="shared" si="6"/>
        <v>2917.3999999999996</v>
      </c>
      <c r="K85" s="952"/>
      <c r="L85" s="953"/>
      <c r="M85" s="953"/>
      <c r="N85" s="954"/>
    </row>
    <row r="86" spans="1:14" s="1" customFormat="1" ht="19.5" customHeight="1" thickBot="1" x14ac:dyDescent="0.25">
      <c r="A86" s="184"/>
      <c r="B86" s="964" t="s">
        <v>106</v>
      </c>
      <c r="C86" s="964"/>
      <c r="D86" s="964"/>
      <c r="E86" s="964"/>
      <c r="F86" s="964"/>
      <c r="G86" s="964"/>
      <c r="H86" s="964"/>
      <c r="I86" s="964"/>
      <c r="J86" s="964"/>
      <c r="K86" s="185"/>
      <c r="L86" s="185"/>
      <c r="M86" s="185"/>
    </row>
    <row r="87" spans="1:14" s="1" customFormat="1" ht="51.75" customHeight="1" x14ac:dyDescent="0.2">
      <c r="A87" s="186"/>
      <c r="B87" s="965" t="s">
        <v>107</v>
      </c>
      <c r="C87" s="966"/>
      <c r="D87" s="966"/>
      <c r="E87" s="966"/>
      <c r="F87" s="966"/>
      <c r="G87" s="967"/>
      <c r="H87" s="537" t="s">
        <v>108</v>
      </c>
      <c r="I87" s="538" t="s">
        <v>109</v>
      </c>
      <c r="J87" s="538" t="s">
        <v>110</v>
      </c>
      <c r="K87" s="684"/>
      <c r="L87" s="968"/>
      <c r="M87" s="968"/>
    </row>
    <row r="88" spans="1:14" s="1" customFormat="1" ht="15" customHeight="1" x14ac:dyDescent="0.2">
      <c r="A88" s="186"/>
      <c r="B88" s="969" t="s">
        <v>111</v>
      </c>
      <c r="C88" s="970"/>
      <c r="D88" s="970"/>
      <c r="E88" s="970"/>
      <c r="F88" s="970"/>
      <c r="G88" s="971"/>
      <c r="H88" s="187">
        <f>SUM(H89:H94)</f>
        <v>2555</v>
      </c>
      <c r="I88" s="188">
        <f>SUM(I89:I94)</f>
        <v>1776.3</v>
      </c>
      <c r="J88" s="188">
        <f>SUM(J89:J94)</f>
        <v>1803.3</v>
      </c>
      <c r="K88" s="685"/>
      <c r="L88" s="972"/>
      <c r="M88" s="972"/>
    </row>
    <row r="89" spans="1:14" s="1" customFormat="1" ht="15" customHeight="1" x14ac:dyDescent="0.2">
      <c r="A89" s="186"/>
      <c r="B89" s="957" t="s">
        <v>112</v>
      </c>
      <c r="C89" s="958"/>
      <c r="D89" s="958"/>
      <c r="E89" s="958"/>
      <c r="F89" s="958"/>
      <c r="G89" s="959"/>
      <c r="H89" s="189">
        <f>SUMIF(G12:G81,"sb",H12:H81)</f>
        <v>393.1</v>
      </c>
      <c r="I89" s="190">
        <f>SUMIF(G12:G77,"SB",I12:I77)</f>
        <v>131.69999999999999</v>
      </c>
      <c r="J89" s="190">
        <f>SUMIF(G12:G81,G12,J12:J81)</f>
        <v>218.2</v>
      </c>
      <c r="K89" s="683"/>
      <c r="L89" s="960"/>
      <c r="M89" s="960"/>
    </row>
    <row r="90" spans="1:14" s="1" customFormat="1" ht="29.25" customHeight="1" x14ac:dyDescent="0.2">
      <c r="A90" s="186"/>
      <c r="B90" s="961" t="s">
        <v>113</v>
      </c>
      <c r="C90" s="962"/>
      <c r="D90" s="962"/>
      <c r="E90" s="962"/>
      <c r="F90" s="962"/>
      <c r="G90" s="963"/>
      <c r="H90" s="189">
        <f>SUMIF(G12:G77,G13,H12:H77)</f>
        <v>96.2</v>
      </c>
      <c r="I90" s="190">
        <f>SUMIF(G12:G77,G13,I12:I77)</f>
        <v>97</v>
      </c>
      <c r="J90" s="190">
        <f>SUMIF(G12:G77,G13,J12:J77)</f>
        <v>97</v>
      </c>
      <c r="K90" s="683"/>
      <c r="L90" s="960"/>
      <c r="M90" s="960"/>
    </row>
    <row r="91" spans="1:14" s="1" customFormat="1" ht="29.25" customHeight="1" x14ac:dyDescent="0.2">
      <c r="A91" s="186"/>
      <c r="B91" s="961" t="s">
        <v>184</v>
      </c>
      <c r="C91" s="962"/>
      <c r="D91" s="962"/>
      <c r="E91" s="962"/>
      <c r="F91" s="962"/>
      <c r="G91" s="963"/>
      <c r="H91" s="189">
        <f>SUMIF(G12:G81,"SB(AAL)",H12:H81)</f>
        <v>70</v>
      </c>
      <c r="I91" s="189">
        <f>SUMIF(G12:G81,"SB(AAL)",I12:I81)</f>
        <v>0</v>
      </c>
      <c r="J91" s="190">
        <f>SUMIF(G12:G81,"SB(AAL)",J12:J81)</f>
        <v>0</v>
      </c>
      <c r="K91" s="683"/>
      <c r="L91" s="683"/>
      <c r="M91" s="683"/>
    </row>
    <row r="92" spans="1:14" s="1" customFormat="1" ht="15" customHeight="1" x14ac:dyDescent="0.2">
      <c r="A92" s="186"/>
      <c r="B92" s="957" t="s">
        <v>114</v>
      </c>
      <c r="C92" s="958"/>
      <c r="D92" s="958"/>
      <c r="E92" s="958"/>
      <c r="F92" s="958"/>
      <c r="G92" s="959"/>
      <c r="H92" s="189">
        <f>SUMIF(G12:G77,"sb(sp)",H12:H77)</f>
        <v>19.2</v>
      </c>
      <c r="I92" s="190">
        <f>SUMIF(G12:G77,"sb(sp)",I12:I77)</f>
        <v>23.8</v>
      </c>
      <c r="J92" s="190">
        <f>SUMIF(G12:G77,"sb(sp)",J12:J77)</f>
        <v>23.8</v>
      </c>
      <c r="K92" s="683"/>
      <c r="L92" s="960"/>
      <c r="M92" s="960"/>
    </row>
    <row r="93" spans="1:14" s="1" customFormat="1" ht="30.75" customHeight="1" x14ac:dyDescent="0.2">
      <c r="A93" s="186"/>
      <c r="B93" s="961" t="s">
        <v>183</v>
      </c>
      <c r="C93" s="962"/>
      <c r="D93" s="962"/>
      <c r="E93" s="962"/>
      <c r="F93" s="962"/>
      <c r="G93" s="963"/>
      <c r="H93" s="189">
        <f>SUMIF(G12:G81,"SB(SPL)",H12:H81)</f>
        <v>0.4</v>
      </c>
      <c r="I93" s="189">
        <f>SUMIF(G12:G81,"SB(SPL)",I12:I81)</f>
        <v>0</v>
      </c>
      <c r="J93" s="190">
        <f>SUMIF(G12:G81,"SB(SPL)",J12:J81)</f>
        <v>0</v>
      </c>
      <c r="K93" s="683"/>
      <c r="L93" s="683"/>
      <c r="M93" s="683"/>
    </row>
    <row r="94" spans="1:14" s="1" customFormat="1" ht="15" customHeight="1" x14ac:dyDescent="0.2">
      <c r="A94" s="186"/>
      <c r="B94" s="957" t="s">
        <v>115</v>
      </c>
      <c r="C94" s="958"/>
      <c r="D94" s="958"/>
      <c r="E94" s="958"/>
      <c r="F94" s="958"/>
      <c r="G94" s="959"/>
      <c r="H94" s="189">
        <f>SUMIF(G12:G77,"sb(vb)",H12:H77)</f>
        <v>1976.1000000000001</v>
      </c>
      <c r="I94" s="190">
        <f>SUMIF(G12:G77,G34,I12:I77)</f>
        <v>1523.8</v>
      </c>
      <c r="J94" s="190">
        <f>SUMIF(G12:G77,G34,J12:J77)</f>
        <v>1464.3</v>
      </c>
      <c r="K94" s="683"/>
      <c r="L94" s="960"/>
      <c r="M94" s="960"/>
    </row>
    <row r="95" spans="1:14" s="1" customFormat="1" ht="15" customHeight="1" x14ac:dyDescent="0.2">
      <c r="A95" s="186"/>
      <c r="B95" s="969" t="s">
        <v>116</v>
      </c>
      <c r="C95" s="970"/>
      <c r="D95" s="970"/>
      <c r="E95" s="970"/>
      <c r="F95" s="970"/>
      <c r="G95" s="971"/>
      <c r="H95" s="187">
        <f>SUM(H96:H98)</f>
        <v>3485.2999999999997</v>
      </c>
      <c r="I95" s="188">
        <f>SUM(I96:I98)</f>
        <v>2451</v>
      </c>
      <c r="J95" s="188">
        <f>SUM(J96:J98)</f>
        <v>1114.0999999999999</v>
      </c>
      <c r="K95" s="685"/>
      <c r="L95" s="972"/>
      <c r="M95" s="972"/>
    </row>
    <row r="96" spans="1:14" s="195" customFormat="1" ht="15" customHeight="1" x14ac:dyDescent="0.2">
      <c r="A96" s="191"/>
      <c r="B96" s="976" t="s">
        <v>117</v>
      </c>
      <c r="C96" s="977"/>
      <c r="D96" s="977"/>
      <c r="E96" s="977"/>
      <c r="F96" s="977"/>
      <c r="G96" s="978"/>
      <c r="H96" s="192">
        <f>SUMIF(G12:G77,"psdf",H12:H77)</f>
        <v>1.1000000000000001</v>
      </c>
      <c r="I96" s="57">
        <f>SUMIF(G12:G77,"PSDF",I12:I77)</f>
        <v>1.1000000000000001</v>
      </c>
      <c r="J96" s="57">
        <f>SUMIF(G12:G77,"PSDF",J12:J77)</f>
        <v>1.1000000000000001</v>
      </c>
      <c r="K96" s="193"/>
      <c r="L96" s="193"/>
      <c r="M96" s="194"/>
    </row>
    <row r="97" spans="1:13" s="1" customFormat="1" ht="15" customHeight="1" x14ac:dyDescent="0.2">
      <c r="A97" s="186"/>
      <c r="B97" s="961" t="s">
        <v>181</v>
      </c>
      <c r="C97" s="962"/>
      <c r="D97" s="962"/>
      <c r="E97" s="962"/>
      <c r="F97" s="962"/>
      <c r="G97" s="963"/>
      <c r="H97" s="189">
        <f>SUMIF(G12:G77,"lrvb",H12:H77)</f>
        <v>6.1</v>
      </c>
      <c r="I97" s="190">
        <f>SUMIF(G12:G77,"lrvb",I12:I77)</f>
        <v>0</v>
      </c>
      <c r="J97" s="190">
        <f>SUMIF(G12:G77,"lrvb",J12:J77)</f>
        <v>0</v>
      </c>
      <c r="K97" s="683"/>
      <c r="L97" s="683"/>
      <c r="M97" s="683"/>
    </row>
    <row r="98" spans="1:13" s="1" customFormat="1" ht="15" customHeight="1" x14ac:dyDescent="0.2">
      <c r="A98" s="186"/>
      <c r="B98" s="957" t="s">
        <v>119</v>
      </c>
      <c r="C98" s="958"/>
      <c r="D98" s="958"/>
      <c r="E98" s="958"/>
      <c r="F98" s="958"/>
      <c r="G98" s="959"/>
      <c r="H98" s="189">
        <f>SUMIF(G12:G77,"kt",H12:H77)</f>
        <v>3478.1</v>
      </c>
      <c r="I98" s="190">
        <f>SUMIF(G12:G77,"kt",I12:I77)</f>
        <v>2449.9</v>
      </c>
      <c r="J98" s="190">
        <f>SUMIF(G12:G77,"kt",J12:J77)</f>
        <v>1113</v>
      </c>
      <c r="K98" s="683"/>
      <c r="L98" s="960"/>
      <c r="M98" s="960"/>
    </row>
    <row r="99" spans="1:13" s="1" customFormat="1" ht="15" customHeight="1" thickBot="1" x14ac:dyDescent="0.25">
      <c r="A99" s="196"/>
      <c r="B99" s="973" t="s">
        <v>120</v>
      </c>
      <c r="C99" s="974"/>
      <c r="D99" s="974"/>
      <c r="E99" s="974"/>
      <c r="F99" s="974"/>
      <c r="G99" s="975"/>
      <c r="H99" s="133">
        <f>SUM(H88,H95)</f>
        <v>6040.2999999999993</v>
      </c>
      <c r="I99" s="134">
        <f>I88+I95</f>
        <v>4227.3</v>
      </c>
      <c r="J99" s="134">
        <f>J95+J88</f>
        <v>2917.3999999999996</v>
      </c>
      <c r="K99" s="685"/>
      <c r="L99" s="972"/>
      <c r="M99" s="972"/>
    </row>
    <row r="100" spans="1:13" s="1" customFormat="1" ht="12.75" x14ac:dyDescent="0.2">
      <c r="A100" s="197"/>
      <c r="B100" s="198"/>
      <c r="C100" s="198"/>
      <c r="D100" s="198"/>
      <c r="E100" s="525"/>
      <c r="F100" s="199"/>
      <c r="G100" s="200"/>
      <c r="H100" s="201"/>
      <c r="I100" s="202"/>
      <c r="J100" s="201"/>
      <c r="K100" s="186"/>
      <c r="L100" s="211"/>
      <c r="M100" s="211"/>
    </row>
    <row r="101" spans="1:13" s="1" customFormat="1" ht="12.75" x14ac:dyDescent="0.2">
      <c r="A101" s="186"/>
      <c r="B101" s="186"/>
      <c r="C101" s="186"/>
      <c r="D101" s="203"/>
      <c r="E101" s="211"/>
      <c r="F101" s="199"/>
      <c r="G101" s="200"/>
      <c r="H101" s="248"/>
      <c r="I101" s="249"/>
      <c r="J101" s="250"/>
      <c r="K101" s="203"/>
      <c r="L101" s="211"/>
      <c r="M101" s="211"/>
    </row>
    <row r="102" spans="1:13" s="1" customFormat="1" ht="12.75" x14ac:dyDescent="0.2">
      <c r="A102" s="186"/>
      <c r="B102" s="186"/>
      <c r="C102" s="186"/>
      <c r="D102" s="203"/>
      <c r="E102" s="211"/>
      <c r="F102" s="199"/>
      <c r="G102" s="200"/>
      <c r="H102" s="201"/>
      <c r="I102" s="202"/>
      <c r="J102" s="201"/>
      <c r="K102" s="186"/>
      <c r="L102" s="211"/>
      <c r="M102" s="211"/>
    </row>
  </sheetData>
  <mergeCells count="180">
    <mergeCell ref="B93:G93"/>
    <mergeCell ref="B98:G98"/>
    <mergeCell ref="L98:M98"/>
    <mergeCell ref="B99:G99"/>
    <mergeCell ref="L99:M99"/>
    <mergeCell ref="B94:G94"/>
    <mergeCell ref="L94:M94"/>
    <mergeCell ref="B95:G95"/>
    <mergeCell ref="L95:M95"/>
    <mergeCell ref="B96:G96"/>
    <mergeCell ref="B97:G97"/>
    <mergeCell ref="B89:G89"/>
    <mergeCell ref="L89:M89"/>
    <mergeCell ref="B90:G90"/>
    <mergeCell ref="L90:M90"/>
    <mergeCell ref="B92:G92"/>
    <mergeCell ref="L92:M92"/>
    <mergeCell ref="B86:J86"/>
    <mergeCell ref="B87:G87"/>
    <mergeCell ref="L87:M87"/>
    <mergeCell ref="B88:G88"/>
    <mergeCell ref="L88:M88"/>
    <mergeCell ref="B91:G91"/>
    <mergeCell ref="B84:G84"/>
    <mergeCell ref="K84:N84"/>
    <mergeCell ref="B85:G85"/>
    <mergeCell ref="K85:N85"/>
    <mergeCell ref="L77:L78"/>
    <mergeCell ref="A81:A82"/>
    <mergeCell ref="B81:B82"/>
    <mergeCell ref="C81:C82"/>
    <mergeCell ref="D81:D82"/>
    <mergeCell ref="E81:E82"/>
    <mergeCell ref="F81:F82"/>
    <mergeCell ref="K81:K82"/>
    <mergeCell ref="L81:L82"/>
    <mergeCell ref="K74:K76"/>
    <mergeCell ref="A77:A78"/>
    <mergeCell ref="B77:B78"/>
    <mergeCell ref="C77:C78"/>
    <mergeCell ref="D77:D78"/>
    <mergeCell ref="E77:E78"/>
    <mergeCell ref="F77:F78"/>
    <mergeCell ref="K77:K78"/>
    <mergeCell ref="C83:G83"/>
    <mergeCell ref="K83:N83"/>
    <mergeCell ref="A79:A80"/>
    <mergeCell ref="B79:B80"/>
    <mergeCell ref="C79:C80"/>
    <mergeCell ref="D79:D80"/>
    <mergeCell ref="E79:E80"/>
    <mergeCell ref="F79:F80"/>
    <mergeCell ref="K79:K80"/>
    <mergeCell ref="L79:L80"/>
    <mergeCell ref="F71:F73"/>
    <mergeCell ref="A74:A76"/>
    <mergeCell ref="B74:B76"/>
    <mergeCell ref="C74:C76"/>
    <mergeCell ref="D74:D76"/>
    <mergeCell ref="F74:F76"/>
    <mergeCell ref="A71:A73"/>
    <mergeCell ref="B71:B73"/>
    <mergeCell ref="C71:C73"/>
    <mergeCell ref="D71:D73"/>
    <mergeCell ref="E72:E73"/>
    <mergeCell ref="E75:E76"/>
    <mergeCell ref="F66:F68"/>
    <mergeCell ref="K66:K68"/>
    <mergeCell ref="A69:A70"/>
    <mergeCell ref="B69:B70"/>
    <mergeCell ref="C69:C70"/>
    <mergeCell ref="D69:D70"/>
    <mergeCell ref="F69:F70"/>
    <mergeCell ref="K69:K70"/>
    <mergeCell ref="A66:A68"/>
    <mergeCell ref="B66:B68"/>
    <mergeCell ref="C66:C68"/>
    <mergeCell ref="D66:D68"/>
    <mergeCell ref="E67:E68"/>
    <mergeCell ref="F61:F63"/>
    <mergeCell ref="A64:A65"/>
    <mergeCell ref="B64:B65"/>
    <mergeCell ref="C64:C65"/>
    <mergeCell ref="D64:D65"/>
    <mergeCell ref="F64:F65"/>
    <mergeCell ref="A61:A63"/>
    <mergeCell ref="B61:B63"/>
    <mergeCell ref="C61:C63"/>
    <mergeCell ref="D61:D63"/>
    <mergeCell ref="E62:E63"/>
    <mergeCell ref="D47:D48"/>
    <mergeCell ref="D38:D39"/>
    <mergeCell ref="E38:E39"/>
    <mergeCell ref="F38:F39"/>
    <mergeCell ref="F56:F57"/>
    <mergeCell ref="K56:K57"/>
    <mergeCell ref="A58:A60"/>
    <mergeCell ref="B58:B60"/>
    <mergeCell ref="C58:C60"/>
    <mergeCell ref="D58:D60"/>
    <mergeCell ref="F58:F60"/>
    <mergeCell ref="A56:A57"/>
    <mergeCell ref="B56:B57"/>
    <mergeCell ref="C56:C57"/>
    <mergeCell ref="D56:D57"/>
    <mergeCell ref="E59:E60"/>
    <mergeCell ref="F47:F48"/>
    <mergeCell ref="K49:N49"/>
    <mergeCell ref="D34:D35"/>
    <mergeCell ref="F34:F35"/>
    <mergeCell ref="F19:F21"/>
    <mergeCell ref="K19:K21"/>
    <mergeCell ref="F40:F46"/>
    <mergeCell ref="C32:G32"/>
    <mergeCell ref="K51:K53"/>
    <mergeCell ref="A54:A55"/>
    <mergeCell ref="B54:B55"/>
    <mergeCell ref="C54:C55"/>
    <mergeCell ref="D54:D55"/>
    <mergeCell ref="F54:F55"/>
    <mergeCell ref="C49:G49"/>
    <mergeCell ref="C50:N50"/>
    <mergeCell ref="A51:A53"/>
    <mergeCell ref="B51:B53"/>
    <mergeCell ref="C51:C53"/>
    <mergeCell ref="D51:D53"/>
    <mergeCell ref="F51:F53"/>
    <mergeCell ref="K32:N32"/>
    <mergeCell ref="D45:D46"/>
    <mergeCell ref="D41:D44"/>
    <mergeCell ref="E52:E53"/>
    <mergeCell ref="E41:E44"/>
    <mergeCell ref="E28:E31"/>
    <mergeCell ref="F28:F31"/>
    <mergeCell ref="A22:A24"/>
    <mergeCell ref="B22:B24"/>
    <mergeCell ref="C22:C24"/>
    <mergeCell ref="D22:D27"/>
    <mergeCell ref="E22:E27"/>
    <mergeCell ref="F22:F27"/>
    <mergeCell ref="C33:N33"/>
    <mergeCell ref="K25:K27"/>
    <mergeCell ref="A28:A31"/>
    <mergeCell ref="B28:B31"/>
    <mergeCell ref="C28:C31"/>
    <mergeCell ref="D28:D31"/>
    <mergeCell ref="B10:N10"/>
    <mergeCell ref="C11:N11"/>
    <mergeCell ref="A12:A18"/>
    <mergeCell ref="B12:B18"/>
    <mergeCell ref="C12:C18"/>
    <mergeCell ref="F12:F18"/>
    <mergeCell ref="K12:K18"/>
    <mergeCell ref="E13:E14"/>
    <mergeCell ref="E15:E16"/>
    <mergeCell ref="E17:E18"/>
    <mergeCell ref="C19:C21"/>
    <mergeCell ref="D19:D21"/>
    <mergeCell ref="E19:E21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N5"/>
    <mergeCell ref="K6:K7"/>
    <mergeCell ref="L6:L7"/>
    <mergeCell ref="M6:M7"/>
    <mergeCell ref="N6:N7"/>
    <mergeCell ref="A8:N8"/>
    <mergeCell ref="A9:N9"/>
  </mergeCells>
  <pageMargins left="0.51181102362204722" right="0" top="0.55118110236220474" bottom="0.55118110236220474" header="0.31496062992125984" footer="0.31496062992125984"/>
  <pageSetup paperSize="9" scale="85" orientation="portrait" r:id="rId1"/>
  <rowBreaks count="2" manualBreakCount="2">
    <brk id="35" max="13" man="1"/>
    <brk id="65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9"/>
  <sheetViews>
    <sheetView topLeftCell="A76" workbookViewId="0">
      <selection activeCell="L89" sqref="L89"/>
    </sheetView>
  </sheetViews>
  <sheetFormatPr defaultRowHeight="15" x14ac:dyDescent="0.25"/>
  <cols>
    <col min="1" max="3" width="3.5703125" style="266" customWidth="1"/>
    <col min="4" max="4" width="25.85546875" customWidth="1"/>
    <col min="5" max="7" width="3.28515625" customWidth="1"/>
    <col min="8" max="8" width="13.140625" customWidth="1"/>
    <col min="9" max="9" width="8" customWidth="1"/>
    <col min="10" max="10" width="8.85546875" customWidth="1"/>
    <col min="11" max="11" width="9" customWidth="1"/>
    <col min="18" max="18" width="20" customWidth="1"/>
    <col min="19" max="21" width="5.7109375" customWidth="1"/>
  </cols>
  <sheetData>
    <row r="1" spans="1:21" ht="15.75" x14ac:dyDescent="0.25">
      <c r="R1" s="1009" t="s">
        <v>134</v>
      </c>
      <c r="S1" s="1009"/>
      <c r="T1" s="1009"/>
      <c r="U1" s="1009"/>
    </row>
    <row r="2" spans="1:21" s="267" customFormat="1" ht="15.75" x14ac:dyDescent="0.25">
      <c r="A2" s="781" t="s">
        <v>135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</row>
    <row r="3" spans="1:21" s="267" customFormat="1" ht="15.75" x14ac:dyDescent="0.25">
      <c r="A3" s="782" t="s">
        <v>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</row>
    <row r="4" spans="1:21" s="267" customFormat="1" ht="15.75" x14ac:dyDescent="0.25">
      <c r="A4" s="1010" t="s">
        <v>136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</row>
    <row r="5" spans="1:21" ht="15.75" thickBot="1" x14ac:dyDescent="0.3">
      <c r="A5" s="1011" t="s">
        <v>137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</row>
    <row r="6" spans="1:21" ht="60" x14ac:dyDescent="0.25">
      <c r="A6" s="1012" t="s">
        <v>4</v>
      </c>
      <c r="B6" s="979" t="s">
        <v>5</v>
      </c>
      <c r="C6" s="979" t="s">
        <v>6</v>
      </c>
      <c r="D6" s="791" t="s">
        <v>7</v>
      </c>
      <c r="E6" s="1015" t="s">
        <v>8</v>
      </c>
      <c r="F6" s="979" t="s">
        <v>138</v>
      </c>
      <c r="G6" s="1029" t="s">
        <v>9</v>
      </c>
      <c r="H6" s="1032" t="s">
        <v>139</v>
      </c>
      <c r="I6" s="800" t="s">
        <v>10</v>
      </c>
      <c r="J6" s="268" t="s">
        <v>140</v>
      </c>
      <c r="K6" s="268" t="s">
        <v>141</v>
      </c>
      <c r="L6" s="990" t="s">
        <v>142</v>
      </c>
      <c r="M6" s="991"/>
      <c r="N6" s="991"/>
      <c r="O6" s="992"/>
      <c r="P6" s="993" t="s">
        <v>143</v>
      </c>
      <c r="Q6" s="1018" t="s">
        <v>144</v>
      </c>
      <c r="R6" s="1021" t="s">
        <v>14</v>
      </c>
      <c r="S6" s="1022"/>
      <c r="T6" s="1022"/>
      <c r="U6" s="1023"/>
    </row>
    <row r="7" spans="1:21" ht="15" customHeight="1" x14ac:dyDescent="0.25">
      <c r="A7" s="1013"/>
      <c r="B7" s="980"/>
      <c r="C7" s="980"/>
      <c r="D7" s="792"/>
      <c r="E7" s="1016"/>
      <c r="F7" s="980"/>
      <c r="G7" s="1030"/>
      <c r="H7" s="1033"/>
      <c r="I7" s="801"/>
      <c r="J7" s="1024" t="s">
        <v>145</v>
      </c>
      <c r="K7" s="1024" t="s">
        <v>145</v>
      </c>
      <c r="L7" s="1024" t="s">
        <v>145</v>
      </c>
      <c r="M7" s="1026" t="s">
        <v>146</v>
      </c>
      <c r="N7" s="1026"/>
      <c r="O7" s="1027" t="s">
        <v>147</v>
      </c>
      <c r="P7" s="994"/>
      <c r="Q7" s="1019"/>
      <c r="R7" s="1035" t="s">
        <v>7</v>
      </c>
      <c r="S7" s="980" t="s">
        <v>15</v>
      </c>
      <c r="T7" s="980" t="s">
        <v>16</v>
      </c>
      <c r="U7" s="811" t="s">
        <v>17</v>
      </c>
    </row>
    <row r="8" spans="1:21" ht="48.75" thickBot="1" x14ac:dyDescent="0.3">
      <c r="A8" s="1014"/>
      <c r="B8" s="981"/>
      <c r="C8" s="981"/>
      <c r="D8" s="793"/>
      <c r="E8" s="1017"/>
      <c r="F8" s="981"/>
      <c r="G8" s="1031"/>
      <c r="H8" s="1034"/>
      <c r="I8" s="802"/>
      <c r="J8" s="1025"/>
      <c r="K8" s="1025"/>
      <c r="L8" s="1025"/>
      <c r="M8" s="269" t="s">
        <v>145</v>
      </c>
      <c r="N8" s="270" t="s">
        <v>148</v>
      </c>
      <c r="O8" s="1028"/>
      <c r="P8" s="995"/>
      <c r="Q8" s="1020"/>
      <c r="R8" s="1036"/>
      <c r="S8" s="981"/>
      <c r="T8" s="981"/>
      <c r="U8" s="812"/>
    </row>
    <row r="9" spans="1:21" ht="15.75" thickBot="1" x14ac:dyDescent="0.3">
      <c r="A9" s="996" t="s">
        <v>18</v>
      </c>
      <c r="B9" s="997"/>
      <c r="C9" s="997"/>
      <c r="D9" s="997"/>
      <c r="E9" s="997"/>
      <c r="F9" s="997"/>
      <c r="G9" s="997"/>
      <c r="H9" s="997"/>
      <c r="I9" s="997"/>
      <c r="J9" s="997"/>
      <c r="K9" s="997"/>
      <c r="L9" s="997"/>
      <c r="M9" s="997"/>
      <c r="N9" s="997"/>
      <c r="O9" s="997"/>
      <c r="P9" s="997"/>
      <c r="Q9" s="997"/>
      <c r="R9" s="997"/>
      <c r="S9" s="997"/>
      <c r="T9" s="997"/>
      <c r="U9" s="998"/>
    </row>
    <row r="10" spans="1:21" ht="15.75" thickBot="1" x14ac:dyDescent="0.3">
      <c r="A10" s="999" t="s">
        <v>19</v>
      </c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1"/>
    </row>
    <row r="11" spans="1:21" ht="15.75" thickBot="1" x14ac:dyDescent="0.3">
      <c r="A11" s="271" t="s">
        <v>20</v>
      </c>
      <c r="B11" s="1002" t="s">
        <v>21</v>
      </c>
      <c r="C11" s="1003"/>
      <c r="D11" s="1003"/>
      <c r="E11" s="1003"/>
      <c r="F11" s="1003"/>
      <c r="G11" s="1003"/>
      <c r="H11" s="1003"/>
      <c r="I11" s="1003"/>
      <c r="J11" s="1003"/>
      <c r="K11" s="1003"/>
      <c r="L11" s="1003"/>
      <c r="M11" s="1003"/>
      <c r="N11" s="1003"/>
      <c r="O11" s="1003"/>
      <c r="P11" s="1003"/>
      <c r="Q11" s="1003"/>
      <c r="R11" s="1003"/>
      <c r="S11" s="1003"/>
      <c r="T11" s="1003"/>
      <c r="U11" s="1004"/>
    </row>
    <row r="12" spans="1:21" ht="15.75" thickBot="1" x14ac:dyDescent="0.3">
      <c r="A12" s="2" t="s">
        <v>20</v>
      </c>
      <c r="B12" s="272" t="s">
        <v>20</v>
      </c>
      <c r="C12" s="822" t="s">
        <v>22</v>
      </c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4"/>
    </row>
    <row r="13" spans="1:21" ht="63.75" x14ac:dyDescent="0.25">
      <c r="A13" s="1005" t="s">
        <v>20</v>
      </c>
      <c r="B13" s="982" t="s">
        <v>20</v>
      </c>
      <c r="C13" s="873" t="s">
        <v>20</v>
      </c>
      <c r="D13" s="3" t="s">
        <v>23</v>
      </c>
      <c r="E13" s="4" t="s">
        <v>24</v>
      </c>
      <c r="F13" s="987" t="s">
        <v>25</v>
      </c>
      <c r="G13" s="836" t="s">
        <v>26</v>
      </c>
      <c r="H13" s="1037" t="s">
        <v>149</v>
      </c>
      <c r="I13" s="5" t="s">
        <v>27</v>
      </c>
      <c r="J13" s="273">
        <v>10658</v>
      </c>
      <c r="K13" s="274">
        <v>10658</v>
      </c>
      <c r="L13" s="273">
        <f>M13</f>
        <v>10700</v>
      </c>
      <c r="M13" s="275">
        <v>10700</v>
      </c>
      <c r="N13" s="276"/>
      <c r="O13" s="277"/>
      <c r="P13" s="278">
        <v>11000</v>
      </c>
      <c r="Q13" s="279">
        <v>11000</v>
      </c>
      <c r="R13" s="839" t="s">
        <v>28</v>
      </c>
      <c r="S13" s="8">
        <v>100</v>
      </c>
      <c r="T13" s="8">
        <v>100</v>
      </c>
      <c r="U13" s="9">
        <v>100</v>
      </c>
    </row>
    <row r="14" spans="1:21" x14ac:dyDescent="0.25">
      <c r="A14" s="1006"/>
      <c r="B14" s="983"/>
      <c r="C14" s="911"/>
      <c r="D14" s="10" t="s">
        <v>29</v>
      </c>
      <c r="E14" s="842" t="s">
        <v>30</v>
      </c>
      <c r="F14" s="988"/>
      <c r="G14" s="837"/>
      <c r="H14" s="1038"/>
      <c r="I14" s="63" t="s">
        <v>31</v>
      </c>
      <c r="J14" s="280">
        <v>96154</v>
      </c>
      <c r="K14" s="281">
        <v>96154</v>
      </c>
      <c r="L14" s="282">
        <v>96200</v>
      </c>
      <c r="M14" s="283">
        <v>96200</v>
      </c>
      <c r="N14" s="284"/>
      <c r="O14" s="285"/>
      <c r="P14" s="286">
        <v>97000</v>
      </c>
      <c r="Q14" s="287">
        <v>97000</v>
      </c>
      <c r="R14" s="840"/>
      <c r="S14" s="14"/>
      <c r="T14" s="14"/>
      <c r="U14" s="15"/>
    </row>
    <row r="15" spans="1:21" x14ac:dyDescent="0.25">
      <c r="A15" s="1007"/>
      <c r="B15" s="984"/>
      <c r="C15" s="986"/>
      <c r="D15" s="17" t="s">
        <v>32</v>
      </c>
      <c r="E15" s="843"/>
      <c r="F15" s="988"/>
      <c r="G15" s="837"/>
      <c r="H15" s="1038"/>
      <c r="I15" s="288" t="s">
        <v>150</v>
      </c>
      <c r="J15" s="289">
        <v>35538</v>
      </c>
      <c r="K15" s="290">
        <v>35538</v>
      </c>
      <c r="L15" s="291"/>
      <c r="M15" s="292"/>
      <c r="N15" s="292"/>
      <c r="O15" s="293"/>
      <c r="P15" s="294"/>
      <c r="Q15" s="295"/>
      <c r="R15" s="840"/>
      <c r="S15" s="14"/>
      <c r="T15" s="14"/>
      <c r="U15" s="15"/>
    </row>
    <row r="16" spans="1:21" ht="25.5" x14ac:dyDescent="0.25">
      <c r="A16" s="1007"/>
      <c r="B16" s="984"/>
      <c r="C16" s="986"/>
      <c r="D16" s="17" t="s">
        <v>33</v>
      </c>
      <c r="E16" s="842" t="s">
        <v>34</v>
      </c>
      <c r="F16" s="988"/>
      <c r="G16" s="837"/>
      <c r="H16" s="1038"/>
      <c r="I16" s="296"/>
      <c r="J16" s="289"/>
      <c r="K16" s="290"/>
      <c r="L16" s="297"/>
      <c r="M16" s="298"/>
      <c r="N16" s="298"/>
      <c r="O16" s="281"/>
      <c r="P16" s="299"/>
      <c r="Q16" s="300"/>
      <c r="R16" s="840"/>
      <c r="S16" s="14"/>
      <c r="T16" s="14"/>
      <c r="U16" s="15"/>
    </row>
    <row r="17" spans="1:21" ht="38.25" x14ac:dyDescent="0.25">
      <c r="A17" s="1007"/>
      <c r="B17" s="984"/>
      <c r="C17" s="986"/>
      <c r="D17" s="17" t="s">
        <v>35</v>
      </c>
      <c r="E17" s="779"/>
      <c r="F17" s="988"/>
      <c r="G17" s="837"/>
      <c r="H17" s="1038"/>
      <c r="I17" s="296"/>
      <c r="J17" s="289"/>
      <c r="K17" s="290"/>
      <c r="L17" s="297"/>
      <c r="M17" s="298"/>
      <c r="N17" s="298"/>
      <c r="O17" s="281"/>
      <c r="P17" s="299"/>
      <c r="Q17" s="300"/>
      <c r="R17" s="840"/>
      <c r="S17" s="14"/>
      <c r="T17" s="14"/>
      <c r="U17" s="15"/>
    </row>
    <row r="18" spans="1:21" ht="27.75" customHeight="1" x14ac:dyDescent="0.25">
      <c r="A18" s="1007"/>
      <c r="B18" s="984"/>
      <c r="C18" s="986"/>
      <c r="D18" s="17" t="s">
        <v>36</v>
      </c>
      <c r="E18" s="779"/>
      <c r="F18" s="988"/>
      <c r="G18" s="837"/>
      <c r="H18" s="1038"/>
      <c r="I18" s="301"/>
      <c r="J18" s="302"/>
      <c r="K18" s="303"/>
      <c r="L18" s="297"/>
      <c r="M18" s="298"/>
      <c r="N18" s="298"/>
      <c r="O18" s="281"/>
      <c r="P18" s="299"/>
      <c r="Q18" s="300"/>
      <c r="R18" s="840"/>
      <c r="S18" s="22"/>
      <c r="T18" s="22"/>
      <c r="U18" s="23"/>
    </row>
    <row r="19" spans="1:21" ht="15.75" thickBot="1" x14ac:dyDescent="0.3">
      <c r="A19" s="1008"/>
      <c r="B19" s="985"/>
      <c r="C19" s="874"/>
      <c r="D19" s="17" t="s">
        <v>37</v>
      </c>
      <c r="E19" s="780"/>
      <c r="F19" s="989"/>
      <c r="G19" s="838"/>
      <c r="H19" s="1039"/>
      <c r="I19" s="24" t="s">
        <v>38</v>
      </c>
      <c r="J19" s="304">
        <f>SUM(J13:J18)</f>
        <v>142350</v>
      </c>
      <c r="K19" s="305">
        <f>SUM(K13:K18)</f>
        <v>142350</v>
      </c>
      <c r="L19" s="306">
        <f>M19+O19</f>
        <v>106900</v>
      </c>
      <c r="M19" s="307">
        <f>SUM(M13:M18)</f>
        <v>106900</v>
      </c>
      <c r="N19" s="307"/>
      <c r="O19" s="308"/>
      <c r="P19" s="309">
        <f>SUM(P13:P18)</f>
        <v>108000</v>
      </c>
      <c r="Q19" s="310">
        <f>SUM(Q13:Q18)</f>
        <v>108000</v>
      </c>
      <c r="R19" s="841"/>
      <c r="S19" s="28"/>
      <c r="T19" s="28"/>
      <c r="U19" s="29"/>
    </row>
    <row r="20" spans="1:21" ht="33.75" customHeight="1" x14ac:dyDescent="0.25">
      <c r="A20" s="311" t="s">
        <v>20</v>
      </c>
      <c r="B20" s="312" t="s">
        <v>20</v>
      </c>
      <c r="C20" s="1044" t="s">
        <v>39</v>
      </c>
      <c r="D20" s="775" t="s">
        <v>40</v>
      </c>
      <c r="E20" s="778" t="s">
        <v>34</v>
      </c>
      <c r="F20" s="1046" t="s">
        <v>25</v>
      </c>
      <c r="G20" s="836" t="s">
        <v>26</v>
      </c>
      <c r="H20" s="1037" t="s">
        <v>149</v>
      </c>
      <c r="I20" s="313" t="s">
        <v>41</v>
      </c>
      <c r="J20" s="314">
        <v>255469</v>
      </c>
      <c r="K20" s="315">
        <v>255469</v>
      </c>
      <c r="L20" s="316">
        <v>271900</v>
      </c>
      <c r="M20" s="276">
        <v>271900</v>
      </c>
      <c r="N20" s="276">
        <v>181346</v>
      </c>
      <c r="O20" s="277"/>
      <c r="P20" s="317">
        <v>271900</v>
      </c>
      <c r="Q20" s="279">
        <v>271900</v>
      </c>
      <c r="R20" s="861" t="s">
        <v>42</v>
      </c>
      <c r="S20" s="33">
        <v>108</v>
      </c>
      <c r="T20" s="33">
        <v>108</v>
      </c>
      <c r="U20" s="34">
        <v>108</v>
      </c>
    </row>
    <row r="21" spans="1:21" ht="33.75" customHeight="1" x14ac:dyDescent="0.25">
      <c r="A21" s="252"/>
      <c r="B21" s="318"/>
      <c r="C21" s="911"/>
      <c r="D21" s="776"/>
      <c r="E21" s="779"/>
      <c r="F21" s="1047"/>
      <c r="G21" s="837"/>
      <c r="H21" s="1038"/>
      <c r="I21" s="35" t="s">
        <v>27</v>
      </c>
      <c r="J21" s="319"/>
      <c r="K21" s="320"/>
      <c r="L21" s="291"/>
      <c r="M21" s="292"/>
      <c r="N21" s="292"/>
      <c r="O21" s="293"/>
      <c r="P21" s="321"/>
      <c r="Q21" s="287"/>
      <c r="R21" s="1040"/>
      <c r="S21" s="33"/>
      <c r="T21" s="33"/>
      <c r="U21" s="34"/>
    </row>
    <row r="22" spans="1:21" ht="15.75" thickBot="1" x14ac:dyDescent="0.3">
      <c r="A22" s="322"/>
      <c r="B22" s="272"/>
      <c r="C22" s="1045"/>
      <c r="D22" s="777"/>
      <c r="E22" s="780"/>
      <c r="F22" s="1048"/>
      <c r="G22" s="838"/>
      <c r="H22" s="1039"/>
      <c r="I22" s="24" t="s">
        <v>38</v>
      </c>
      <c r="J22" s="304">
        <f>SUM(J20:J21)</f>
        <v>255469</v>
      </c>
      <c r="K22" s="304">
        <f>SUM(K20:K21)</f>
        <v>255469</v>
      </c>
      <c r="L22" s="306">
        <f>M22+O22</f>
        <v>271900</v>
      </c>
      <c r="M22" s="323">
        <f>SUM(M20:M21)</f>
        <v>271900</v>
      </c>
      <c r="N22" s="323">
        <f>SUM(N20:N21)</f>
        <v>181346</v>
      </c>
      <c r="O22" s="308"/>
      <c r="P22" s="304">
        <f>SUM(P20:P21)</f>
        <v>271900</v>
      </c>
      <c r="Q22" s="310">
        <f>SUM(Q20:Q21)</f>
        <v>271900</v>
      </c>
      <c r="R22" s="1040"/>
      <c r="S22" s="33"/>
      <c r="T22" s="33"/>
      <c r="U22" s="34"/>
    </row>
    <row r="23" spans="1:21" ht="25.5" customHeight="1" x14ac:dyDescent="0.25">
      <c r="A23" s="311" t="s">
        <v>20</v>
      </c>
      <c r="B23" s="871" t="s">
        <v>20</v>
      </c>
      <c r="C23" s="873" t="s">
        <v>43</v>
      </c>
      <c r="D23" s="846" t="s">
        <v>44</v>
      </c>
      <c r="E23" s="4"/>
      <c r="F23" s="324" t="s">
        <v>25</v>
      </c>
      <c r="G23" s="264" t="s">
        <v>26</v>
      </c>
      <c r="H23" s="1037" t="s">
        <v>149</v>
      </c>
      <c r="I23" s="39" t="s">
        <v>41</v>
      </c>
      <c r="J23" s="273">
        <v>185386</v>
      </c>
      <c r="K23" s="274">
        <v>185386</v>
      </c>
      <c r="L23" s="316">
        <v>171400</v>
      </c>
      <c r="M23" s="276">
        <v>171400</v>
      </c>
      <c r="N23" s="276">
        <v>90759</v>
      </c>
      <c r="O23" s="325"/>
      <c r="P23" s="317">
        <v>171400</v>
      </c>
      <c r="Q23" s="279">
        <v>171400</v>
      </c>
      <c r="R23" s="262" t="s">
        <v>121</v>
      </c>
      <c r="S23" s="42">
        <v>340</v>
      </c>
      <c r="T23" s="42">
        <v>380</v>
      </c>
      <c r="U23" s="43">
        <v>420</v>
      </c>
    </row>
    <row r="24" spans="1:21" ht="63.75" x14ac:dyDescent="0.25">
      <c r="A24" s="252"/>
      <c r="B24" s="886"/>
      <c r="C24" s="911"/>
      <c r="D24" s="847"/>
      <c r="E24" s="326"/>
      <c r="F24" s="327"/>
      <c r="G24" s="328"/>
      <c r="H24" s="1038"/>
      <c r="I24" s="44" t="s">
        <v>45</v>
      </c>
      <c r="J24" s="329"/>
      <c r="K24" s="330">
        <v>697</v>
      </c>
      <c r="L24" s="331">
        <f>M24</f>
        <v>2800</v>
      </c>
      <c r="M24" s="332">
        <v>2800</v>
      </c>
      <c r="N24" s="332">
        <v>1700</v>
      </c>
      <c r="O24" s="333"/>
      <c r="P24" s="334">
        <v>2800</v>
      </c>
      <c r="Q24" s="335">
        <v>2800</v>
      </c>
      <c r="R24" s="336" t="s">
        <v>151</v>
      </c>
      <c r="S24" s="48">
        <v>5</v>
      </c>
      <c r="T24" s="48">
        <v>10</v>
      </c>
      <c r="U24" s="49">
        <v>15</v>
      </c>
    </row>
    <row r="25" spans="1:21" x14ac:dyDescent="0.25">
      <c r="A25" s="337"/>
      <c r="B25" s="1041"/>
      <c r="C25" s="1042"/>
      <c r="D25" s="1043"/>
      <c r="E25" s="338"/>
      <c r="F25" s="339"/>
      <c r="G25" s="340"/>
      <c r="H25" s="341"/>
      <c r="I25" s="342" t="s">
        <v>27</v>
      </c>
      <c r="J25" s="319"/>
      <c r="K25" s="320"/>
      <c r="L25" s="282">
        <v>1500</v>
      </c>
      <c r="M25" s="283"/>
      <c r="N25" s="283"/>
      <c r="O25" s="320">
        <v>1500</v>
      </c>
      <c r="P25" s="343">
        <v>1500</v>
      </c>
      <c r="Q25" s="344">
        <v>1500</v>
      </c>
      <c r="R25" s="345" t="s">
        <v>47</v>
      </c>
      <c r="S25" s="206">
        <v>2</v>
      </c>
      <c r="T25" s="206">
        <v>2</v>
      </c>
      <c r="U25" s="207">
        <v>2</v>
      </c>
    </row>
    <row r="26" spans="1:21" ht="92.25" customHeight="1" x14ac:dyDescent="0.25">
      <c r="A26" s="252"/>
      <c r="B26" s="260"/>
      <c r="C26" s="261"/>
      <c r="D26" s="346"/>
      <c r="E26" s="326"/>
      <c r="F26" s="327"/>
      <c r="G26" s="328"/>
      <c r="H26" s="347"/>
      <c r="I26" s="44" t="s">
        <v>27</v>
      </c>
      <c r="J26" s="348"/>
      <c r="K26" s="330">
        <v>7703</v>
      </c>
      <c r="L26" s="349">
        <v>5400</v>
      </c>
      <c r="M26" s="332">
        <v>5400</v>
      </c>
      <c r="N26" s="332">
        <v>4100</v>
      </c>
      <c r="O26" s="350"/>
      <c r="P26" s="334">
        <v>9200</v>
      </c>
      <c r="Q26" s="335">
        <v>9200</v>
      </c>
      <c r="R26" s="1040" t="s">
        <v>122</v>
      </c>
      <c r="S26" s="351">
        <v>1</v>
      </c>
      <c r="T26" s="351">
        <v>1</v>
      </c>
      <c r="U26" s="352">
        <v>1</v>
      </c>
    </row>
    <row r="27" spans="1:21" ht="15.75" thickBot="1" x14ac:dyDescent="0.3">
      <c r="A27" s="322"/>
      <c r="B27" s="353"/>
      <c r="C27" s="354"/>
      <c r="D27" s="355"/>
      <c r="E27" s="356"/>
      <c r="F27" s="357"/>
      <c r="G27" s="358"/>
      <c r="H27" s="359"/>
      <c r="I27" s="60" t="s">
        <v>38</v>
      </c>
      <c r="J27" s="304">
        <f>SUM(J23:J25)</f>
        <v>185386</v>
      </c>
      <c r="K27" s="305">
        <f t="shared" ref="K27:Q27" si="0">SUM(K23:K26)</f>
        <v>193786</v>
      </c>
      <c r="L27" s="304">
        <f t="shared" si="0"/>
        <v>181100</v>
      </c>
      <c r="M27" s="323">
        <f t="shared" si="0"/>
        <v>179600</v>
      </c>
      <c r="N27" s="323">
        <f t="shared" si="0"/>
        <v>96559</v>
      </c>
      <c r="O27" s="304">
        <f t="shared" si="0"/>
        <v>1500</v>
      </c>
      <c r="P27" s="304">
        <f t="shared" si="0"/>
        <v>184900</v>
      </c>
      <c r="Q27" s="304">
        <f t="shared" si="0"/>
        <v>184900</v>
      </c>
      <c r="R27" s="910"/>
      <c r="S27" s="61"/>
      <c r="T27" s="61"/>
      <c r="U27" s="62"/>
    </row>
    <row r="28" spans="1:21" ht="42.75" customHeight="1" x14ac:dyDescent="0.25">
      <c r="A28" s="1005" t="s">
        <v>20</v>
      </c>
      <c r="B28" s="982" t="s">
        <v>20</v>
      </c>
      <c r="C28" s="873" t="s">
        <v>48</v>
      </c>
      <c r="D28" s="1049" t="s">
        <v>152</v>
      </c>
      <c r="E28" s="778"/>
      <c r="F28" s="987" t="s">
        <v>25</v>
      </c>
      <c r="G28" s="836" t="s">
        <v>26</v>
      </c>
      <c r="H28" s="1037" t="s">
        <v>149</v>
      </c>
      <c r="I28" s="5" t="s">
        <v>27</v>
      </c>
      <c r="J28" s="273"/>
      <c r="K28" s="274">
        <v>7703</v>
      </c>
      <c r="L28" s="360"/>
      <c r="M28" s="361"/>
      <c r="N28" s="361"/>
      <c r="O28" s="362"/>
      <c r="P28" s="363"/>
      <c r="Q28" s="295"/>
      <c r="R28" s="265" t="s">
        <v>49</v>
      </c>
      <c r="S28" s="66" t="s">
        <v>50</v>
      </c>
      <c r="T28" s="67"/>
      <c r="U28" s="68"/>
    </row>
    <row r="29" spans="1:21" ht="31.5" customHeight="1" x14ac:dyDescent="0.25">
      <c r="A29" s="1006"/>
      <c r="B29" s="983"/>
      <c r="C29" s="911"/>
      <c r="D29" s="1050"/>
      <c r="E29" s="779"/>
      <c r="F29" s="988"/>
      <c r="G29" s="837"/>
      <c r="H29" s="1038"/>
      <c r="I29" s="63" t="s">
        <v>74</v>
      </c>
      <c r="J29" s="280"/>
      <c r="K29" s="281">
        <v>42202</v>
      </c>
      <c r="L29" s="342">
        <v>31600</v>
      </c>
      <c r="M29" s="364">
        <f>L29</f>
        <v>31600</v>
      </c>
      <c r="N29" s="283">
        <v>5828</v>
      </c>
      <c r="O29" s="365"/>
      <c r="P29" s="366"/>
      <c r="Q29" s="295"/>
      <c r="R29" s="70" t="s">
        <v>124</v>
      </c>
      <c r="S29" s="71">
        <v>4</v>
      </c>
      <c r="T29" s="72"/>
      <c r="U29" s="73"/>
    </row>
    <row r="30" spans="1:21" ht="21" customHeight="1" x14ac:dyDescent="0.25">
      <c r="A30" s="1007"/>
      <c r="B30" s="984"/>
      <c r="C30" s="986"/>
      <c r="D30" s="1050"/>
      <c r="E30" s="779"/>
      <c r="F30" s="988"/>
      <c r="G30" s="837"/>
      <c r="H30" s="1038"/>
      <c r="I30" s="301"/>
      <c r="J30" s="289"/>
      <c r="K30" s="290"/>
      <c r="L30" s="367"/>
      <c r="M30" s="284"/>
      <c r="N30" s="368"/>
      <c r="O30" s="293"/>
      <c r="P30" s="294"/>
      <c r="Q30" s="295"/>
      <c r="R30" s="76" t="s">
        <v>153</v>
      </c>
      <c r="S30" s="77"/>
      <c r="T30" s="369">
        <v>100</v>
      </c>
      <c r="U30" s="370"/>
    </row>
    <row r="31" spans="1:21" ht="30" customHeight="1" thickBot="1" x14ac:dyDescent="0.3">
      <c r="A31" s="1008"/>
      <c r="B31" s="985"/>
      <c r="C31" s="874"/>
      <c r="D31" s="1051"/>
      <c r="E31" s="780"/>
      <c r="F31" s="989"/>
      <c r="G31" s="838"/>
      <c r="H31" s="1039"/>
      <c r="I31" s="24" t="s">
        <v>38</v>
      </c>
      <c r="J31" s="306">
        <f>SUM(J28:J30)</f>
        <v>0</v>
      </c>
      <c r="K31" s="371">
        <f>SUM(K28:K30)</f>
        <v>49905</v>
      </c>
      <c r="L31" s="372">
        <f>SUM(L28:L30)</f>
        <v>31600</v>
      </c>
      <c r="M31" s="373">
        <f t="shared" ref="M31:Q31" si="1">SUM(M28:M30)</f>
        <v>31600</v>
      </c>
      <c r="N31" s="374">
        <f t="shared" si="1"/>
        <v>5828</v>
      </c>
      <c r="O31" s="375">
        <f t="shared" si="1"/>
        <v>0</v>
      </c>
      <c r="P31" s="372">
        <f>SUM(P28:P30)</f>
        <v>0</v>
      </c>
      <c r="Q31" s="376">
        <f t="shared" si="1"/>
        <v>0</v>
      </c>
      <c r="R31" s="80" t="s">
        <v>154</v>
      </c>
      <c r="S31" s="81"/>
      <c r="T31" s="33">
        <v>920</v>
      </c>
      <c r="U31" s="34">
        <v>920</v>
      </c>
    </row>
    <row r="32" spans="1:21" x14ac:dyDescent="0.25">
      <c r="A32" s="1005" t="s">
        <v>20</v>
      </c>
      <c r="B32" s="871" t="s">
        <v>20</v>
      </c>
      <c r="C32" s="873" t="s">
        <v>83</v>
      </c>
      <c r="D32" s="1065" t="s">
        <v>155</v>
      </c>
      <c r="E32" s="849"/>
      <c r="F32" s="987" t="s">
        <v>25</v>
      </c>
      <c r="G32" s="1052" t="s">
        <v>26</v>
      </c>
      <c r="H32" s="1037" t="s">
        <v>149</v>
      </c>
      <c r="I32" s="39" t="s">
        <v>156</v>
      </c>
      <c r="J32" s="377">
        <v>19289</v>
      </c>
      <c r="K32" s="277">
        <v>19289</v>
      </c>
      <c r="L32" s="378"/>
      <c r="M32" s="379"/>
      <c r="N32" s="379"/>
      <c r="O32" s="380"/>
      <c r="P32" s="279"/>
      <c r="Q32" s="279"/>
      <c r="R32" s="265"/>
      <c r="S32" s="381"/>
      <c r="T32" s="67"/>
      <c r="U32" s="68"/>
    </row>
    <row r="33" spans="1:21" x14ac:dyDescent="0.25">
      <c r="A33" s="1006"/>
      <c r="B33" s="886"/>
      <c r="C33" s="911"/>
      <c r="D33" s="1066"/>
      <c r="E33" s="850"/>
      <c r="F33" s="988"/>
      <c r="G33" s="1053"/>
      <c r="H33" s="1038"/>
      <c r="I33" s="382" t="s">
        <v>27</v>
      </c>
      <c r="J33" s="321"/>
      <c r="K33" s="285">
        <v>2768</v>
      </c>
      <c r="L33" s="291"/>
      <c r="M33" s="292"/>
      <c r="N33" s="292"/>
      <c r="O33" s="383"/>
      <c r="P33" s="287"/>
      <c r="Q33" s="287"/>
      <c r="R33" s="862"/>
      <c r="S33" s="81"/>
      <c r="T33" s="33"/>
      <c r="U33" s="34"/>
    </row>
    <row r="34" spans="1:21" ht="15.75" thickBot="1" x14ac:dyDescent="0.3">
      <c r="A34" s="322"/>
      <c r="B34" s="353"/>
      <c r="C34" s="354"/>
      <c r="D34" s="1067"/>
      <c r="E34" s="851"/>
      <c r="F34" s="989"/>
      <c r="G34" s="1054"/>
      <c r="H34" s="1039"/>
      <c r="I34" s="60" t="s">
        <v>38</v>
      </c>
      <c r="J34" s="304">
        <f>SUM(J32:J33)</f>
        <v>19289</v>
      </c>
      <c r="K34" s="305">
        <f>SUM(K32:K33)</f>
        <v>22057</v>
      </c>
      <c r="L34" s="306"/>
      <c r="M34" s="309"/>
      <c r="N34" s="323"/>
      <c r="O34" s="309"/>
      <c r="P34" s="304"/>
      <c r="Q34" s="310"/>
      <c r="R34" s="1055"/>
      <c r="S34" s="33"/>
      <c r="T34" s="61"/>
      <c r="U34" s="62"/>
    </row>
    <row r="35" spans="1:21" ht="15.75" thickBot="1" x14ac:dyDescent="0.3">
      <c r="A35" s="384" t="s">
        <v>20</v>
      </c>
      <c r="B35" s="82" t="s">
        <v>20</v>
      </c>
      <c r="C35" s="1056" t="s">
        <v>53</v>
      </c>
      <c r="D35" s="1057"/>
      <c r="E35" s="1057"/>
      <c r="F35" s="1057"/>
      <c r="G35" s="1057"/>
      <c r="H35" s="1057"/>
      <c r="I35" s="1058"/>
      <c r="J35" s="385">
        <f>J34+J27+J22+J19+J31</f>
        <v>602494</v>
      </c>
      <c r="K35" s="386">
        <f>K34+K27+K22+K19+K31</f>
        <v>663567</v>
      </c>
      <c r="L35" s="387">
        <f t="shared" ref="L35:Q35" si="2">L34+L27+L22+L19+L31</f>
        <v>591500</v>
      </c>
      <c r="M35" s="388">
        <f t="shared" si="2"/>
        <v>590000</v>
      </c>
      <c r="N35" s="388">
        <f t="shared" si="2"/>
        <v>283733</v>
      </c>
      <c r="O35" s="389">
        <f t="shared" si="2"/>
        <v>1500</v>
      </c>
      <c r="P35" s="385">
        <f t="shared" si="2"/>
        <v>564800</v>
      </c>
      <c r="Q35" s="390">
        <f t="shared" si="2"/>
        <v>564800</v>
      </c>
      <c r="R35" s="1059"/>
      <c r="S35" s="1060"/>
      <c r="T35" s="1060"/>
      <c r="U35" s="1061"/>
    </row>
    <row r="36" spans="1:21" ht="15.75" thickBot="1" x14ac:dyDescent="0.3">
      <c r="A36" s="2" t="s">
        <v>20</v>
      </c>
      <c r="B36" s="87" t="s">
        <v>39</v>
      </c>
      <c r="C36" s="1062" t="s">
        <v>54</v>
      </c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4"/>
    </row>
    <row r="37" spans="1:21" ht="30" customHeight="1" x14ac:dyDescent="0.25">
      <c r="A37" s="311" t="s">
        <v>20</v>
      </c>
      <c r="B37" s="391" t="s">
        <v>39</v>
      </c>
      <c r="C37" s="392" t="s">
        <v>20</v>
      </c>
      <c r="D37" s="1068" t="s">
        <v>55</v>
      </c>
      <c r="E37" s="907"/>
      <c r="F37" s="1046" t="s">
        <v>25</v>
      </c>
      <c r="G37" s="836" t="s">
        <v>26</v>
      </c>
      <c r="H37" s="1037" t="s">
        <v>149</v>
      </c>
      <c r="I37" s="90" t="s">
        <v>41</v>
      </c>
      <c r="J37" s="393">
        <v>878881</v>
      </c>
      <c r="K37" s="394">
        <f>878881+4050</f>
        <v>882931</v>
      </c>
      <c r="L37" s="378">
        <f>M37+O37</f>
        <v>896000</v>
      </c>
      <c r="M37" s="379">
        <v>876100</v>
      </c>
      <c r="N37" s="395">
        <v>554900</v>
      </c>
      <c r="O37" s="396">
        <v>19900</v>
      </c>
      <c r="P37" s="397">
        <v>896000</v>
      </c>
      <c r="Q37" s="398">
        <v>896000</v>
      </c>
      <c r="R37" s="399" t="s">
        <v>157</v>
      </c>
      <c r="S37" s="400">
        <v>55</v>
      </c>
      <c r="T37" s="92" t="s">
        <v>56</v>
      </c>
      <c r="U37" s="401">
        <v>55</v>
      </c>
    </row>
    <row r="38" spans="1:21" ht="17.25" customHeight="1" x14ac:dyDescent="0.25">
      <c r="A38" s="252"/>
      <c r="B38" s="402"/>
      <c r="C38" s="261"/>
      <c r="D38" s="1069"/>
      <c r="E38" s="1075"/>
      <c r="F38" s="1047"/>
      <c r="G38" s="837"/>
      <c r="H38" s="1038"/>
      <c r="I38" s="94"/>
      <c r="J38" s="403"/>
      <c r="K38" s="404"/>
      <c r="L38" s="403"/>
      <c r="M38" s="405"/>
      <c r="N38" s="404"/>
      <c r="O38" s="406"/>
      <c r="P38" s="407"/>
      <c r="Q38" s="287"/>
      <c r="R38" s="408" t="s">
        <v>158</v>
      </c>
      <c r="S38" s="409" t="s">
        <v>159</v>
      </c>
      <c r="T38" s="410" t="s">
        <v>159</v>
      </c>
      <c r="U38" s="411" t="s">
        <v>159</v>
      </c>
    </row>
    <row r="39" spans="1:21" ht="54.75" customHeight="1" x14ac:dyDescent="0.25">
      <c r="A39" s="252"/>
      <c r="B39" s="402"/>
      <c r="C39" s="261"/>
      <c r="D39" s="1069"/>
      <c r="E39" s="1075"/>
      <c r="F39" s="1047"/>
      <c r="G39" s="837"/>
      <c r="H39" s="1038"/>
      <c r="I39" s="94"/>
      <c r="J39" s="403"/>
      <c r="K39" s="404"/>
      <c r="L39" s="412"/>
      <c r="M39" s="413"/>
      <c r="N39" s="414"/>
      <c r="O39" s="415"/>
      <c r="P39" s="407"/>
      <c r="Q39" s="287"/>
      <c r="R39" s="416" t="s">
        <v>57</v>
      </c>
      <c r="S39" s="95" t="s">
        <v>58</v>
      </c>
      <c r="T39" s="95" t="s">
        <v>59</v>
      </c>
      <c r="U39" s="417" t="s">
        <v>59</v>
      </c>
    </row>
    <row r="40" spans="1:21" ht="20.25" customHeight="1" x14ac:dyDescent="0.25">
      <c r="A40" s="252"/>
      <c r="B40" s="402"/>
      <c r="C40" s="261"/>
      <c r="D40" s="1069"/>
      <c r="E40" s="1075"/>
      <c r="F40" s="1047"/>
      <c r="G40" s="837"/>
      <c r="H40" s="1038"/>
      <c r="I40" s="94"/>
      <c r="J40" s="403"/>
      <c r="K40" s="404"/>
      <c r="L40" s="412"/>
      <c r="M40" s="413"/>
      <c r="N40" s="414"/>
      <c r="O40" s="415"/>
      <c r="P40" s="407"/>
      <c r="Q40" s="287"/>
      <c r="R40" s="416" t="s">
        <v>160</v>
      </c>
      <c r="S40" s="95" t="s">
        <v>161</v>
      </c>
      <c r="T40" s="95" t="s">
        <v>161</v>
      </c>
      <c r="U40" s="417" t="s">
        <v>161</v>
      </c>
    </row>
    <row r="41" spans="1:21" ht="56.25" customHeight="1" x14ac:dyDescent="0.25">
      <c r="A41" s="252"/>
      <c r="B41" s="402"/>
      <c r="C41" s="261"/>
      <c r="D41" s="1069"/>
      <c r="E41" s="1075"/>
      <c r="F41" s="1047"/>
      <c r="G41" s="837"/>
      <c r="H41" s="1038"/>
      <c r="I41" s="96" t="s">
        <v>60</v>
      </c>
      <c r="J41" s="282">
        <v>1072</v>
      </c>
      <c r="K41" s="418">
        <v>1072</v>
      </c>
      <c r="L41" s="291">
        <v>1100</v>
      </c>
      <c r="M41" s="292">
        <v>1100</v>
      </c>
      <c r="N41" s="419">
        <v>400</v>
      </c>
      <c r="O41" s="383"/>
      <c r="P41" s="420">
        <v>1100</v>
      </c>
      <c r="Q41" s="295">
        <v>1100</v>
      </c>
      <c r="R41" s="53" t="s">
        <v>125</v>
      </c>
      <c r="S41" s="98" t="s">
        <v>61</v>
      </c>
      <c r="T41" s="98" t="s">
        <v>61</v>
      </c>
      <c r="U41" s="421" t="s">
        <v>61</v>
      </c>
    </row>
    <row r="42" spans="1:21" ht="18.75" customHeight="1" thickBot="1" x14ac:dyDescent="0.3">
      <c r="A42" s="322"/>
      <c r="B42" s="353"/>
      <c r="C42" s="354"/>
      <c r="D42" s="1070"/>
      <c r="E42" s="908"/>
      <c r="F42" s="1048"/>
      <c r="G42" s="838"/>
      <c r="H42" s="1039"/>
      <c r="I42" s="99" t="s">
        <v>38</v>
      </c>
      <c r="J42" s="306">
        <f t="shared" ref="J42:Q42" si="3">SUM(J37:J41)</f>
        <v>879953</v>
      </c>
      <c r="K42" s="307">
        <f t="shared" si="3"/>
        <v>884003</v>
      </c>
      <c r="L42" s="306">
        <f t="shared" si="3"/>
        <v>897100</v>
      </c>
      <c r="M42" s="306">
        <f t="shared" si="3"/>
        <v>877200</v>
      </c>
      <c r="N42" s="306">
        <f t="shared" si="3"/>
        <v>555300</v>
      </c>
      <c r="O42" s="306">
        <f t="shared" si="3"/>
        <v>19900</v>
      </c>
      <c r="P42" s="306">
        <f t="shared" si="3"/>
        <v>897100</v>
      </c>
      <c r="Q42" s="306">
        <f t="shared" si="3"/>
        <v>897100</v>
      </c>
      <c r="R42" s="422" t="s">
        <v>62</v>
      </c>
      <c r="S42" s="423">
        <v>1</v>
      </c>
      <c r="T42" s="424"/>
      <c r="U42" s="425"/>
    </row>
    <row r="43" spans="1:21" ht="40.5" customHeight="1" x14ac:dyDescent="0.25">
      <c r="A43" s="311" t="s">
        <v>20</v>
      </c>
      <c r="B43" s="391" t="s">
        <v>39</v>
      </c>
      <c r="C43" s="392" t="s">
        <v>39</v>
      </c>
      <c r="D43" s="905" t="s">
        <v>128</v>
      </c>
      <c r="E43" s="907"/>
      <c r="F43" s="1046" t="s">
        <v>25</v>
      </c>
      <c r="G43" s="836" t="s">
        <v>26</v>
      </c>
      <c r="H43" s="1037" t="s">
        <v>149</v>
      </c>
      <c r="I43" s="90" t="s">
        <v>45</v>
      </c>
      <c r="J43" s="378">
        <v>24038</v>
      </c>
      <c r="K43" s="395">
        <v>24038</v>
      </c>
      <c r="L43" s="426">
        <f>M43</f>
        <v>16000</v>
      </c>
      <c r="M43" s="275">
        <f>16030-30</f>
        <v>16000</v>
      </c>
      <c r="N43" s="427">
        <v>12200</v>
      </c>
      <c r="O43" s="396"/>
      <c r="P43" s="279">
        <v>21000</v>
      </c>
      <c r="Q43" s="279">
        <v>21000</v>
      </c>
      <c r="R43" s="428" t="s">
        <v>162</v>
      </c>
      <c r="S43" s="101">
        <v>8</v>
      </c>
      <c r="T43" s="102" t="s">
        <v>63</v>
      </c>
      <c r="U43" s="103">
        <v>8</v>
      </c>
    </row>
    <row r="44" spans="1:21" ht="15.75" thickBot="1" x14ac:dyDescent="0.3">
      <c r="A44" s="322"/>
      <c r="B44" s="353"/>
      <c r="C44" s="354"/>
      <c r="D44" s="906"/>
      <c r="E44" s="908"/>
      <c r="F44" s="1048"/>
      <c r="G44" s="838"/>
      <c r="H44" s="1039"/>
      <c r="I44" s="99" t="s">
        <v>38</v>
      </c>
      <c r="J44" s="306">
        <f>SUM(J43)</f>
        <v>24038</v>
      </c>
      <c r="K44" s="307">
        <f>SUM(K43)</f>
        <v>24038</v>
      </c>
      <c r="L44" s="306">
        <f t="shared" ref="L44:Q44" si="4">SUM(L43:L43)</f>
        <v>16000</v>
      </c>
      <c r="M44" s="323">
        <f t="shared" si="4"/>
        <v>16000</v>
      </c>
      <c r="N44" s="323">
        <f t="shared" si="4"/>
        <v>12200</v>
      </c>
      <c r="O44" s="305">
        <f t="shared" si="4"/>
        <v>0</v>
      </c>
      <c r="P44" s="310">
        <f>SUM(P43:P43)</f>
        <v>21000</v>
      </c>
      <c r="Q44" s="309">
        <f t="shared" si="4"/>
        <v>21000</v>
      </c>
      <c r="R44" s="104"/>
      <c r="S44" s="105"/>
      <c r="T44" s="105"/>
      <c r="U44" s="106"/>
    </row>
    <row r="45" spans="1:21" ht="17.25" customHeight="1" x14ac:dyDescent="0.25">
      <c r="A45" s="311" t="s">
        <v>20</v>
      </c>
      <c r="B45" s="391" t="s">
        <v>39</v>
      </c>
      <c r="C45" s="392" t="s">
        <v>43</v>
      </c>
      <c r="D45" s="1068" t="s">
        <v>64</v>
      </c>
      <c r="E45" s="1071" t="s">
        <v>65</v>
      </c>
      <c r="F45" s="1046" t="s">
        <v>25</v>
      </c>
      <c r="G45" s="836" t="s">
        <v>26</v>
      </c>
      <c r="H45" s="1037" t="s">
        <v>149</v>
      </c>
      <c r="I45" s="107" t="s">
        <v>27</v>
      </c>
      <c r="J45" s="378"/>
      <c r="K45" s="395"/>
      <c r="L45" s="393">
        <v>15000</v>
      </c>
      <c r="M45" s="361">
        <v>15000</v>
      </c>
      <c r="N45" s="395"/>
      <c r="O45" s="396"/>
      <c r="P45" s="397">
        <v>10000</v>
      </c>
      <c r="Q45" s="429">
        <v>5000</v>
      </c>
      <c r="R45" s="109" t="s">
        <v>66</v>
      </c>
      <c r="S45" s="92" t="s">
        <v>67</v>
      </c>
      <c r="T45" s="92"/>
      <c r="U45" s="110"/>
    </row>
    <row r="46" spans="1:21" ht="18" customHeight="1" x14ac:dyDescent="0.25">
      <c r="A46" s="252"/>
      <c r="B46" s="402"/>
      <c r="C46" s="261"/>
      <c r="D46" s="1069"/>
      <c r="E46" s="901"/>
      <c r="F46" s="1047"/>
      <c r="G46" s="837"/>
      <c r="H46" s="1038"/>
      <c r="I46" s="63"/>
      <c r="J46" s="412"/>
      <c r="K46" s="430"/>
      <c r="L46" s="403"/>
      <c r="M46" s="405"/>
      <c r="N46" s="430"/>
      <c r="O46" s="285"/>
      <c r="P46" s="431"/>
      <c r="Q46" s="432"/>
      <c r="R46" s="113" t="s">
        <v>68</v>
      </c>
      <c r="S46" s="95" t="s">
        <v>67</v>
      </c>
      <c r="T46" s="95"/>
      <c r="U46" s="114"/>
    </row>
    <row r="47" spans="1:21" ht="42" customHeight="1" x14ac:dyDescent="0.25">
      <c r="A47" s="252"/>
      <c r="B47" s="402"/>
      <c r="C47" s="261"/>
      <c r="D47" s="1069"/>
      <c r="E47" s="901"/>
      <c r="F47" s="1047"/>
      <c r="G47" s="837"/>
      <c r="H47" s="1038"/>
      <c r="I47" s="63"/>
      <c r="J47" s="412"/>
      <c r="K47" s="430"/>
      <c r="L47" s="403"/>
      <c r="M47" s="405"/>
      <c r="N47" s="430"/>
      <c r="O47" s="285"/>
      <c r="P47" s="431"/>
      <c r="Q47" s="432"/>
      <c r="R47" s="115" t="s">
        <v>69</v>
      </c>
      <c r="S47" s="116"/>
      <c r="T47" s="98" t="s">
        <v>67</v>
      </c>
      <c r="U47" s="117"/>
    </row>
    <row r="48" spans="1:21" ht="15.75" thickBot="1" x14ac:dyDescent="0.3">
      <c r="A48" s="322"/>
      <c r="B48" s="353"/>
      <c r="C48" s="354"/>
      <c r="D48" s="1070"/>
      <c r="E48" s="1072"/>
      <c r="F48" s="1048"/>
      <c r="G48" s="838"/>
      <c r="H48" s="1039"/>
      <c r="I48" s="99" t="s">
        <v>38</v>
      </c>
      <c r="J48" s="306"/>
      <c r="K48" s="307"/>
      <c r="L48" s="306">
        <f t="shared" ref="L48:Q48" si="5">SUM(L45:L45)</f>
        <v>15000</v>
      </c>
      <c r="M48" s="323">
        <f t="shared" si="5"/>
        <v>15000</v>
      </c>
      <c r="N48" s="323">
        <f t="shared" si="5"/>
        <v>0</v>
      </c>
      <c r="O48" s="305">
        <f t="shared" si="5"/>
        <v>0</v>
      </c>
      <c r="P48" s="310">
        <f t="shared" si="5"/>
        <v>10000</v>
      </c>
      <c r="Q48" s="309">
        <f t="shared" si="5"/>
        <v>5000</v>
      </c>
      <c r="R48" s="1073" t="s">
        <v>163</v>
      </c>
      <c r="S48" s="116"/>
      <c r="T48" s="116"/>
      <c r="U48" s="118" t="s">
        <v>70</v>
      </c>
    </row>
    <row r="49" spans="1:21" ht="15.75" thickBot="1" x14ac:dyDescent="0.3">
      <c r="A49" s="2" t="s">
        <v>20</v>
      </c>
      <c r="B49" s="82" t="s">
        <v>39</v>
      </c>
      <c r="C49" s="935" t="s">
        <v>53</v>
      </c>
      <c r="D49" s="936"/>
      <c r="E49" s="936"/>
      <c r="F49" s="936"/>
      <c r="G49" s="936"/>
      <c r="H49" s="936"/>
      <c r="I49" s="937"/>
      <c r="J49" s="387">
        <f>J48+J44+J42</f>
        <v>903991</v>
      </c>
      <c r="K49" s="387">
        <f t="shared" ref="K49:Q49" si="6">K48+K44+K42</f>
        <v>908041</v>
      </c>
      <c r="L49" s="387">
        <f t="shared" si="6"/>
        <v>928100</v>
      </c>
      <c r="M49" s="387">
        <f t="shared" si="6"/>
        <v>908200</v>
      </c>
      <c r="N49" s="387">
        <f t="shared" si="6"/>
        <v>567500</v>
      </c>
      <c r="O49" s="387">
        <f t="shared" si="6"/>
        <v>19900</v>
      </c>
      <c r="P49" s="387">
        <f t="shared" si="6"/>
        <v>928100</v>
      </c>
      <c r="Q49" s="387">
        <f t="shared" si="6"/>
        <v>923100</v>
      </c>
      <c r="R49" s="1074"/>
      <c r="S49" s="433"/>
      <c r="T49" s="433"/>
      <c r="U49" s="434"/>
    </row>
    <row r="50" spans="1:21" ht="15.75" thickBot="1" x14ac:dyDescent="0.3">
      <c r="A50" s="2" t="s">
        <v>20</v>
      </c>
      <c r="B50" s="87" t="s">
        <v>43</v>
      </c>
      <c r="C50" s="882" t="s">
        <v>71</v>
      </c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4"/>
    </row>
    <row r="51" spans="1:21" ht="24.75" customHeight="1" x14ac:dyDescent="0.25">
      <c r="A51" s="869" t="s">
        <v>20</v>
      </c>
      <c r="B51" s="871" t="s">
        <v>43</v>
      </c>
      <c r="C51" s="887" t="s">
        <v>20</v>
      </c>
      <c r="D51" s="890" t="s">
        <v>129</v>
      </c>
      <c r="E51" s="1076" t="s">
        <v>72</v>
      </c>
      <c r="F51" s="1079" t="s">
        <v>25</v>
      </c>
      <c r="G51" s="877" t="s">
        <v>70</v>
      </c>
      <c r="H51" s="1037" t="s">
        <v>164</v>
      </c>
      <c r="I51" s="119" t="s">
        <v>41</v>
      </c>
      <c r="J51" s="435"/>
      <c r="K51" s="436">
        <v>144810</v>
      </c>
      <c r="L51" s="437">
        <v>125000</v>
      </c>
      <c r="M51" s="438"/>
      <c r="N51" s="438"/>
      <c r="O51" s="439">
        <v>125000</v>
      </c>
      <c r="P51" s="440">
        <v>125000</v>
      </c>
      <c r="Q51" s="441">
        <v>125000</v>
      </c>
      <c r="R51" s="866" t="s">
        <v>73</v>
      </c>
      <c r="S51" s="123">
        <v>30</v>
      </c>
      <c r="T51" s="124">
        <v>60</v>
      </c>
      <c r="U51" s="125">
        <v>100</v>
      </c>
    </row>
    <row r="52" spans="1:21" ht="24.75" customHeight="1" x14ac:dyDescent="0.25">
      <c r="A52" s="885"/>
      <c r="B52" s="886"/>
      <c r="C52" s="888"/>
      <c r="D52" s="891"/>
      <c r="E52" s="1077"/>
      <c r="F52" s="1080"/>
      <c r="G52" s="893"/>
      <c r="H52" s="1038"/>
      <c r="I52" s="126" t="s">
        <v>74</v>
      </c>
      <c r="J52" s="442"/>
      <c r="K52" s="443"/>
      <c r="L52" s="444">
        <v>11800</v>
      </c>
      <c r="M52" s="445"/>
      <c r="N52" s="445"/>
      <c r="O52" s="446">
        <v>11800</v>
      </c>
      <c r="P52" s="447"/>
      <c r="Q52" s="448"/>
      <c r="R52" s="867"/>
      <c r="S52" s="130"/>
      <c r="T52" s="131"/>
      <c r="U52" s="132"/>
    </row>
    <row r="53" spans="1:21" ht="15.75" thickBot="1" x14ac:dyDescent="0.3">
      <c r="A53" s="870"/>
      <c r="B53" s="872"/>
      <c r="C53" s="889"/>
      <c r="D53" s="892"/>
      <c r="E53" s="1078"/>
      <c r="F53" s="1081"/>
      <c r="G53" s="878"/>
      <c r="H53" s="1039"/>
      <c r="I53" s="255" t="s">
        <v>38</v>
      </c>
      <c r="J53" s="449">
        <f>SUM(J51:J52)</f>
        <v>0</v>
      </c>
      <c r="K53" s="450">
        <f>SUM(K51:K52)</f>
        <v>144810</v>
      </c>
      <c r="L53" s="451">
        <f>M53+O53</f>
        <v>136800</v>
      </c>
      <c r="M53" s="452"/>
      <c r="N53" s="452"/>
      <c r="O53" s="450">
        <f>SUM(O51:O52)</f>
        <v>136800</v>
      </c>
      <c r="P53" s="453">
        <f>SUM(P51:P52)</f>
        <v>125000</v>
      </c>
      <c r="Q53" s="454">
        <f>SUM(Q51:Q52)</f>
        <v>125000</v>
      </c>
      <c r="R53" s="868"/>
      <c r="S53" s="136"/>
      <c r="T53" s="137"/>
      <c r="U53" s="138"/>
    </row>
    <row r="54" spans="1:21" ht="29.25" customHeight="1" x14ac:dyDescent="0.25">
      <c r="A54" s="869" t="s">
        <v>20</v>
      </c>
      <c r="B54" s="871" t="s">
        <v>43</v>
      </c>
      <c r="C54" s="873" t="s">
        <v>39</v>
      </c>
      <c r="D54" s="912" t="s">
        <v>165</v>
      </c>
      <c r="E54" s="1083" t="s">
        <v>72</v>
      </c>
      <c r="F54" s="1079" t="s">
        <v>25</v>
      </c>
      <c r="G54" s="877" t="s">
        <v>70</v>
      </c>
      <c r="H54" s="1037" t="s">
        <v>164</v>
      </c>
      <c r="I54" s="139" t="s">
        <v>41</v>
      </c>
      <c r="J54" s="314"/>
      <c r="K54" s="315">
        <v>144810</v>
      </c>
      <c r="L54" s="378"/>
      <c r="M54" s="395"/>
      <c r="N54" s="455"/>
      <c r="O54" s="456"/>
      <c r="P54" s="457">
        <v>500000</v>
      </c>
      <c r="Q54" s="398">
        <v>1000000</v>
      </c>
      <c r="R54" s="141" t="s">
        <v>75</v>
      </c>
      <c r="S54" s="67"/>
      <c r="T54" s="67">
        <v>15</v>
      </c>
      <c r="U54" s="68">
        <v>30</v>
      </c>
    </row>
    <row r="55" spans="1:21" ht="20.25" customHeight="1" x14ac:dyDescent="0.25">
      <c r="A55" s="885"/>
      <c r="B55" s="886"/>
      <c r="C55" s="911"/>
      <c r="D55" s="913"/>
      <c r="E55" s="1085"/>
      <c r="F55" s="988"/>
      <c r="G55" s="915"/>
      <c r="H55" s="1038"/>
      <c r="I55" s="168"/>
      <c r="J55" s="329"/>
      <c r="K55" s="330"/>
      <c r="L55" s="367"/>
      <c r="M55" s="458"/>
      <c r="N55" s="459"/>
      <c r="O55" s="460"/>
      <c r="P55" s="461"/>
      <c r="Q55" s="462"/>
      <c r="R55" s="1082" t="s">
        <v>76</v>
      </c>
      <c r="S55" s="72"/>
      <c r="T55" s="72">
        <v>2</v>
      </c>
      <c r="U55" s="73"/>
    </row>
    <row r="56" spans="1:21" ht="15.75" thickBot="1" x14ac:dyDescent="0.3">
      <c r="A56" s="870"/>
      <c r="B56" s="872"/>
      <c r="C56" s="874"/>
      <c r="D56" s="914"/>
      <c r="E56" s="1084"/>
      <c r="F56" s="1081"/>
      <c r="G56" s="878"/>
      <c r="H56" s="1039"/>
      <c r="I56" s="256" t="s">
        <v>38</v>
      </c>
      <c r="J56" s="304">
        <f>SUM(J54:J55)</f>
        <v>0</v>
      </c>
      <c r="K56" s="305">
        <f>SUM(K54:K55)</f>
        <v>144810</v>
      </c>
      <c r="L56" s="306"/>
      <c r="M56" s="307"/>
      <c r="N56" s="323"/>
      <c r="O56" s="463"/>
      <c r="P56" s="304">
        <f>SUM(P54:P55)</f>
        <v>500000</v>
      </c>
      <c r="Q56" s="304">
        <f>SUM(Q54:Q55)</f>
        <v>1000000</v>
      </c>
      <c r="R56" s="910"/>
      <c r="S56" s="61"/>
      <c r="T56" s="61"/>
      <c r="U56" s="62"/>
    </row>
    <row r="57" spans="1:21" ht="27.75" customHeight="1" x14ac:dyDescent="0.25">
      <c r="A57" s="869" t="s">
        <v>20</v>
      </c>
      <c r="B57" s="871" t="s">
        <v>43</v>
      </c>
      <c r="C57" s="873" t="s">
        <v>43</v>
      </c>
      <c r="D57" s="912" t="s">
        <v>77</v>
      </c>
      <c r="E57" s="1083" t="s">
        <v>72</v>
      </c>
      <c r="F57" s="1079" t="s">
        <v>25</v>
      </c>
      <c r="G57" s="877" t="s">
        <v>70</v>
      </c>
      <c r="H57" s="1037" t="s">
        <v>164</v>
      </c>
      <c r="I57" s="142" t="s">
        <v>74</v>
      </c>
      <c r="J57" s="314">
        <v>1368860</v>
      </c>
      <c r="K57" s="315">
        <v>1368860</v>
      </c>
      <c r="L57" s="378">
        <v>3107700</v>
      </c>
      <c r="M57" s="395"/>
      <c r="N57" s="455"/>
      <c r="O57" s="456">
        <f>L57</f>
        <v>3107700</v>
      </c>
      <c r="P57" s="317">
        <v>2345400</v>
      </c>
      <c r="Q57" s="398"/>
      <c r="R57" s="909" t="s">
        <v>78</v>
      </c>
      <c r="S57" s="143">
        <v>60</v>
      </c>
      <c r="T57" s="143">
        <v>100</v>
      </c>
      <c r="U57" s="68"/>
    </row>
    <row r="58" spans="1:21" ht="15.75" thickBot="1" x14ac:dyDescent="0.3">
      <c r="A58" s="870"/>
      <c r="B58" s="872"/>
      <c r="C58" s="874"/>
      <c r="D58" s="914"/>
      <c r="E58" s="1084"/>
      <c r="F58" s="1081"/>
      <c r="G58" s="878"/>
      <c r="H58" s="1039"/>
      <c r="I58" s="256" t="s">
        <v>38</v>
      </c>
      <c r="J58" s="304">
        <f>SUM(J57)</f>
        <v>1368860</v>
      </c>
      <c r="K58" s="305">
        <f>SUM(K57)</f>
        <v>1368860</v>
      </c>
      <c r="L58" s="306">
        <f>SUM(L57:L57)</f>
        <v>3107700</v>
      </c>
      <c r="M58" s="307"/>
      <c r="N58" s="323"/>
      <c r="O58" s="463">
        <f>SUM(O57:O57)</f>
        <v>3107700</v>
      </c>
      <c r="P58" s="304">
        <f>SUM(P57:P57)</f>
        <v>2345400</v>
      </c>
      <c r="Q58" s="304"/>
      <c r="R58" s="910"/>
      <c r="S58" s="144"/>
      <c r="T58" s="144"/>
      <c r="U58" s="62"/>
    </row>
    <row r="59" spans="1:21" ht="30" customHeight="1" x14ac:dyDescent="0.25">
      <c r="A59" s="869" t="s">
        <v>20</v>
      </c>
      <c r="B59" s="871" t="s">
        <v>43</v>
      </c>
      <c r="C59" s="873" t="s">
        <v>48</v>
      </c>
      <c r="D59" s="912" t="s">
        <v>79</v>
      </c>
      <c r="E59" s="1083" t="s">
        <v>72</v>
      </c>
      <c r="F59" s="1079" t="s">
        <v>25</v>
      </c>
      <c r="G59" s="877" t="s">
        <v>70</v>
      </c>
      <c r="H59" s="1037" t="s">
        <v>164</v>
      </c>
      <c r="I59" s="139" t="s">
        <v>27</v>
      </c>
      <c r="J59" s="314"/>
      <c r="K59" s="315"/>
      <c r="L59" s="378">
        <v>3500</v>
      </c>
      <c r="M59" s="379"/>
      <c r="N59" s="455"/>
      <c r="O59" s="456">
        <v>3500</v>
      </c>
      <c r="P59" s="317"/>
      <c r="Q59" s="279">
        <v>50000</v>
      </c>
      <c r="R59" s="262" t="s">
        <v>80</v>
      </c>
      <c r="S59" s="145">
        <v>1</v>
      </c>
      <c r="T59" s="145"/>
      <c r="U59" s="146"/>
    </row>
    <row r="60" spans="1:21" ht="30.75" customHeight="1" x14ac:dyDescent="0.25">
      <c r="A60" s="885"/>
      <c r="B60" s="886"/>
      <c r="C60" s="911"/>
      <c r="D60" s="913"/>
      <c r="E60" s="1085"/>
      <c r="F60" s="988"/>
      <c r="G60" s="915"/>
      <c r="H60" s="1038"/>
      <c r="I60" s="147" t="s">
        <v>74</v>
      </c>
      <c r="J60" s="302"/>
      <c r="K60" s="303"/>
      <c r="L60" s="297"/>
      <c r="M60" s="298"/>
      <c r="N60" s="464"/>
      <c r="O60" s="299"/>
      <c r="P60" s="465">
        <v>104500</v>
      </c>
      <c r="Q60" s="287">
        <v>1113000</v>
      </c>
      <c r="R60" s="263" t="s">
        <v>81</v>
      </c>
      <c r="S60" s="149"/>
      <c r="T60" s="149">
        <v>1</v>
      </c>
      <c r="U60" s="150"/>
    </row>
    <row r="61" spans="1:21" ht="14.25" customHeight="1" x14ac:dyDescent="0.25">
      <c r="A61" s="885"/>
      <c r="B61" s="886"/>
      <c r="C61" s="911"/>
      <c r="D61" s="913"/>
      <c r="E61" s="1085"/>
      <c r="F61" s="988"/>
      <c r="G61" s="915"/>
      <c r="H61" s="1038"/>
      <c r="I61" s="466" t="s">
        <v>156</v>
      </c>
      <c r="J61" s="302">
        <v>98471</v>
      </c>
      <c r="K61" s="303">
        <v>98471</v>
      </c>
      <c r="L61" s="297"/>
      <c r="M61" s="298"/>
      <c r="N61" s="464"/>
      <c r="O61" s="299"/>
      <c r="P61" s="289"/>
      <c r="Q61" s="300"/>
      <c r="R61" s="1082" t="s">
        <v>82</v>
      </c>
      <c r="S61" s="151"/>
      <c r="T61" s="151"/>
      <c r="U61" s="152">
        <v>50</v>
      </c>
    </row>
    <row r="62" spans="1:21" ht="15.75" thickBot="1" x14ac:dyDescent="0.3">
      <c r="A62" s="870"/>
      <c r="B62" s="872"/>
      <c r="C62" s="874"/>
      <c r="D62" s="914"/>
      <c r="E62" s="1084"/>
      <c r="F62" s="1081"/>
      <c r="G62" s="878"/>
      <c r="H62" s="1039"/>
      <c r="I62" s="256" t="s">
        <v>38</v>
      </c>
      <c r="J62" s="304">
        <f>SUM(J59:J61)</f>
        <v>98471</v>
      </c>
      <c r="K62" s="305">
        <f>SUM(K59:K61)</f>
        <v>98471</v>
      </c>
      <c r="L62" s="306">
        <f t="shared" ref="L62" si="7">M62+O62</f>
        <v>3500</v>
      </c>
      <c r="M62" s="323"/>
      <c r="N62" s="323"/>
      <c r="O62" s="463">
        <f>O59</f>
        <v>3500</v>
      </c>
      <c r="P62" s="304">
        <f>SUM(P59:P60)</f>
        <v>104500</v>
      </c>
      <c r="Q62" s="310">
        <f>SUM(Q59:Q60)</f>
        <v>1163000</v>
      </c>
      <c r="R62" s="910"/>
      <c r="S62" s="259"/>
      <c r="T62" s="259"/>
      <c r="U62" s="161"/>
    </row>
    <row r="63" spans="1:21" ht="31.5" customHeight="1" x14ac:dyDescent="0.25">
      <c r="A63" s="869" t="s">
        <v>20</v>
      </c>
      <c r="B63" s="871" t="s">
        <v>43</v>
      </c>
      <c r="C63" s="873" t="s">
        <v>83</v>
      </c>
      <c r="D63" s="875" t="s">
        <v>84</v>
      </c>
      <c r="E63" s="1083" t="s">
        <v>72</v>
      </c>
      <c r="F63" s="1079" t="s">
        <v>25</v>
      </c>
      <c r="G63" s="877" t="s">
        <v>70</v>
      </c>
      <c r="H63" s="1037" t="s">
        <v>164</v>
      </c>
      <c r="I63" s="153" t="s">
        <v>41</v>
      </c>
      <c r="J63" s="377"/>
      <c r="K63" s="277"/>
      <c r="L63" s="316">
        <v>123000</v>
      </c>
      <c r="M63" s="467"/>
      <c r="N63" s="468"/>
      <c r="O63" s="278">
        <f>L63</f>
        <v>123000</v>
      </c>
      <c r="P63" s="317">
        <v>59500</v>
      </c>
      <c r="Q63" s="279"/>
      <c r="R63" s="154" t="s">
        <v>85</v>
      </c>
      <c r="S63" s="42">
        <v>1</v>
      </c>
      <c r="T63" s="42"/>
      <c r="U63" s="146"/>
    </row>
    <row r="64" spans="1:21" ht="31.5" customHeight="1" x14ac:dyDescent="0.25">
      <c r="A64" s="885"/>
      <c r="B64" s="886"/>
      <c r="C64" s="911"/>
      <c r="D64" s="921"/>
      <c r="E64" s="1085"/>
      <c r="F64" s="988"/>
      <c r="G64" s="915"/>
      <c r="H64" s="1038"/>
      <c r="I64" s="155" t="s">
        <v>74</v>
      </c>
      <c r="J64" s="321">
        <v>165489</v>
      </c>
      <c r="K64" s="285">
        <v>165489</v>
      </c>
      <c r="L64" s="412"/>
      <c r="M64" s="430"/>
      <c r="N64" s="469"/>
      <c r="O64" s="286"/>
      <c r="P64" s="470"/>
      <c r="Q64" s="461"/>
      <c r="R64" s="157" t="s">
        <v>86</v>
      </c>
      <c r="S64" s="54"/>
      <c r="T64" s="54">
        <v>100</v>
      </c>
      <c r="U64" s="152"/>
    </row>
    <row r="65" spans="1:21" ht="15.75" thickBot="1" x14ac:dyDescent="0.3">
      <c r="A65" s="870"/>
      <c r="B65" s="872"/>
      <c r="C65" s="874"/>
      <c r="D65" s="876"/>
      <c r="E65" s="1084"/>
      <c r="F65" s="1081"/>
      <c r="G65" s="878"/>
      <c r="H65" s="1039"/>
      <c r="I65" s="256" t="s">
        <v>38</v>
      </c>
      <c r="J65" s="449">
        <f>SUM(J63:J64)</f>
        <v>165489</v>
      </c>
      <c r="K65" s="450">
        <f>SUM(K63:K64)</f>
        <v>165489</v>
      </c>
      <c r="L65" s="451">
        <f t="shared" ref="L65:O65" si="8">L63</f>
        <v>123000</v>
      </c>
      <c r="M65" s="471"/>
      <c r="N65" s="472"/>
      <c r="O65" s="452">
        <f t="shared" si="8"/>
        <v>123000</v>
      </c>
      <c r="P65" s="473">
        <f>P63</f>
        <v>59500</v>
      </c>
      <c r="Q65" s="474"/>
      <c r="R65" s="160"/>
      <c r="S65" s="48"/>
      <c r="T65" s="48"/>
      <c r="U65" s="161"/>
    </row>
    <row r="66" spans="1:21" ht="27.75" customHeight="1" x14ac:dyDescent="0.25">
      <c r="A66" s="869" t="s">
        <v>20</v>
      </c>
      <c r="B66" s="871" t="s">
        <v>43</v>
      </c>
      <c r="C66" s="873" t="s">
        <v>87</v>
      </c>
      <c r="D66" s="912" t="s">
        <v>130</v>
      </c>
      <c r="E66" s="1083" t="s">
        <v>72</v>
      </c>
      <c r="F66" s="1079" t="s">
        <v>25</v>
      </c>
      <c r="G66" s="877" t="s">
        <v>70</v>
      </c>
      <c r="H66" s="1037" t="s">
        <v>164</v>
      </c>
      <c r="I66" s="139" t="s">
        <v>27</v>
      </c>
      <c r="J66" s="314"/>
      <c r="K66" s="315"/>
      <c r="L66" s="378">
        <v>40000</v>
      </c>
      <c r="M66" s="395"/>
      <c r="N66" s="455"/>
      <c r="O66" s="456">
        <f>L66</f>
        <v>40000</v>
      </c>
      <c r="P66" s="457"/>
      <c r="Q66" s="398"/>
      <c r="R66" s="909" t="s">
        <v>88</v>
      </c>
      <c r="S66" s="67">
        <v>1</v>
      </c>
      <c r="T66" s="67"/>
      <c r="U66" s="68"/>
    </row>
    <row r="67" spans="1:21" ht="27.75" customHeight="1" x14ac:dyDescent="0.25">
      <c r="A67" s="885"/>
      <c r="B67" s="886"/>
      <c r="C67" s="911"/>
      <c r="D67" s="913"/>
      <c r="E67" s="1085"/>
      <c r="F67" s="988"/>
      <c r="G67" s="915"/>
      <c r="H67" s="1038"/>
      <c r="I67" s="175" t="s">
        <v>74</v>
      </c>
      <c r="J67" s="319">
        <v>75301</v>
      </c>
      <c r="K67" s="320">
        <v>75301</v>
      </c>
      <c r="L67" s="291"/>
      <c r="M67" s="419"/>
      <c r="N67" s="475"/>
      <c r="O67" s="294"/>
      <c r="P67" s="295"/>
      <c r="Q67" s="476"/>
      <c r="R67" s="1040"/>
      <c r="S67" s="33"/>
      <c r="T67" s="33"/>
      <c r="U67" s="34"/>
    </row>
    <row r="68" spans="1:21" ht="15.75" thickBot="1" x14ac:dyDescent="0.3">
      <c r="A68" s="870"/>
      <c r="B68" s="872"/>
      <c r="C68" s="874"/>
      <c r="D68" s="914"/>
      <c r="E68" s="1084"/>
      <c r="F68" s="1081"/>
      <c r="G68" s="878"/>
      <c r="H68" s="1039"/>
      <c r="I68" s="256" t="s">
        <v>38</v>
      </c>
      <c r="J68" s="304">
        <f>SUM(J66:J67)</f>
        <v>75301</v>
      </c>
      <c r="K68" s="305">
        <f>SUM(K66:K67)</f>
        <v>75301</v>
      </c>
      <c r="L68" s="306">
        <f>SUM(L66:L67)</f>
        <v>40000</v>
      </c>
      <c r="M68" s="307"/>
      <c r="N68" s="323"/>
      <c r="O68" s="463">
        <f>SUM(O66:O67)</f>
        <v>40000</v>
      </c>
      <c r="P68" s="304"/>
      <c r="Q68" s="304"/>
      <c r="R68" s="162"/>
      <c r="S68" s="61"/>
      <c r="T68" s="163"/>
      <c r="U68" s="164"/>
    </row>
    <row r="69" spans="1:21" x14ac:dyDescent="0.25">
      <c r="A69" s="869" t="s">
        <v>20</v>
      </c>
      <c r="B69" s="871" t="s">
        <v>43</v>
      </c>
      <c r="C69" s="873" t="s">
        <v>25</v>
      </c>
      <c r="D69" s="912" t="s">
        <v>89</v>
      </c>
      <c r="E69" s="1083" t="s">
        <v>72</v>
      </c>
      <c r="F69" s="1079" t="s">
        <v>25</v>
      </c>
      <c r="G69" s="877" t="s">
        <v>70</v>
      </c>
      <c r="H69" s="1037" t="s">
        <v>164</v>
      </c>
      <c r="I69" s="142" t="s">
        <v>74</v>
      </c>
      <c r="J69" s="314"/>
      <c r="K69" s="315"/>
      <c r="L69" s="533">
        <f>434000-130000</f>
        <v>304000</v>
      </c>
      <c r="M69" s="379"/>
      <c r="N69" s="455"/>
      <c r="O69" s="535">
        <f>434000-130000</f>
        <v>304000</v>
      </c>
      <c r="P69" s="317"/>
      <c r="Q69" s="398"/>
      <c r="R69" s="924" t="s">
        <v>90</v>
      </c>
      <c r="S69" s="67">
        <v>1</v>
      </c>
      <c r="T69" s="67"/>
      <c r="U69" s="68"/>
    </row>
    <row r="70" spans="1:21" x14ac:dyDescent="0.25">
      <c r="A70" s="885"/>
      <c r="B70" s="886"/>
      <c r="C70" s="911"/>
      <c r="D70" s="913"/>
      <c r="E70" s="1085"/>
      <c r="F70" s="988"/>
      <c r="G70" s="915"/>
      <c r="H70" s="1038"/>
      <c r="I70" s="165" t="s">
        <v>27</v>
      </c>
      <c r="J70" s="319"/>
      <c r="K70" s="320"/>
      <c r="L70" s="534">
        <v>130000</v>
      </c>
      <c r="M70" s="292"/>
      <c r="N70" s="475"/>
      <c r="O70" s="536">
        <v>130000</v>
      </c>
      <c r="P70" s="465"/>
      <c r="Q70" s="476"/>
      <c r="R70" s="925"/>
      <c r="S70" s="33"/>
      <c r="T70" s="33"/>
      <c r="U70" s="34"/>
    </row>
    <row r="71" spans="1:21" ht="15.75" thickBot="1" x14ac:dyDescent="0.3">
      <c r="A71" s="870"/>
      <c r="B71" s="872"/>
      <c r="C71" s="874"/>
      <c r="D71" s="914"/>
      <c r="E71" s="1084"/>
      <c r="F71" s="1081"/>
      <c r="G71" s="878"/>
      <c r="H71" s="1039"/>
      <c r="I71" s="256" t="s">
        <v>38</v>
      </c>
      <c r="J71" s="304"/>
      <c r="K71" s="305"/>
      <c r="L71" s="304">
        <f>SUM(L69:L70)</f>
        <v>434000</v>
      </c>
      <c r="M71" s="323"/>
      <c r="N71" s="323"/>
      <c r="O71" s="309">
        <f>SUM(O69:O70)</f>
        <v>434000</v>
      </c>
      <c r="P71" s="304"/>
      <c r="Q71" s="304"/>
      <c r="R71" s="926"/>
      <c r="S71" s="61"/>
      <c r="T71" s="61"/>
      <c r="U71" s="62"/>
    </row>
    <row r="72" spans="1:21" ht="20.25" customHeight="1" x14ac:dyDescent="0.25">
      <c r="A72" s="869" t="s">
        <v>20</v>
      </c>
      <c r="B72" s="871" t="s">
        <v>43</v>
      </c>
      <c r="C72" s="873" t="s">
        <v>91</v>
      </c>
      <c r="D72" s="912" t="s">
        <v>92</v>
      </c>
      <c r="E72" s="1083" t="s">
        <v>72</v>
      </c>
      <c r="F72" s="1079" t="s">
        <v>25</v>
      </c>
      <c r="G72" s="877" t="s">
        <v>67</v>
      </c>
      <c r="H72" s="1037" t="s">
        <v>166</v>
      </c>
      <c r="I72" s="167" t="s">
        <v>27</v>
      </c>
      <c r="J72" s="314"/>
      <c r="K72" s="315"/>
      <c r="L72" s="393">
        <v>78200</v>
      </c>
      <c r="M72" s="394"/>
      <c r="N72" s="477"/>
      <c r="O72" s="478">
        <f>L72</f>
        <v>78200</v>
      </c>
      <c r="P72" s="314"/>
      <c r="Q72" s="398"/>
      <c r="R72" s="924" t="s">
        <v>93</v>
      </c>
      <c r="S72" s="67">
        <v>1</v>
      </c>
      <c r="T72" s="67"/>
      <c r="U72" s="68"/>
    </row>
    <row r="73" spans="1:21" ht="20.25" customHeight="1" x14ac:dyDescent="0.25">
      <c r="A73" s="885"/>
      <c r="B73" s="886"/>
      <c r="C73" s="911"/>
      <c r="D73" s="913"/>
      <c r="E73" s="1085"/>
      <c r="F73" s="988"/>
      <c r="G73" s="915"/>
      <c r="H73" s="1038"/>
      <c r="I73" s="479"/>
      <c r="J73" s="329"/>
      <c r="K73" s="330"/>
      <c r="L73" s="367"/>
      <c r="M73" s="458"/>
      <c r="N73" s="459"/>
      <c r="O73" s="460"/>
      <c r="P73" s="461"/>
      <c r="Q73" s="462"/>
      <c r="R73" s="925"/>
      <c r="S73" s="33"/>
      <c r="T73" s="33"/>
      <c r="U73" s="34"/>
    </row>
    <row r="74" spans="1:21" ht="15.75" thickBot="1" x14ac:dyDescent="0.3">
      <c r="A74" s="870"/>
      <c r="B74" s="872"/>
      <c r="C74" s="874"/>
      <c r="D74" s="914"/>
      <c r="E74" s="1084"/>
      <c r="F74" s="1081"/>
      <c r="G74" s="878"/>
      <c r="H74" s="1039"/>
      <c r="I74" s="480" t="s">
        <v>38</v>
      </c>
      <c r="J74" s="304"/>
      <c r="K74" s="305"/>
      <c r="L74" s="306">
        <f>SUM(L72:L73)</f>
        <v>78200</v>
      </c>
      <c r="M74" s="307"/>
      <c r="N74" s="323"/>
      <c r="O74" s="463">
        <f>SUM(O72:O73)</f>
        <v>78200</v>
      </c>
      <c r="P74" s="304"/>
      <c r="Q74" s="304"/>
      <c r="R74" s="926"/>
      <c r="S74" s="61"/>
      <c r="T74" s="61"/>
      <c r="U74" s="62"/>
    </row>
    <row r="75" spans="1:21" ht="28.5" customHeight="1" x14ac:dyDescent="0.25">
      <c r="A75" s="869" t="s">
        <v>20</v>
      </c>
      <c r="B75" s="871" t="s">
        <v>43</v>
      </c>
      <c r="C75" s="873" t="s">
        <v>94</v>
      </c>
      <c r="D75" s="912" t="s">
        <v>95</v>
      </c>
      <c r="E75" s="1083" t="s">
        <v>72</v>
      </c>
      <c r="F75" s="1079" t="s">
        <v>25</v>
      </c>
      <c r="G75" s="877" t="s">
        <v>70</v>
      </c>
      <c r="H75" s="1037" t="s">
        <v>167</v>
      </c>
      <c r="I75" s="168" t="s">
        <v>27</v>
      </c>
      <c r="J75" s="314"/>
      <c r="K75" s="315"/>
      <c r="L75" s="378"/>
      <c r="M75" s="395"/>
      <c r="N75" s="455"/>
      <c r="O75" s="456"/>
      <c r="P75" s="457">
        <v>100000</v>
      </c>
      <c r="Q75" s="377">
        <v>100000</v>
      </c>
      <c r="R75" s="262" t="s">
        <v>88</v>
      </c>
      <c r="S75" s="170">
        <v>1</v>
      </c>
      <c r="T75" s="170"/>
      <c r="U75" s="171"/>
    </row>
    <row r="76" spans="1:21" ht="28.5" customHeight="1" x14ac:dyDescent="0.25">
      <c r="A76" s="885"/>
      <c r="B76" s="886"/>
      <c r="C76" s="911"/>
      <c r="D76" s="913"/>
      <c r="E76" s="1085"/>
      <c r="F76" s="988"/>
      <c r="G76" s="915"/>
      <c r="H76" s="1038"/>
      <c r="I76" s="168" t="s">
        <v>74</v>
      </c>
      <c r="J76" s="319"/>
      <c r="K76" s="320"/>
      <c r="L76" s="291">
        <v>20000</v>
      </c>
      <c r="M76" s="419"/>
      <c r="N76" s="475"/>
      <c r="O76" s="294">
        <f>L76</f>
        <v>20000</v>
      </c>
      <c r="P76" s="295"/>
      <c r="Q76" s="462"/>
      <c r="R76" s="253" t="s">
        <v>85</v>
      </c>
      <c r="S76" s="72"/>
      <c r="T76" s="72"/>
      <c r="U76" s="73">
        <v>1</v>
      </c>
    </row>
    <row r="77" spans="1:21" ht="15.75" thickBot="1" x14ac:dyDescent="0.3">
      <c r="A77" s="870"/>
      <c r="B77" s="872"/>
      <c r="C77" s="874"/>
      <c r="D77" s="914"/>
      <c r="E77" s="1084"/>
      <c r="F77" s="1081"/>
      <c r="G77" s="878"/>
      <c r="H77" s="1039"/>
      <c r="I77" s="256" t="s">
        <v>38</v>
      </c>
      <c r="J77" s="304"/>
      <c r="K77" s="305"/>
      <c r="L77" s="306">
        <f>SUM(L75:L76)</f>
        <v>20000</v>
      </c>
      <c r="M77" s="307"/>
      <c r="N77" s="323"/>
      <c r="O77" s="463">
        <f>SUM(O75:O76)</f>
        <v>20000</v>
      </c>
      <c r="P77" s="304">
        <f>SUM(P75:P76)</f>
        <v>100000</v>
      </c>
      <c r="Q77" s="304">
        <f>SUM(Q75:Q76)</f>
        <v>100000</v>
      </c>
      <c r="R77" s="162"/>
      <c r="S77" s="61"/>
      <c r="T77" s="163"/>
      <c r="U77" s="164"/>
    </row>
    <row r="78" spans="1:21" ht="20.25" customHeight="1" x14ac:dyDescent="0.25">
      <c r="A78" s="869" t="s">
        <v>20</v>
      </c>
      <c r="B78" s="871" t="s">
        <v>43</v>
      </c>
      <c r="C78" s="873" t="s">
        <v>96</v>
      </c>
      <c r="D78" s="875" t="s">
        <v>131</v>
      </c>
      <c r="E78" s="1087" t="s">
        <v>72</v>
      </c>
      <c r="F78" s="1079" t="s">
        <v>25</v>
      </c>
      <c r="G78" s="877" t="s">
        <v>70</v>
      </c>
      <c r="H78" s="1037" t="s">
        <v>168</v>
      </c>
      <c r="I78" s="167" t="s">
        <v>27</v>
      </c>
      <c r="J78" s="314"/>
      <c r="K78" s="315"/>
      <c r="L78" s="393">
        <v>24000</v>
      </c>
      <c r="M78" s="394"/>
      <c r="N78" s="477"/>
      <c r="O78" s="478">
        <v>24000</v>
      </c>
      <c r="P78" s="314"/>
      <c r="Q78" s="481"/>
      <c r="R78" s="929" t="s">
        <v>169</v>
      </c>
      <c r="S78" s="67">
        <v>100</v>
      </c>
      <c r="T78" s="67"/>
      <c r="U78" s="68"/>
    </row>
    <row r="79" spans="1:21" ht="20.25" customHeight="1" x14ac:dyDescent="0.25">
      <c r="A79" s="885"/>
      <c r="B79" s="886"/>
      <c r="C79" s="911"/>
      <c r="D79" s="921"/>
      <c r="E79" s="1088"/>
      <c r="F79" s="988"/>
      <c r="G79" s="915"/>
      <c r="H79" s="1038"/>
      <c r="I79" s="175" t="s">
        <v>74</v>
      </c>
      <c r="J79" s="319">
        <v>23981</v>
      </c>
      <c r="K79" s="320">
        <v>23981</v>
      </c>
      <c r="L79" s="291"/>
      <c r="M79" s="419"/>
      <c r="N79" s="475"/>
      <c r="O79" s="294"/>
      <c r="P79" s="295"/>
      <c r="Q79" s="476"/>
      <c r="R79" s="930"/>
      <c r="S79" s="33"/>
      <c r="T79" s="33"/>
      <c r="U79" s="34"/>
    </row>
    <row r="80" spans="1:21" ht="15.75" thickBot="1" x14ac:dyDescent="0.3">
      <c r="A80" s="870"/>
      <c r="B80" s="872"/>
      <c r="C80" s="874"/>
      <c r="D80" s="876"/>
      <c r="E80" s="1089"/>
      <c r="F80" s="1081"/>
      <c r="G80" s="878"/>
      <c r="H80" s="1039"/>
      <c r="I80" s="256" t="s">
        <v>38</v>
      </c>
      <c r="J80" s="304">
        <f>SUM(J78:J79)</f>
        <v>23981</v>
      </c>
      <c r="K80" s="305">
        <f>SUM(K78:K79)</f>
        <v>23981</v>
      </c>
      <c r="L80" s="306">
        <f>SUM(L78:L79)</f>
        <v>24000</v>
      </c>
      <c r="M80" s="307"/>
      <c r="N80" s="323"/>
      <c r="O80" s="463">
        <f>SUM(O78:O79)</f>
        <v>24000</v>
      </c>
      <c r="P80" s="304"/>
      <c r="Q80" s="304"/>
      <c r="R80" s="931"/>
      <c r="S80" s="61"/>
      <c r="T80" s="61"/>
      <c r="U80" s="62"/>
    </row>
    <row r="81" spans="1:21" x14ac:dyDescent="0.25">
      <c r="A81" s="869" t="s">
        <v>20</v>
      </c>
      <c r="B81" s="871" t="s">
        <v>43</v>
      </c>
      <c r="C81" s="873" t="s">
        <v>98</v>
      </c>
      <c r="D81" s="932" t="s">
        <v>99</v>
      </c>
      <c r="E81" s="1083"/>
      <c r="F81" s="1079" t="s">
        <v>25</v>
      </c>
      <c r="G81" s="877" t="s">
        <v>70</v>
      </c>
      <c r="H81" s="1037" t="s">
        <v>168</v>
      </c>
      <c r="I81" s="153" t="s">
        <v>170</v>
      </c>
      <c r="J81" s="482">
        <v>86075</v>
      </c>
      <c r="K81" s="277">
        <v>86075</v>
      </c>
      <c r="L81" s="316"/>
      <c r="M81" s="276"/>
      <c r="N81" s="276"/>
      <c r="O81" s="278"/>
      <c r="P81" s="377"/>
      <c r="Q81" s="377"/>
      <c r="R81" s="909" t="s">
        <v>100</v>
      </c>
      <c r="S81" s="941">
        <v>100</v>
      </c>
      <c r="T81" s="176"/>
      <c r="U81" s="177"/>
    </row>
    <row r="82" spans="1:21" x14ac:dyDescent="0.25">
      <c r="A82" s="885"/>
      <c r="B82" s="886"/>
      <c r="C82" s="911"/>
      <c r="D82" s="1086"/>
      <c r="E82" s="1085"/>
      <c r="F82" s="988"/>
      <c r="G82" s="915"/>
      <c r="H82" s="1038"/>
      <c r="I82" s="155" t="s">
        <v>27</v>
      </c>
      <c r="J82" s="432"/>
      <c r="K82" s="285"/>
      <c r="L82" s="412">
        <v>25000</v>
      </c>
      <c r="M82" s="430"/>
      <c r="N82" s="432"/>
      <c r="O82" s="286">
        <v>25000</v>
      </c>
      <c r="P82" s="321"/>
      <c r="Q82" s="321"/>
      <c r="R82" s="1040"/>
      <c r="S82" s="1090"/>
      <c r="T82" s="204"/>
      <c r="U82" s="205"/>
    </row>
    <row r="83" spans="1:21" ht="15.75" thickBot="1" x14ac:dyDescent="0.3">
      <c r="A83" s="870"/>
      <c r="B83" s="872"/>
      <c r="C83" s="874"/>
      <c r="D83" s="933"/>
      <c r="E83" s="1084"/>
      <c r="F83" s="1081"/>
      <c r="G83" s="878"/>
      <c r="H83" s="1039"/>
      <c r="I83" s="256" t="s">
        <v>38</v>
      </c>
      <c r="J83" s="449">
        <f>SUM(J81)</f>
        <v>86075</v>
      </c>
      <c r="K83" s="450">
        <f>SUM(K81)</f>
        <v>86075</v>
      </c>
      <c r="L83" s="451">
        <f>SUM(L81:L82)</f>
        <v>25000</v>
      </c>
      <c r="M83" s="471"/>
      <c r="N83" s="472"/>
      <c r="O83" s="452">
        <f>SUM(O81:O82)</f>
        <v>25000</v>
      </c>
      <c r="P83" s="451"/>
      <c r="Q83" s="451"/>
      <c r="R83" s="910"/>
      <c r="S83" s="942"/>
      <c r="T83" s="163"/>
      <c r="U83" s="164"/>
    </row>
    <row r="84" spans="1:21" x14ac:dyDescent="0.25">
      <c r="A84" s="869" t="s">
        <v>20</v>
      </c>
      <c r="B84" s="871" t="s">
        <v>43</v>
      </c>
      <c r="C84" s="873" t="s">
        <v>98</v>
      </c>
      <c r="D84" s="932" t="s">
        <v>101</v>
      </c>
      <c r="E84" s="1083"/>
      <c r="F84" s="1079" t="s">
        <v>25</v>
      </c>
      <c r="G84" s="877" t="s">
        <v>70</v>
      </c>
      <c r="H84" s="1037" t="s">
        <v>168</v>
      </c>
      <c r="I84" s="178" t="s">
        <v>27</v>
      </c>
      <c r="J84" s="314"/>
      <c r="K84" s="315"/>
      <c r="L84" s="316"/>
      <c r="M84" s="276"/>
      <c r="N84" s="276"/>
      <c r="O84" s="278"/>
      <c r="P84" s="377"/>
      <c r="Q84" s="377">
        <v>41500</v>
      </c>
      <c r="R84" s="909" t="s">
        <v>102</v>
      </c>
      <c r="S84" s="941"/>
      <c r="T84" s="176"/>
      <c r="U84" s="177">
        <v>1</v>
      </c>
    </row>
    <row r="85" spans="1:21" x14ac:dyDescent="0.25">
      <c r="A85" s="885"/>
      <c r="B85" s="886"/>
      <c r="C85" s="911"/>
      <c r="D85" s="1086"/>
      <c r="E85" s="1085"/>
      <c r="F85" s="988"/>
      <c r="G85" s="915"/>
      <c r="H85" s="1038"/>
      <c r="I85" s="175" t="s">
        <v>74</v>
      </c>
      <c r="J85" s="319">
        <f>20.6/3.4528*1000</f>
        <v>5966.1723818350329</v>
      </c>
      <c r="K85" s="320">
        <f>20.6/3.4528*1000</f>
        <v>5966.1723818350329</v>
      </c>
      <c r="L85" s="412"/>
      <c r="M85" s="430"/>
      <c r="N85" s="432"/>
      <c r="O85" s="286"/>
      <c r="P85" s="321"/>
      <c r="Q85" s="321"/>
      <c r="R85" s="1040"/>
      <c r="S85" s="1090"/>
      <c r="T85" s="204"/>
      <c r="U85" s="205"/>
    </row>
    <row r="86" spans="1:21" x14ac:dyDescent="0.25">
      <c r="A86" s="885"/>
      <c r="B86" s="886"/>
      <c r="C86" s="911"/>
      <c r="D86" s="1086"/>
      <c r="E86" s="1085"/>
      <c r="F86" s="988"/>
      <c r="G86" s="915"/>
      <c r="H86" s="1038"/>
      <c r="I86" s="483" t="s">
        <v>170</v>
      </c>
      <c r="J86" s="348">
        <f>250/3.4528*1000</f>
        <v>72405.004633920296</v>
      </c>
      <c r="K86" s="406">
        <f>250/3.4528*1000</f>
        <v>72405.004633920296</v>
      </c>
      <c r="L86" s="291"/>
      <c r="M86" s="419"/>
      <c r="N86" s="484"/>
      <c r="O86" s="294"/>
      <c r="P86" s="485"/>
      <c r="Q86" s="295"/>
      <c r="R86" s="1040"/>
      <c r="S86" s="1090"/>
      <c r="T86" s="204"/>
      <c r="U86" s="205"/>
    </row>
    <row r="87" spans="1:21" ht="15.75" thickBot="1" x14ac:dyDescent="0.3">
      <c r="A87" s="870"/>
      <c r="B87" s="872"/>
      <c r="C87" s="874"/>
      <c r="D87" s="933"/>
      <c r="E87" s="1084"/>
      <c r="F87" s="1081"/>
      <c r="G87" s="878"/>
      <c r="H87" s="1039"/>
      <c r="I87" s="256" t="s">
        <v>38</v>
      </c>
      <c r="J87" s="449">
        <f>SUM(J84:J86)</f>
        <v>78371.177015755326</v>
      </c>
      <c r="K87" s="450">
        <f>SUM(K84:K86)</f>
        <v>78371.177015755326</v>
      </c>
      <c r="L87" s="451">
        <f>SUM(L84:L86)</f>
        <v>0</v>
      </c>
      <c r="M87" s="471"/>
      <c r="N87" s="472"/>
      <c r="O87" s="452">
        <f>SUM(O84:O86)</f>
        <v>0</v>
      </c>
      <c r="P87" s="451"/>
      <c r="Q87" s="451">
        <f>SUM(Q84:Q86)</f>
        <v>41500</v>
      </c>
      <c r="R87" s="910"/>
      <c r="S87" s="942"/>
      <c r="T87" s="163"/>
      <c r="U87" s="164"/>
    </row>
    <row r="88" spans="1:21" ht="15.75" thickBot="1" x14ac:dyDescent="0.3">
      <c r="A88" s="179" t="s">
        <v>20</v>
      </c>
      <c r="B88" s="82" t="s">
        <v>43</v>
      </c>
      <c r="C88" s="935" t="s">
        <v>53</v>
      </c>
      <c r="D88" s="936"/>
      <c r="E88" s="936"/>
      <c r="F88" s="936"/>
      <c r="G88" s="936"/>
      <c r="H88" s="936"/>
      <c r="I88" s="937"/>
      <c r="J88" s="486">
        <f t="shared" ref="J88:P88" si="9">J83+J80+J74+J71+J68+J77+J65+J62+J58+J56+J53+J87</f>
        <v>1896548.1770157553</v>
      </c>
      <c r="K88" s="487">
        <f t="shared" si="9"/>
        <v>2186168.1770157553</v>
      </c>
      <c r="L88" s="486">
        <f>L83+L80+L74+L71+L68+L77+L65+L62+L58+L56+L53+L87</f>
        <v>3992200</v>
      </c>
      <c r="M88" s="488">
        <f t="shared" si="9"/>
        <v>0</v>
      </c>
      <c r="N88" s="489">
        <f t="shared" si="9"/>
        <v>0</v>
      </c>
      <c r="O88" s="487">
        <f t="shared" si="9"/>
        <v>3992200</v>
      </c>
      <c r="P88" s="486">
        <f t="shared" si="9"/>
        <v>3234400</v>
      </c>
      <c r="Q88" s="486">
        <f>Q9+Q80+Q74+Q71+Q68+Q77+Q65+Q62+Q58+Q56+Q53+Q87</f>
        <v>2429500</v>
      </c>
      <c r="R88" s="938"/>
      <c r="S88" s="939"/>
      <c r="T88" s="939"/>
      <c r="U88" s="940"/>
    </row>
    <row r="89" spans="1:21" ht="15.75" thickBot="1" x14ac:dyDescent="0.3">
      <c r="A89" s="252" t="s">
        <v>20</v>
      </c>
      <c r="B89" s="943" t="s">
        <v>103</v>
      </c>
      <c r="C89" s="944"/>
      <c r="D89" s="944"/>
      <c r="E89" s="944"/>
      <c r="F89" s="944"/>
      <c r="G89" s="944"/>
      <c r="H89" s="944"/>
      <c r="I89" s="945"/>
      <c r="J89" s="490">
        <f t="shared" ref="J89:Q89" si="10">J88+J49+J35</f>
        <v>3403033.1770157553</v>
      </c>
      <c r="K89" s="491">
        <f t="shared" si="10"/>
        <v>3757776.1770157553</v>
      </c>
      <c r="L89" s="490">
        <f t="shared" si="10"/>
        <v>5511800</v>
      </c>
      <c r="M89" s="492">
        <f t="shared" si="10"/>
        <v>1498200</v>
      </c>
      <c r="N89" s="493">
        <f t="shared" si="10"/>
        <v>851233</v>
      </c>
      <c r="O89" s="491">
        <f t="shared" si="10"/>
        <v>4013600</v>
      </c>
      <c r="P89" s="490">
        <f t="shared" si="10"/>
        <v>4727300</v>
      </c>
      <c r="Q89" s="490">
        <f t="shared" si="10"/>
        <v>3917400</v>
      </c>
      <c r="R89" s="946"/>
      <c r="S89" s="947"/>
      <c r="T89" s="947"/>
      <c r="U89" s="948"/>
    </row>
    <row r="90" spans="1:21" ht="15.75" thickBot="1" x14ac:dyDescent="0.3">
      <c r="A90" s="182" t="s">
        <v>104</v>
      </c>
      <c r="B90" s="949" t="s">
        <v>105</v>
      </c>
      <c r="C90" s="950"/>
      <c r="D90" s="950"/>
      <c r="E90" s="950"/>
      <c r="F90" s="950"/>
      <c r="G90" s="950"/>
      <c r="H90" s="950"/>
      <c r="I90" s="951"/>
      <c r="J90" s="494">
        <f>J89</f>
        <v>3403033.1770157553</v>
      </c>
      <c r="K90" s="495">
        <f>K89</f>
        <v>3757776.1770157553</v>
      </c>
      <c r="L90" s="494">
        <f t="shared" ref="L90:Q90" si="11">L89</f>
        <v>5511800</v>
      </c>
      <c r="M90" s="496">
        <f t="shared" si="11"/>
        <v>1498200</v>
      </c>
      <c r="N90" s="497">
        <f t="shared" si="11"/>
        <v>851233</v>
      </c>
      <c r="O90" s="495">
        <f t="shared" si="11"/>
        <v>4013600</v>
      </c>
      <c r="P90" s="494">
        <f t="shared" si="11"/>
        <v>4727300</v>
      </c>
      <c r="Q90" s="494">
        <f t="shared" si="11"/>
        <v>3917400</v>
      </c>
      <c r="R90" s="952"/>
      <c r="S90" s="953"/>
      <c r="T90" s="953"/>
      <c r="U90" s="954"/>
    </row>
    <row r="91" spans="1:21" x14ac:dyDescent="0.25">
      <c r="A91" s="1091" t="s">
        <v>171</v>
      </c>
      <c r="B91" s="1091"/>
      <c r="C91" s="1091"/>
      <c r="D91" s="1091"/>
      <c r="E91" s="1091"/>
      <c r="F91" s="1091"/>
      <c r="G91" s="1091"/>
      <c r="H91" s="1091"/>
      <c r="I91" s="1091"/>
      <c r="J91" s="1091"/>
      <c r="K91" s="1091"/>
      <c r="L91" s="1091"/>
      <c r="M91" s="1091"/>
      <c r="N91" s="1091"/>
      <c r="O91" s="1091"/>
      <c r="P91" s="1091"/>
      <c r="Q91" s="1091"/>
      <c r="R91" s="1091"/>
      <c r="S91" s="1091"/>
      <c r="T91" s="1091"/>
      <c r="U91" s="1091"/>
    </row>
    <row r="92" spans="1:21" x14ac:dyDescent="0.25">
      <c r="A92" s="1092" t="s">
        <v>172</v>
      </c>
      <c r="B92" s="1092"/>
      <c r="C92" s="1092"/>
      <c r="D92" s="1092"/>
      <c r="E92" s="1092"/>
      <c r="F92" s="1092"/>
      <c r="G92" s="1092"/>
      <c r="H92" s="1092"/>
      <c r="I92" s="1092"/>
      <c r="J92" s="1092"/>
      <c r="K92" s="1092"/>
      <c r="L92" s="1092"/>
      <c r="M92" s="1092"/>
      <c r="N92" s="1092"/>
      <c r="O92" s="1092"/>
      <c r="P92" s="1092"/>
      <c r="Q92" s="1092"/>
      <c r="R92" s="1092"/>
      <c r="S92" s="1092"/>
      <c r="T92" s="1092"/>
      <c r="U92" s="1092"/>
    </row>
    <row r="93" spans="1:21" x14ac:dyDescent="0.25">
      <c r="A93" s="1092" t="s">
        <v>173</v>
      </c>
      <c r="B93" s="1092"/>
      <c r="C93" s="1092"/>
      <c r="D93" s="1092"/>
      <c r="E93" s="1092"/>
      <c r="F93" s="1092"/>
      <c r="G93" s="1092"/>
      <c r="H93" s="1092"/>
      <c r="I93" s="1092"/>
      <c r="J93" s="1092"/>
      <c r="K93" s="1092"/>
      <c r="L93" s="1092"/>
      <c r="M93" s="1092"/>
      <c r="N93" s="1092"/>
      <c r="O93" s="1092"/>
      <c r="P93" s="1092"/>
      <c r="Q93" s="1092"/>
      <c r="R93" s="1092"/>
      <c r="S93" s="1092"/>
      <c r="T93" s="1092"/>
      <c r="U93" s="1092"/>
    </row>
    <row r="94" spans="1:21" ht="15.75" thickBot="1" x14ac:dyDescent="0.3">
      <c r="A94" s="498"/>
      <c r="B94" s="964" t="s">
        <v>106</v>
      </c>
      <c r="C94" s="964"/>
      <c r="D94" s="964"/>
      <c r="E94" s="964"/>
      <c r="F94" s="964"/>
      <c r="G94" s="964"/>
      <c r="H94" s="964"/>
      <c r="I94" s="964"/>
      <c r="J94" s="964"/>
      <c r="K94" s="964"/>
      <c r="L94" s="964"/>
      <c r="M94" s="964"/>
      <c r="N94" s="964"/>
      <c r="O94" s="964"/>
      <c r="P94" s="964"/>
      <c r="Q94" s="964"/>
      <c r="R94" s="185"/>
      <c r="S94" s="185"/>
      <c r="T94" s="185"/>
      <c r="U94" s="1"/>
    </row>
    <row r="95" spans="1:21" ht="60" x14ac:dyDescent="0.25">
      <c r="A95" s="211"/>
      <c r="B95" s="965" t="s">
        <v>107</v>
      </c>
      <c r="C95" s="966"/>
      <c r="D95" s="966"/>
      <c r="E95" s="966"/>
      <c r="F95" s="966"/>
      <c r="G95" s="966"/>
      <c r="H95" s="1094"/>
      <c r="I95" s="967"/>
      <c r="J95" s="499" t="s">
        <v>140</v>
      </c>
      <c r="K95" s="500" t="s">
        <v>174</v>
      </c>
      <c r="L95" s="501" t="s">
        <v>175</v>
      </c>
      <c r="M95" s="502"/>
      <c r="N95" s="502"/>
      <c r="O95" s="503"/>
      <c r="P95" s="504" t="s">
        <v>176</v>
      </c>
      <c r="Q95" s="504" t="s">
        <v>177</v>
      </c>
      <c r="R95" s="258"/>
      <c r="S95" s="968"/>
      <c r="T95" s="968"/>
      <c r="U95" s="1"/>
    </row>
    <row r="96" spans="1:21" x14ac:dyDescent="0.25">
      <c r="A96" s="211"/>
      <c r="B96" s="969" t="s">
        <v>111</v>
      </c>
      <c r="C96" s="970"/>
      <c r="D96" s="970"/>
      <c r="E96" s="970"/>
      <c r="F96" s="970"/>
      <c r="G96" s="970"/>
      <c r="H96" s="1095"/>
      <c r="I96" s="971"/>
      <c r="J96" s="505">
        <f>SUM(J97:J102)</f>
        <v>1644604.0046339203</v>
      </c>
      <c r="K96" s="506">
        <f>SUM(K97:K102)</f>
        <v>1957145.0046339203</v>
      </c>
      <c r="L96" s="507">
        <f>SUM(L97:O102)</f>
        <v>2035600</v>
      </c>
      <c r="M96" s="508"/>
      <c r="N96" s="508"/>
      <c r="O96" s="509"/>
      <c r="P96" s="510">
        <f>SUM(P97:P102)</f>
        <v>2276300</v>
      </c>
      <c r="Q96" s="510">
        <f>SUM(Q97:Q102)</f>
        <v>2803300</v>
      </c>
      <c r="R96" s="257"/>
      <c r="S96" s="972"/>
      <c r="T96" s="972"/>
      <c r="U96" s="1"/>
    </row>
    <row r="97" spans="1:21" x14ac:dyDescent="0.25">
      <c r="A97" s="211"/>
      <c r="B97" s="957" t="s">
        <v>112</v>
      </c>
      <c r="C97" s="958"/>
      <c r="D97" s="958"/>
      <c r="E97" s="958"/>
      <c r="F97" s="958"/>
      <c r="G97" s="958"/>
      <c r="H97" s="1093"/>
      <c r="I97" s="959"/>
      <c r="J97" s="511">
        <f>SUMIF(I13:I83,I13,J13:J83)</f>
        <v>10658</v>
      </c>
      <c r="K97" s="512">
        <f>SUMIF(I13:I83,"sb",K13:K83)</f>
        <v>28832</v>
      </c>
      <c r="L97" s="513">
        <f>SUMIF(I13:I82,"sb",L13:L82)</f>
        <v>333300</v>
      </c>
      <c r="M97" s="514"/>
      <c r="N97" s="514"/>
      <c r="O97" s="515"/>
      <c r="P97" s="516">
        <f>SUMIF(I13:I81,"SB",P13:P81)</f>
        <v>131700</v>
      </c>
      <c r="Q97" s="516">
        <f>SUMIF(I13:I86,I13,Q13:Q86)</f>
        <v>218200</v>
      </c>
      <c r="R97" s="254"/>
      <c r="S97" s="960"/>
      <c r="T97" s="960"/>
      <c r="U97" s="1"/>
    </row>
    <row r="98" spans="1:21" x14ac:dyDescent="0.25">
      <c r="A98" s="211"/>
      <c r="B98" s="957" t="s">
        <v>113</v>
      </c>
      <c r="C98" s="958"/>
      <c r="D98" s="958"/>
      <c r="E98" s="958"/>
      <c r="F98" s="958"/>
      <c r="G98" s="958"/>
      <c r="H98" s="1093"/>
      <c r="I98" s="959"/>
      <c r="J98" s="511">
        <f>SUMIF(I13:I81,I14,J13:J81)</f>
        <v>96154</v>
      </c>
      <c r="K98" s="512">
        <f>SUMIF(I13:I81,"sb(aa)",K13:K81)</f>
        <v>96154</v>
      </c>
      <c r="L98" s="513">
        <f>SUMIF(I13:I81,I14,L13:L81)</f>
        <v>96200</v>
      </c>
      <c r="M98" s="514"/>
      <c r="N98" s="514"/>
      <c r="O98" s="515"/>
      <c r="P98" s="516">
        <f>SUMIF(I13:I81,I14,P13:P81)</f>
        <v>97000</v>
      </c>
      <c r="Q98" s="516">
        <f>SUMIF(I13:I81,I14,Q13:Q81)</f>
        <v>97000</v>
      </c>
      <c r="R98" s="254"/>
      <c r="S98" s="960"/>
      <c r="T98" s="960"/>
      <c r="U98" s="1"/>
    </row>
    <row r="99" spans="1:21" x14ac:dyDescent="0.25">
      <c r="A99" s="211"/>
      <c r="B99" s="957" t="s">
        <v>178</v>
      </c>
      <c r="C99" s="958"/>
      <c r="D99" s="958"/>
      <c r="E99" s="958"/>
      <c r="F99" s="958"/>
      <c r="G99" s="958"/>
      <c r="H99" s="1093"/>
      <c r="I99" s="959"/>
      <c r="J99" s="511">
        <f>SUMIF(I13:I81,I15,J13:J81)</f>
        <v>35538</v>
      </c>
      <c r="K99" s="512">
        <f>SUMIF(I13:I81,"sb(aaL)",K13:K81)</f>
        <v>35538</v>
      </c>
      <c r="L99" s="513">
        <f>SUMIF(I13:I81,I15,L13:L81)</f>
        <v>0</v>
      </c>
      <c r="M99" s="514"/>
      <c r="N99" s="514"/>
      <c r="O99" s="515"/>
      <c r="P99" s="516">
        <f>SUMIF(I13:I81,I15,P13:P81)</f>
        <v>0</v>
      </c>
      <c r="Q99" s="516">
        <f>SUMIF(I13:I81,I15,Q13:Q81)</f>
        <v>0</v>
      </c>
      <c r="R99" s="254"/>
      <c r="S99" s="960"/>
      <c r="T99" s="960"/>
      <c r="U99" s="1"/>
    </row>
    <row r="100" spans="1:21" x14ac:dyDescent="0.25">
      <c r="A100" s="211"/>
      <c r="B100" s="957" t="s">
        <v>114</v>
      </c>
      <c r="C100" s="958"/>
      <c r="D100" s="958"/>
      <c r="E100" s="958"/>
      <c r="F100" s="958"/>
      <c r="G100" s="958"/>
      <c r="H100" s="1093"/>
      <c r="I100" s="959"/>
      <c r="J100" s="511">
        <f>SUMIF(I13:I81,"sb(sp)",J13:J81)</f>
        <v>24038</v>
      </c>
      <c r="K100" s="512">
        <f>SUMIF(I13:I81,"sb(sp)",K13:K81)</f>
        <v>24735</v>
      </c>
      <c r="L100" s="513">
        <f>SUMIF(I13:I81,"sb(sp)",L13:L81)</f>
        <v>18800</v>
      </c>
      <c r="M100" s="514"/>
      <c r="N100" s="514"/>
      <c r="O100" s="515"/>
      <c r="P100" s="516">
        <f>SUMIF(I13:I81,"sb(sp)",P13:P81)</f>
        <v>23800</v>
      </c>
      <c r="Q100" s="516">
        <f>SUMIF(I13:I81,"sb(sp)",Q13:Q81)</f>
        <v>23800</v>
      </c>
      <c r="R100" s="254"/>
      <c r="S100" s="960"/>
      <c r="T100" s="960"/>
      <c r="U100" s="1"/>
    </row>
    <row r="101" spans="1:21" x14ac:dyDescent="0.25">
      <c r="A101" s="211"/>
      <c r="B101" s="957" t="s">
        <v>115</v>
      </c>
      <c r="C101" s="958"/>
      <c r="D101" s="958"/>
      <c r="E101" s="958"/>
      <c r="F101" s="958"/>
      <c r="G101" s="958"/>
      <c r="H101" s="1093"/>
      <c r="I101" s="959"/>
      <c r="J101" s="511">
        <f>SUMIF(I13:I81,"sb(vb)",J13:J81)</f>
        <v>1319736</v>
      </c>
      <c r="K101" s="512">
        <f>SUMIF(I13:I81,"sb(vb)",K13:K81)</f>
        <v>1613406</v>
      </c>
      <c r="L101" s="513">
        <f>SUMIF(I13:I81,"sb(vb)",L13:L81)</f>
        <v>1587300</v>
      </c>
      <c r="M101" s="514"/>
      <c r="N101" s="514"/>
      <c r="O101" s="515"/>
      <c r="P101" s="516">
        <f>SUMIF(I13:I81,I37,P13:P81)</f>
        <v>2023800</v>
      </c>
      <c r="Q101" s="516">
        <f>SUMIF(I13:I81,I37,Q13:Q81)</f>
        <v>2464300</v>
      </c>
      <c r="R101" s="254"/>
      <c r="S101" s="960"/>
      <c r="T101" s="960"/>
      <c r="U101" s="1"/>
    </row>
    <row r="102" spans="1:21" x14ac:dyDescent="0.25">
      <c r="A102" s="211"/>
      <c r="B102" s="1097" t="s">
        <v>179</v>
      </c>
      <c r="C102" s="1098"/>
      <c r="D102" s="1098"/>
      <c r="E102" s="1098"/>
      <c r="F102" s="1098"/>
      <c r="G102" s="1098"/>
      <c r="H102" s="1098"/>
      <c r="I102" s="1099"/>
      <c r="J102" s="442">
        <f>SUMIF(I13:I86,"pf",J13:J86)</f>
        <v>158480.0046339203</v>
      </c>
      <c r="K102" s="443">
        <f>SUMIF(I13:I86,"pf",K13:K86)</f>
        <v>158480.0046339203</v>
      </c>
      <c r="L102" s="517">
        <f>SUMIF(I13:I81,"pf",L13:L81)</f>
        <v>0</v>
      </c>
      <c r="M102" s="518"/>
      <c r="N102" s="518"/>
      <c r="O102" s="519"/>
      <c r="P102" s="343">
        <f>SUMIF(I13:I81,"pf",P13:P81)</f>
        <v>0</v>
      </c>
      <c r="Q102" s="343">
        <f>SUMIF(I13:I81,"pf",Q13:Q81)</f>
        <v>0</v>
      </c>
      <c r="R102" s="254"/>
      <c r="S102" s="254"/>
      <c r="T102" s="254"/>
      <c r="U102" s="1"/>
    </row>
    <row r="103" spans="1:21" x14ac:dyDescent="0.25">
      <c r="A103" s="211"/>
      <c r="B103" s="969" t="s">
        <v>116</v>
      </c>
      <c r="C103" s="970"/>
      <c r="D103" s="970"/>
      <c r="E103" s="970"/>
      <c r="F103" s="970"/>
      <c r="G103" s="970"/>
      <c r="H103" s="1095"/>
      <c r="I103" s="971"/>
      <c r="J103" s="505">
        <f>SUM(J104:J106)</f>
        <v>1758429.1723818351</v>
      </c>
      <c r="K103" s="506">
        <f>SUM(K104:K106)</f>
        <v>1800631.1723818351</v>
      </c>
      <c r="L103" s="507">
        <f>SUM(L104:O106)</f>
        <v>3476200</v>
      </c>
      <c r="M103" s="508"/>
      <c r="N103" s="508"/>
      <c r="O103" s="509"/>
      <c r="P103" s="510">
        <f>SUM(P104:P106)</f>
        <v>2451000</v>
      </c>
      <c r="Q103" s="510">
        <f>SUM(Q104:Q106)</f>
        <v>1114100</v>
      </c>
      <c r="R103" s="257"/>
      <c r="S103" s="972"/>
      <c r="T103" s="972"/>
      <c r="U103" s="1"/>
    </row>
    <row r="104" spans="1:21" x14ac:dyDescent="0.25">
      <c r="A104" s="520"/>
      <c r="B104" s="976" t="s">
        <v>117</v>
      </c>
      <c r="C104" s="977"/>
      <c r="D104" s="977"/>
      <c r="E104" s="977"/>
      <c r="F104" s="977"/>
      <c r="G104" s="977"/>
      <c r="H104" s="977"/>
      <c r="I104" s="978"/>
      <c r="J104" s="442">
        <f>SUMIF(I13:I81,"psdf",J13:J81)</f>
        <v>1072</v>
      </c>
      <c r="K104" s="443">
        <f>SUMIF(I13:I81,"psdf",K13:K81)</f>
        <v>1072</v>
      </c>
      <c r="L104" s="517">
        <f>SUMIF(I13:I81,"psdf",L13:L81)</f>
        <v>1100</v>
      </c>
      <c r="M104" s="518"/>
      <c r="N104" s="518"/>
      <c r="O104" s="519"/>
      <c r="P104" s="343">
        <f>SUMIF(I13:I81,"PSDF",P13:P81)</f>
        <v>1100</v>
      </c>
      <c r="Q104" s="343">
        <f>SUMIF(I13:I81,"PSDF",Q13:Q81)</f>
        <v>1100</v>
      </c>
      <c r="R104" s="193"/>
      <c r="S104" s="193"/>
      <c r="T104" s="194"/>
      <c r="U104" s="195"/>
    </row>
    <row r="105" spans="1:21" x14ac:dyDescent="0.25">
      <c r="A105" s="211"/>
      <c r="B105" s="961" t="s">
        <v>118</v>
      </c>
      <c r="C105" s="962"/>
      <c r="D105" s="962"/>
      <c r="E105" s="962"/>
      <c r="F105" s="962"/>
      <c r="G105" s="962"/>
      <c r="H105" s="962"/>
      <c r="I105" s="963"/>
      <c r="J105" s="511">
        <f>SUMIF(I13:I81,"es",J13:J81)</f>
        <v>117760</v>
      </c>
      <c r="K105" s="512">
        <f>SUMIF(I13:I81,"es",K13:K81)</f>
        <v>117760</v>
      </c>
      <c r="L105" s="513">
        <f>SUMIF(I13:I81,"es",L13:L81)</f>
        <v>0</v>
      </c>
      <c r="M105" s="514"/>
      <c r="N105" s="514"/>
      <c r="O105" s="515"/>
      <c r="P105" s="516">
        <f>SUMIF(I13:I81,"es",P13:P81)</f>
        <v>0</v>
      </c>
      <c r="Q105" s="516">
        <f>SUMIF(I13:I81,"es",Q13:Q81)</f>
        <v>0</v>
      </c>
      <c r="R105" s="254"/>
      <c r="S105" s="254"/>
      <c r="T105" s="254"/>
      <c r="U105" s="1"/>
    </row>
    <row r="106" spans="1:21" x14ac:dyDescent="0.25">
      <c r="A106" s="211"/>
      <c r="B106" s="957" t="s">
        <v>119</v>
      </c>
      <c r="C106" s="958"/>
      <c r="D106" s="958"/>
      <c r="E106" s="958"/>
      <c r="F106" s="958"/>
      <c r="G106" s="958"/>
      <c r="H106" s="1093"/>
      <c r="I106" s="959"/>
      <c r="J106" s="511">
        <f>SUMIF(I13:I86,"kt",J13:J86)</f>
        <v>1639597.1723818351</v>
      </c>
      <c r="K106" s="512">
        <f>SUMIF(I13:I86,"kt",K13:K86)</f>
        <v>1681799.1723818351</v>
      </c>
      <c r="L106" s="513">
        <f>SUMIF(I13:I81,"kt",L13:L81)</f>
        <v>3475100</v>
      </c>
      <c r="M106" s="514"/>
      <c r="N106" s="514"/>
      <c r="O106" s="515"/>
      <c r="P106" s="516">
        <f>SUMIF(I13:I81,"kt",P13:P81)</f>
        <v>2449900</v>
      </c>
      <c r="Q106" s="516">
        <f>SUMIF(I13:I81,"kt",Q13:Q81)</f>
        <v>1113000</v>
      </c>
      <c r="R106" s="254"/>
      <c r="S106" s="960"/>
      <c r="T106" s="960"/>
      <c r="U106" s="1"/>
    </row>
    <row r="107" spans="1:21" ht="15.75" thickBot="1" x14ac:dyDescent="0.3">
      <c r="A107" s="521"/>
      <c r="B107" s="973" t="s">
        <v>120</v>
      </c>
      <c r="C107" s="974"/>
      <c r="D107" s="974"/>
      <c r="E107" s="974"/>
      <c r="F107" s="974"/>
      <c r="G107" s="974"/>
      <c r="H107" s="974"/>
      <c r="I107" s="975"/>
      <c r="J107" s="451">
        <f>SUM(J96,J103)</f>
        <v>3403033.1770157553</v>
      </c>
      <c r="K107" s="472">
        <f>SUM(K96,K103)</f>
        <v>3757776.1770157553</v>
      </c>
      <c r="L107" s="451">
        <f>SUM(L96,L103)</f>
        <v>5511800</v>
      </c>
      <c r="M107" s="522"/>
      <c r="N107" s="522"/>
      <c r="O107" s="523"/>
      <c r="P107" s="453">
        <f>P96+P103</f>
        <v>4727300</v>
      </c>
      <c r="Q107" s="453">
        <f>Q103+Q96</f>
        <v>3917400</v>
      </c>
      <c r="R107" s="257"/>
      <c r="S107" s="972"/>
      <c r="T107" s="972"/>
      <c r="U107" s="1"/>
    </row>
    <row r="108" spans="1:21" x14ac:dyDescent="0.25">
      <c r="A108" s="524"/>
      <c r="B108" s="525"/>
      <c r="C108" s="525"/>
      <c r="D108" s="198"/>
      <c r="E108" s="198"/>
      <c r="F108" s="198"/>
      <c r="G108" s="199"/>
      <c r="H108" s="526"/>
      <c r="I108" s="200"/>
      <c r="J108" s="527"/>
      <c r="K108" s="527"/>
      <c r="L108" s="527"/>
      <c r="M108" s="527"/>
      <c r="N108" s="527"/>
      <c r="O108" s="527"/>
      <c r="P108" s="528"/>
      <c r="Q108" s="527"/>
      <c r="R108" s="186"/>
      <c r="S108" s="211"/>
      <c r="T108" s="211"/>
      <c r="U108" s="1"/>
    </row>
    <row r="109" spans="1:21" x14ac:dyDescent="0.25">
      <c r="A109" s="211"/>
      <c r="B109" s="211"/>
      <c r="C109" s="211"/>
      <c r="D109" s="203"/>
      <c r="E109" s="186"/>
      <c r="F109" s="186"/>
      <c r="G109" s="199"/>
      <c r="H109" s="526"/>
      <c r="I109" s="200"/>
      <c r="J109" s="529">
        <f>J90-J107</f>
        <v>0</v>
      </c>
      <c r="K109" s="529">
        <f>K90-K107</f>
        <v>0</v>
      </c>
      <c r="L109" s="530">
        <f>L90-L107</f>
        <v>0</v>
      </c>
      <c r="M109" s="1096"/>
      <c r="N109" s="1096"/>
      <c r="O109" s="1096"/>
      <c r="P109" s="531">
        <f>P90-P107</f>
        <v>0</v>
      </c>
      <c r="Q109" s="529">
        <f>Q107-Q90</f>
        <v>0</v>
      </c>
      <c r="R109" s="532"/>
      <c r="S109" s="211"/>
      <c r="T109" s="211"/>
      <c r="U109" s="1"/>
    </row>
  </sheetData>
  <mergeCells count="233">
    <mergeCell ref="B105:I105"/>
    <mergeCell ref="B106:I106"/>
    <mergeCell ref="S106:T106"/>
    <mergeCell ref="B107:I107"/>
    <mergeCell ref="S107:T107"/>
    <mergeCell ref="M109:O109"/>
    <mergeCell ref="B101:I101"/>
    <mergeCell ref="S101:T101"/>
    <mergeCell ref="B102:I102"/>
    <mergeCell ref="B103:I103"/>
    <mergeCell ref="S103:T103"/>
    <mergeCell ref="B104:I104"/>
    <mergeCell ref="B98:I98"/>
    <mergeCell ref="S98:T98"/>
    <mergeCell ref="B99:I99"/>
    <mergeCell ref="S99:T99"/>
    <mergeCell ref="B100:I100"/>
    <mergeCell ref="S100:T100"/>
    <mergeCell ref="B95:I95"/>
    <mergeCell ref="S95:T95"/>
    <mergeCell ref="B96:I96"/>
    <mergeCell ref="S96:T96"/>
    <mergeCell ref="B97:I97"/>
    <mergeCell ref="S97:T97"/>
    <mergeCell ref="A91:U91"/>
    <mergeCell ref="A92:U92"/>
    <mergeCell ref="A93:U93"/>
    <mergeCell ref="B94:Q94"/>
    <mergeCell ref="H84:H87"/>
    <mergeCell ref="R84:R87"/>
    <mergeCell ref="S84:S87"/>
    <mergeCell ref="C88:I88"/>
    <mergeCell ref="R88:U88"/>
    <mergeCell ref="B89:I89"/>
    <mergeCell ref="R89:U89"/>
    <mergeCell ref="S81:S83"/>
    <mergeCell ref="A84:A87"/>
    <mergeCell ref="B84:B87"/>
    <mergeCell ref="C84:C87"/>
    <mergeCell ref="D84:D87"/>
    <mergeCell ref="E84:E87"/>
    <mergeCell ref="F84:F87"/>
    <mergeCell ref="G84:G87"/>
    <mergeCell ref="B90:I90"/>
    <mergeCell ref="R90:U90"/>
    <mergeCell ref="R78:R80"/>
    <mergeCell ref="A81:A83"/>
    <mergeCell ref="B81:B83"/>
    <mergeCell ref="C81:C83"/>
    <mergeCell ref="D81:D83"/>
    <mergeCell ref="E81:E83"/>
    <mergeCell ref="F81:F83"/>
    <mergeCell ref="G81:G83"/>
    <mergeCell ref="A78:A80"/>
    <mergeCell ref="B78:B80"/>
    <mergeCell ref="C78:C80"/>
    <mergeCell ref="D78:D80"/>
    <mergeCell ref="E78:E80"/>
    <mergeCell ref="F78:F80"/>
    <mergeCell ref="H81:H83"/>
    <mergeCell ref="R81:R83"/>
    <mergeCell ref="A75:A77"/>
    <mergeCell ref="B75:B77"/>
    <mergeCell ref="C75:C77"/>
    <mergeCell ref="D75:D77"/>
    <mergeCell ref="E75:E77"/>
    <mergeCell ref="F75:F77"/>
    <mergeCell ref="G75:G77"/>
    <mergeCell ref="H75:H77"/>
    <mergeCell ref="G78:G80"/>
    <mergeCell ref="H78:H80"/>
    <mergeCell ref="A72:A74"/>
    <mergeCell ref="B72:B74"/>
    <mergeCell ref="C72:C74"/>
    <mergeCell ref="D72:D74"/>
    <mergeCell ref="E72:E74"/>
    <mergeCell ref="F72:F74"/>
    <mergeCell ref="G72:G74"/>
    <mergeCell ref="H72:H74"/>
    <mergeCell ref="R72:R74"/>
    <mergeCell ref="R66:R67"/>
    <mergeCell ref="A69:A71"/>
    <mergeCell ref="B69:B71"/>
    <mergeCell ref="C69:C71"/>
    <mergeCell ref="D69:D71"/>
    <mergeCell ref="E69:E71"/>
    <mergeCell ref="F69:F71"/>
    <mergeCell ref="G69:G71"/>
    <mergeCell ref="A66:A68"/>
    <mergeCell ref="B66:B68"/>
    <mergeCell ref="C66:C68"/>
    <mergeCell ref="D66:D68"/>
    <mergeCell ref="E66:E68"/>
    <mergeCell ref="F66:F68"/>
    <mergeCell ref="H69:H71"/>
    <mergeCell ref="R69:R71"/>
    <mergeCell ref="A63:A65"/>
    <mergeCell ref="B63:B65"/>
    <mergeCell ref="C63:C65"/>
    <mergeCell ref="D63:D65"/>
    <mergeCell ref="E63:E65"/>
    <mergeCell ref="F63:F65"/>
    <mergeCell ref="G63:G65"/>
    <mergeCell ref="H63:H65"/>
    <mergeCell ref="G66:G68"/>
    <mergeCell ref="H66:H68"/>
    <mergeCell ref="A59:A62"/>
    <mergeCell ref="B59:B62"/>
    <mergeCell ref="C59:C62"/>
    <mergeCell ref="D59:D62"/>
    <mergeCell ref="E59:E62"/>
    <mergeCell ref="F59:F62"/>
    <mergeCell ref="G59:G62"/>
    <mergeCell ref="H59:H62"/>
    <mergeCell ref="R61:R62"/>
    <mergeCell ref="G54:G56"/>
    <mergeCell ref="H54:H56"/>
    <mergeCell ref="R55:R56"/>
    <mergeCell ref="A57:A58"/>
    <mergeCell ref="B57:B58"/>
    <mergeCell ref="C57:C58"/>
    <mergeCell ref="D57:D58"/>
    <mergeCell ref="E57:E58"/>
    <mergeCell ref="F57:F58"/>
    <mergeCell ref="G57:G58"/>
    <mergeCell ref="A54:A56"/>
    <mergeCell ref="B54:B56"/>
    <mergeCell ref="C54:C56"/>
    <mergeCell ref="D54:D56"/>
    <mergeCell ref="E54:E56"/>
    <mergeCell ref="F54:F56"/>
    <mergeCell ref="H57:H58"/>
    <mergeCell ref="R57:R58"/>
    <mergeCell ref="C50:U50"/>
    <mergeCell ref="A51:A53"/>
    <mergeCell ref="B51:B53"/>
    <mergeCell ref="C51:C53"/>
    <mergeCell ref="D51:D53"/>
    <mergeCell ref="E51:E53"/>
    <mergeCell ref="F51:F53"/>
    <mergeCell ref="G51:G53"/>
    <mergeCell ref="H51:H53"/>
    <mergeCell ref="R51:R53"/>
    <mergeCell ref="D45:D48"/>
    <mergeCell ref="E45:E48"/>
    <mergeCell ref="F45:F48"/>
    <mergeCell ref="G45:G48"/>
    <mergeCell ref="H45:H48"/>
    <mergeCell ref="R48:R49"/>
    <mergeCell ref="C49:I49"/>
    <mergeCell ref="D37:D42"/>
    <mergeCell ref="E37:E42"/>
    <mergeCell ref="F37:F42"/>
    <mergeCell ref="G37:G42"/>
    <mergeCell ref="H37:H42"/>
    <mergeCell ref="D43:D44"/>
    <mergeCell ref="E43:E44"/>
    <mergeCell ref="F43:F44"/>
    <mergeCell ref="G43:G44"/>
    <mergeCell ref="H43:H44"/>
    <mergeCell ref="G32:G34"/>
    <mergeCell ref="H32:H34"/>
    <mergeCell ref="R33:R34"/>
    <mergeCell ref="C35:I35"/>
    <mergeCell ref="R35:U35"/>
    <mergeCell ref="C36:U36"/>
    <mergeCell ref="A32:A33"/>
    <mergeCell ref="B32:B33"/>
    <mergeCell ref="C32:C33"/>
    <mergeCell ref="D32:D34"/>
    <mergeCell ref="E32:E34"/>
    <mergeCell ref="F32:F34"/>
    <mergeCell ref="R26:R27"/>
    <mergeCell ref="A28:A31"/>
    <mergeCell ref="B28:B31"/>
    <mergeCell ref="C28:C31"/>
    <mergeCell ref="D28:D31"/>
    <mergeCell ref="E28:E31"/>
    <mergeCell ref="F28:F31"/>
    <mergeCell ref="G28:G31"/>
    <mergeCell ref="H28:H31"/>
    <mergeCell ref="H20:H22"/>
    <mergeCell ref="R20:R22"/>
    <mergeCell ref="B23:B25"/>
    <mergeCell ref="C23:C25"/>
    <mergeCell ref="D23:D25"/>
    <mergeCell ref="H23:H24"/>
    <mergeCell ref="H13:H19"/>
    <mergeCell ref="R13:R19"/>
    <mergeCell ref="E14:E15"/>
    <mergeCell ref="E16:E17"/>
    <mergeCell ref="E18:E19"/>
    <mergeCell ref="C20:C22"/>
    <mergeCell ref="D20:D22"/>
    <mergeCell ref="E20:E22"/>
    <mergeCell ref="F20:F22"/>
    <mergeCell ref="G20:G22"/>
    <mergeCell ref="R1:U1"/>
    <mergeCell ref="A2:U2"/>
    <mergeCell ref="A3:U3"/>
    <mergeCell ref="A4:U4"/>
    <mergeCell ref="A5:U5"/>
    <mergeCell ref="A6:A8"/>
    <mergeCell ref="B6:B8"/>
    <mergeCell ref="C6:C8"/>
    <mergeCell ref="D6:D8"/>
    <mergeCell ref="E6:E8"/>
    <mergeCell ref="U7:U8"/>
    <mergeCell ref="Q6:Q8"/>
    <mergeCell ref="R6:U6"/>
    <mergeCell ref="J7:J8"/>
    <mergeCell ref="K7:K8"/>
    <mergeCell ref="L7:L8"/>
    <mergeCell ref="M7:N7"/>
    <mergeCell ref="O7:O8"/>
    <mergeCell ref="G6:G8"/>
    <mergeCell ref="H6:H8"/>
    <mergeCell ref="I6:I8"/>
    <mergeCell ref="R7:R8"/>
    <mergeCell ref="S7:S8"/>
    <mergeCell ref="T7:T8"/>
    <mergeCell ref="F6:F8"/>
    <mergeCell ref="B13:B19"/>
    <mergeCell ref="C13:C19"/>
    <mergeCell ref="F13:F19"/>
    <mergeCell ref="G13:G19"/>
    <mergeCell ref="L6:O6"/>
    <mergeCell ref="P6:P8"/>
    <mergeCell ref="A9:U9"/>
    <mergeCell ref="A10:U10"/>
    <mergeCell ref="B11:U11"/>
    <mergeCell ref="C12:U12"/>
    <mergeCell ref="A13:A1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8"/>
  <sheetViews>
    <sheetView zoomScaleNormal="100" zoomScaleSheetLayoutView="100" workbookViewId="0"/>
  </sheetViews>
  <sheetFormatPr defaultRowHeight="15" x14ac:dyDescent="0.25"/>
  <cols>
    <col min="1" max="3" width="3" style="251" customWidth="1"/>
    <col min="4" max="4" width="32.85546875" style="251" customWidth="1"/>
    <col min="5" max="5" width="3.7109375" style="624" customWidth="1"/>
    <col min="6" max="6" width="3.7109375" style="557" customWidth="1"/>
    <col min="7" max="7" width="8.5703125" style="562" customWidth="1"/>
    <col min="8" max="8" width="7.85546875" style="251" customWidth="1"/>
    <col min="9" max="9" width="7.7109375" style="251" customWidth="1"/>
    <col min="10" max="10" width="6.140625" style="251" customWidth="1"/>
    <col min="11" max="11" width="25.28515625" style="594" customWidth="1"/>
    <col min="12" max="12" width="3.5703125" style="594" customWidth="1"/>
    <col min="13" max="13" width="35.42578125" style="594" customWidth="1"/>
    <col min="14" max="16384" width="9.140625" style="251"/>
  </cols>
  <sheetData>
    <row r="1" spans="1:15" x14ac:dyDescent="0.25">
      <c r="K1" s="1110" t="s">
        <v>195</v>
      </c>
      <c r="L1" s="1110"/>
      <c r="M1" s="1110"/>
    </row>
    <row r="2" spans="1:15" s="216" customFormat="1" ht="15.75" x14ac:dyDescent="0.2">
      <c r="A2" s="781" t="s">
        <v>0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</row>
    <row r="3" spans="1:15" s="216" customFormat="1" ht="15.75" x14ac:dyDescent="0.2">
      <c r="A3" s="782" t="s">
        <v>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</row>
    <row r="4" spans="1:15" s="216" customFormat="1" ht="15.75" x14ac:dyDescent="0.2">
      <c r="A4" s="783" t="s">
        <v>2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</row>
    <row r="5" spans="1:15" s="1" customFormat="1" ht="23.25" customHeight="1" thickBot="1" x14ac:dyDescent="0.25">
      <c r="A5" s="784" t="s">
        <v>3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15" s="1" customFormat="1" ht="12.75" customHeight="1" x14ac:dyDescent="0.2">
      <c r="A6" s="785" t="s">
        <v>4</v>
      </c>
      <c r="B6" s="788" t="s">
        <v>5</v>
      </c>
      <c r="C6" s="788" t="s">
        <v>6</v>
      </c>
      <c r="D6" s="791" t="s">
        <v>7</v>
      </c>
      <c r="E6" s="794" t="s">
        <v>8</v>
      </c>
      <c r="F6" s="797" t="s">
        <v>9</v>
      </c>
      <c r="G6" s="800" t="s">
        <v>10</v>
      </c>
      <c r="H6" s="803" t="s">
        <v>11</v>
      </c>
      <c r="I6" s="803" t="s">
        <v>196</v>
      </c>
      <c r="J6" s="803" t="s">
        <v>197</v>
      </c>
      <c r="K6" s="1113" t="s">
        <v>14</v>
      </c>
      <c r="L6" s="1114"/>
      <c r="M6" s="1115" t="s">
        <v>201</v>
      </c>
    </row>
    <row r="7" spans="1:15" s="1" customFormat="1" ht="56.25" customHeight="1" x14ac:dyDescent="0.2">
      <c r="A7" s="786"/>
      <c r="B7" s="789"/>
      <c r="C7" s="789"/>
      <c r="D7" s="792"/>
      <c r="E7" s="795"/>
      <c r="F7" s="798"/>
      <c r="G7" s="801"/>
      <c r="H7" s="804"/>
      <c r="I7" s="804"/>
      <c r="J7" s="804"/>
      <c r="K7" s="809" t="s">
        <v>7</v>
      </c>
      <c r="L7" s="1111" t="s">
        <v>15</v>
      </c>
      <c r="M7" s="1116"/>
    </row>
    <row r="8" spans="1:15" s="1" customFormat="1" ht="56.25" customHeight="1" thickBot="1" x14ac:dyDescent="0.25">
      <c r="A8" s="787"/>
      <c r="B8" s="790"/>
      <c r="C8" s="790"/>
      <c r="D8" s="793"/>
      <c r="E8" s="796"/>
      <c r="F8" s="799"/>
      <c r="G8" s="802"/>
      <c r="H8" s="805"/>
      <c r="I8" s="805"/>
      <c r="J8" s="805"/>
      <c r="K8" s="810"/>
      <c r="L8" s="1112"/>
      <c r="M8" s="1117"/>
    </row>
    <row r="9" spans="1:15" s="1" customFormat="1" ht="13.5" thickBot="1" x14ac:dyDescent="0.25">
      <c r="A9" s="813" t="s">
        <v>18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5"/>
    </row>
    <row r="10" spans="1:15" s="1" customFormat="1" ht="13.5" thickBot="1" x14ac:dyDescent="0.25">
      <c r="A10" s="816" t="s">
        <v>19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8"/>
    </row>
    <row r="11" spans="1:15" s="1" customFormat="1" ht="13.5" thickBot="1" x14ac:dyDescent="0.25">
      <c r="A11" s="217" t="s">
        <v>20</v>
      </c>
      <c r="B11" s="819" t="s">
        <v>21</v>
      </c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1"/>
    </row>
    <row r="12" spans="1:15" s="1" customFormat="1" ht="13.5" thickBot="1" x14ac:dyDescent="0.25">
      <c r="A12" s="218" t="s">
        <v>20</v>
      </c>
      <c r="B12" s="219" t="s">
        <v>20</v>
      </c>
      <c r="C12" s="822" t="s">
        <v>22</v>
      </c>
      <c r="D12" s="823"/>
      <c r="E12" s="823"/>
      <c r="F12" s="823"/>
      <c r="G12" s="823"/>
      <c r="H12" s="823"/>
      <c r="I12" s="823"/>
      <c r="J12" s="823"/>
      <c r="K12" s="823"/>
      <c r="L12" s="823"/>
      <c r="M12" s="824"/>
    </row>
    <row r="13" spans="1:15" s="1" customFormat="1" ht="51" x14ac:dyDescent="0.2">
      <c r="A13" s="825" t="s">
        <v>20</v>
      </c>
      <c r="B13" s="829" t="s">
        <v>20</v>
      </c>
      <c r="C13" s="833" t="s">
        <v>20</v>
      </c>
      <c r="D13" s="3" t="s">
        <v>23</v>
      </c>
      <c r="E13" s="625" t="s">
        <v>24</v>
      </c>
      <c r="F13" s="836" t="s">
        <v>26</v>
      </c>
      <c r="G13" s="5" t="s">
        <v>27</v>
      </c>
      <c r="H13" s="6">
        <v>10.7</v>
      </c>
      <c r="I13" s="763">
        <v>10.7</v>
      </c>
      <c r="J13" s="705"/>
      <c r="K13" s="839" t="s">
        <v>28</v>
      </c>
      <c r="L13" s="9">
        <v>100</v>
      </c>
      <c r="M13" s="596"/>
    </row>
    <row r="14" spans="1:15" s="1" customFormat="1" ht="17.25" customHeight="1" x14ac:dyDescent="0.2">
      <c r="A14" s="826"/>
      <c r="B14" s="830"/>
      <c r="C14" s="773"/>
      <c r="D14" s="10" t="s">
        <v>29</v>
      </c>
      <c r="E14" s="1118" t="s">
        <v>30</v>
      </c>
      <c r="F14" s="837"/>
      <c r="G14" s="11" t="s">
        <v>31</v>
      </c>
      <c r="H14" s="540">
        <v>96.2</v>
      </c>
      <c r="I14" s="764">
        <v>96.2</v>
      </c>
      <c r="J14" s="753"/>
      <c r="K14" s="840"/>
      <c r="L14" s="15"/>
      <c r="M14" s="597"/>
      <c r="O14" s="16"/>
    </row>
    <row r="15" spans="1:15" s="1" customFormat="1" ht="17.25" customHeight="1" x14ac:dyDescent="0.2">
      <c r="A15" s="827"/>
      <c r="B15" s="831"/>
      <c r="C15" s="834"/>
      <c r="D15" s="17" t="s">
        <v>32</v>
      </c>
      <c r="E15" s="1119"/>
      <c r="F15" s="837"/>
      <c r="G15" s="301" t="s">
        <v>150</v>
      </c>
      <c r="H15" s="539">
        <v>70</v>
      </c>
      <c r="I15" s="720">
        <v>70</v>
      </c>
      <c r="J15" s="753"/>
      <c r="K15" s="840"/>
      <c r="L15" s="15"/>
      <c r="M15" s="597"/>
    </row>
    <row r="16" spans="1:15" s="1" customFormat="1" ht="27" customHeight="1" x14ac:dyDescent="0.2">
      <c r="A16" s="827"/>
      <c r="B16" s="831"/>
      <c r="C16" s="834"/>
      <c r="D16" s="17" t="s">
        <v>33</v>
      </c>
      <c r="E16" s="1118" t="s">
        <v>34</v>
      </c>
      <c r="F16" s="837"/>
      <c r="G16" s="21"/>
      <c r="H16" s="37"/>
      <c r="I16" s="722"/>
      <c r="J16" s="706"/>
      <c r="K16" s="840"/>
      <c r="L16" s="15"/>
      <c r="M16" s="597"/>
    </row>
    <row r="17" spans="1:20" s="1" customFormat="1" ht="27" customHeight="1" x14ac:dyDescent="0.2">
      <c r="A17" s="827"/>
      <c r="B17" s="831"/>
      <c r="C17" s="834"/>
      <c r="D17" s="17" t="s">
        <v>35</v>
      </c>
      <c r="E17" s="1120"/>
      <c r="F17" s="837"/>
      <c r="G17" s="21"/>
      <c r="H17" s="37"/>
      <c r="I17" s="722"/>
      <c r="J17" s="706"/>
      <c r="K17" s="840"/>
      <c r="L17" s="15"/>
      <c r="M17" s="597"/>
    </row>
    <row r="18" spans="1:20" s="1" customFormat="1" ht="25.5" x14ac:dyDescent="0.2">
      <c r="A18" s="827"/>
      <c r="B18" s="831"/>
      <c r="C18" s="834"/>
      <c r="D18" s="17" t="s">
        <v>36</v>
      </c>
      <c r="E18" s="1120"/>
      <c r="F18" s="837"/>
      <c r="G18" s="21"/>
      <c r="H18" s="37"/>
      <c r="I18" s="722"/>
      <c r="J18" s="706"/>
      <c r="K18" s="840"/>
      <c r="L18" s="23"/>
      <c r="M18" s="597"/>
    </row>
    <row r="19" spans="1:20" s="1" customFormat="1" ht="18" customHeight="1" thickBot="1" x14ac:dyDescent="0.25">
      <c r="A19" s="828"/>
      <c r="B19" s="832"/>
      <c r="C19" s="835"/>
      <c r="D19" s="17" t="s">
        <v>37</v>
      </c>
      <c r="E19" s="1121"/>
      <c r="F19" s="838"/>
      <c r="G19" s="24" t="s">
        <v>38</v>
      </c>
      <c r="H19" s="38">
        <f>SUM(H13:H18)</f>
        <v>176.9</v>
      </c>
      <c r="I19" s="719">
        <f>SUM(I13:I18)</f>
        <v>176.9</v>
      </c>
      <c r="J19" s="704">
        <f>SUM(J13:J18)</f>
        <v>0</v>
      </c>
      <c r="K19" s="841"/>
      <c r="L19" s="29"/>
      <c r="M19" s="598"/>
    </row>
    <row r="20" spans="1:20" s="1" customFormat="1" ht="28.5" customHeight="1" x14ac:dyDescent="0.2">
      <c r="A20" s="220" t="s">
        <v>20</v>
      </c>
      <c r="B20" s="221" t="s">
        <v>20</v>
      </c>
      <c r="C20" s="772" t="s">
        <v>39</v>
      </c>
      <c r="D20" s="775" t="s">
        <v>40</v>
      </c>
      <c r="E20" s="1122" t="s">
        <v>34</v>
      </c>
      <c r="F20" s="836" t="s">
        <v>26</v>
      </c>
      <c r="G20" s="30" t="s">
        <v>41</v>
      </c>
      <c r="H20" s="760">
        <v>278.5</v>
      </c>
      <c r="I20" s="765">
        <f>278.5+5.3</f>
        <v>283.8</v>
      </c>
      <c r="J20" s="754">
        <f>I20-H20</f>
        <v>5.3000000000000114</v>
      </c>
      <c r="K20" s="861" t="s">
        <v>42</v>
      </c>
      <c r="L20" s="177">
        <v>108</v>
      </c>
      <c r="M20" s="1100" t="s">
        <v>210</v>
      </c>
      <c r="O20" s="16"/>
    </row>
    <row r="21" spans="1:20" s="1" customFormat="1" ht="28.5" customHeight="1" x14ac:dyDescent="0.2">
      <c r="A21" s="670"/>
      <c r="B21" s="671"/>
      <c r="C21" s="773"/>
      <c r="D21" s="776"/>
      <c r="E21" s="1120"/>
      <c r="F21" s="837"/>
      <c r="G21" s="35"/>
      <c r="H21" s="37"/>
      <c r="I21" s="722"/>
      <c r="J21" s="706"/>
      <c r="K21" s="862"/>
      <c r="L21" s="205"/>
      <c r="M21" s="1101"/>
    </row>
    <row r="22" spans="1:20" s="1" customFormat="1" ht="15.75" customHeight="1" thickBot="1" x14ac:dyDescent="0.25">
      <c r="A22" s="222"/>
      <c r="B22" s="219"/>
      <c r="C22" s="774"/>
      <c r="D22" s="777"/>
      <c r="E22" s="1121"/>
      <c r="F22" s="838"/>
      <c r="G22" s="24" t="s">
        <v>38</v>
      </c>
      <c r="H22" s="38">
        <f>SUM(H20:H21)</f>
        <v>278.5</v>
      </c>
      <c r="I22" s="719">
        <f>SUM(I20:I21)</f>
        <v>283.8</v>
      </c>
      <c r="J22" s="704">
        <f>SUM(J20:J21)</f>
        <v>5.3000000000000114</v>
      </c>
      <c r="K22" s="1055"/>
      <c r="L22" s="164"/>
      <c r="M22" s="1102"/>
    </row>
    <row r="23" spans="1:20" s="1" customFormat="1" ht="17.25" customHeight="1" x14ac:dyDescent="0.2">
      <c r="A23" s="825" t="s">
        <v>20</v>
      </c>
      <c r="B23" s="844" t="s">
        <v>20</v>
      </c>
      <c r="C23" s="833" t="s">
        <v>43</v>
      </c>
      <c r="D23" s="846" t="s">
        <v>44</v>
      </c>
      <c r="E23" s="1123"/>
      <c r="F23" s="836" t="s">
        <v>26</v>
      </c>
      <c r="G23" s="39" t="s">
        <v>41</v>
      </c>
      <c r="H23" s="169">
        <v>169.6</v>
      </c>
      <c r="I23" s="766">
        <f>169.6+1.9</f>
        <v>171.5</v>
      </c>
      <c r="J23" s="755">
        <f>I23-H23</f>
        <v>1.9000000000000057</v>
      </c>
      <c r="K23" s="154" t="s">
        <v>121</v>
      </c>
      <c r="L23" s="43">
        <v>340</v>
      </c>
      <c r="M23" s="1100" t="s">
        <v>210</v>
      </c>
    </row>
    <row r="24" spans="1:20" s="1" customFormat="1" ht="66" customHeight="1" x14ac:dyDescent="0.2">
      <c r="A24" s="826"/>
      <c r="B24" s="845"/>
      <c r="C24" s="773"/>
      <c r="D24" s="847"/>
      <c r="E24" s="1124"/>
      <c r="F24" s="837"/>
      <c r="G24" s="44" t="s">
        <v>45</v>
      </c>
      <c r="H24" s="761">
        <v>2.8</v>
      </c>
      <c r="I24" s="767">
        <f>2.8+0.4</f>
        <v>3.1999999999999997</v>
      </c>
      <c r="J24" s="756">
        <f>I24-H24</f>
        <v>0.39999999999999991</v>
      </c>
      <c r="K24" s="677" t="s">
        <v>46</v>
      </c>
      <c r="L24" s="49">
        <v>5</v>
      </c>
      <c r="M24" s="1101"/>
      <c r="Q24" s="16"/>
    </row>
    <row r="25" spans="1:20" s="1" customFormat="1" ht="18.75" customHeight="1" x14ac:dyDescent="0.2">
      <c r="A25" s="826"/>
      <c r="B25" s="845"/>
      <c r="C25" s="773"/>
      <c r="D25" s="847"/>
      <c r="E25" s="1124"/>
      <c r="F25" s="837"/>
      <c r="G25" s="50" t="s">
        <v>27</v>
      </c>
      <c r="H25" s="540">
        <v>1.5</v>
      </c>
      <c r="I25" s="764">
        <v>1.5</v>
      </c>
      <c r="J25" s="757"/>
      <c r="K25" s="70" t="s">
        <v>47</v>
      </c>
      <c r="L25" s="55">
        <v>2</v>
      </c>
      <c r="M25" s="702"/>
      <c r="O25" s="16"/>
      <c r="P25" s="16"/>
    </row>
    <row r="26" spans="1:20" s="1" customFormat="1" ht="32.25" customHeight="1" x14ac:dyDescent="0.2">
      <c r="A26" s="670"/>
      <c r="B26" s="675"/>
      <c r="C26" s="668"/>
      <c r="D26" s="847"/>
      <c r="E26" s="1124"/>
      <c r="F26" s="837"/>
      <c r="G26" s="50" t="s">
        <v>27</v>
      </c>
      <c r="H26" s="56">
        <v>5.4</v>
      </c>
      <c r="I26" s="768">
        <v>5.4</v>
      </c>
      <c r="J26" s="730"/>
      <c r="K26" s="855" t="s">
        <v>122</v>
      </c>
      <c r="L26" s="224">
        <v>1</v>
      </c>
      <c r="M26" s="703"/>
      <c r="O26" s="16"/>
      <c r="P26" s="16"/>
    </row>
    <row r="27" spans="1:20" s="1" customFormat="1" ht="52.5" customHeight="1" x14ac:dyDescent="0.2">
      <c r="A27" s="670"/>
      <c r="B27" s="675"/>
      <c r="C27" s="668"/>
      <c r="D27" s="847"/>
      <c r="E27" s="1124"/>
      <c r="F27" s="837"/>
      <c r="G27" s="50" t="s">
        <v>182</v>
      </c>
      <c r="H27" s="540">
        <v>0.2</v>
      </c>
      <c r="I27" s="764">
        <v>0.2</v>
      </c>
      <c r="J27" s="758"/>
      <c r="K27" s="856"/>
      <c r="L27" s="541"/>
      <c r="M27" s="601"/>
      <c r="O27" s="16"/>
      <c r="P27" s="16"/>
      <c r="T27" s="16"/>
    </row>
    <row r="28" spans="1:20" s="1" customFormat="1" ht="13.5" thickBot="1" x14ac:dyDescent="0.25">
      <c r="A28" s="225"/>
      <c r="B28" s="226"/>
      <c r="C28" s="227"/>
      <c r="D28" s="848"/>
      <c r="E28" s="1125"/>
      <c r="F28" s="838"/>
      <c r="G28" s="60" t="s">
        <v>38</v>
      </c>
      <c r="H28" s="38">
        <f>SUM(H23:H27)</f>
        <v>179.5</v>
      </c>
      <c r="I28" s="719">
        <f>SUM(I23:I27)</f>
        <v>181.79999999999998</v>
      </c>
      <c r="J28" s="26">
        <f>SUM(J23:J27)</f>
        <v>2.3000000000000056</v>
      </c>
      <c r="K28" s="857"/>
      <c r="L28" s="164"/>
      <c r="M28" s="602"/>
    </row>
    <row r="29" spans="1:20" s="1" customFormat="1" ht="30.75" customHeight="1" x14ac:dyDescent="0.2">
      <c r="A29" s="825" t="s">
        <v>20</v>
      </c>
      <c r="B29" s="829" t="s">
        <v>20</v>
      </c>
      <c r="C29" s="833" t="s">
        <v>48</v>
      </c>
      <c r="D29" s="846" t="s">
        <v>126</v>
      </c>
      <c r="E29" s="1122"/>
      <c r="F29" s="836" t="s">
        <v>26</v>
      </c>
      <c r="G29" s="209" t="s">
        <v>74</v>
      </c>
      <c r="H29" s="64">
        <v>34.6</v>
      </c>
      <c r="I29" s="724">
        <v>34.6</v>
      </c>
      <c r="J29" s="698"/>
      <c r="K29" s="676" t="s">
        <v>49</v>
      </c>
      <c r="L29" s="563" t="s">
        <v>50</v>
      </c>
      <c r="M29" s="603"/>
    </row>
    <row r="30" spans="1:20" s="1" customFormat="1" ht="18" customHeight="1" x14ac:dyDescent="0.2">
      <c r="A30" s="826"/>
      <c r="B30" s="830"/>
      <c r="C30" s="773"/>
      <c r="D30" s="847"/>
      <c r="E30" s="1120"/>
      <c r="F30" s="837"/>
      <c r="G30" s="11" t="s">
        <v>180</v>
      </c>
      <c r="H30" s="762">
        <v>6.1</v>
      </c>
      <c r="I30" s="769">
        <v>6.1</v>
      </c>
      <c r="J30" s="753"/>
      <c r="K30" s="1126" t="s">
        <v>124</v>
      </c>
      <c r="L30" s="224">
        <v>4</v>
      </c>
      <c r="M30" s="604"/>
    </row>
    <row r="31" spans="1:20" s="1" customFormat="1" ht="18" customHeight="1" thickBot="1" x14ac:dyDescent="0.25">
      <c r="A31" s="828"/>
      <c r="B31" s="832"/>
      <c r="C31" s="835"/>
      <c r="D31" s="848"/>
      <c r="E31" s="1121"/>
      <c r="F31" s="838"/>
      <c r="G31" s="24" t="s">
        <v>38</v>
      </c>
      <c r="H31" s="78">
        <f>SUM(H29:H30)</f>
        <v>40.700000000000003</v>
      </c>
      <c r="I31" s="751">
        <f>SUM(I29:I30)</f>
        <v>40.700000000000003</v>
      </c>
      <c r="J31" s="744">
        <f>SUM(J29:J30)</f>
        <v>0</v>
      </c>
      <c r="K31" s="1055"/>
      <c r="L31" s="541"/>
      <c r="M31" s="599"/>
    </row>
    <row r="32" spans="1:20" s="1" customFormat="1" ht="13.5" thickBot="1" x14ac:dyDescent="0.25">
      <c r="A32" s="228" t="s">
        <v>20</v>
      </c>
      <c r="B32" s="229" t="s">
        <v>20</v>
      </c>
      <c r="C32" s="863" t="s">
        <v>53</v>
      </c>
      <c r="D32" s="864"/>
      <c r="E32" s="864"/>
      <c r="F32" s="864"/>
      <c r="G32" s="865"/>
      <c r="H32" s="83">
        <f>H28+H22+H19+H31</f>
        <v>675.6</v>
      </c>
      <c r="I32" s="770">
        <f>I28+I22+I19+I31</f>
        <v>683.2</v>
      </c>
      <c r="J32" s="759">
        <f>J28+J22+J19+J31</f>
        <v>7.6000000000000174</v>
      </c>
      <c r="K32" s="894"/>
      <c r="L32" s="895"/>
      <c r="M32" s="896"/>
      <c r="N32" s="16"/>
    </row>
    <row r="33" spans="1:19" s="1" customFormat="1" ht="13.5" thickBot="1" x14ac:dyDescent="0.25">
      <c r="A33" s="218" t="s">
        <v>20</v>
      </c>
      <c r="B33" s="230" t="s">
        <v>39</v>
      </c>
      <c r="C33" s="852" t="s">
        <v>54</v>
      </c>
      <c r="D33" s="853"/>
      <c r="E33" s="853"/>
      <c r="F33" s="853"/>
      <c r="G33" s="853"/>
      <c r="H33" s="853"/>
      <c r="I33" s="853"/>
      <c r="J33" s="853"/>
      <c r="K33" s="853"/>
      <c r="L33" s="853"/>
      <c r="M33" s="854"/>
    </row>
    <row r="34" spans="1:19" s="1" customFormat="1" ht="16.5" customHeight="1" x14ac:dyDescent="0.2">
      <c r="A34" s="231" t="s">
        <v>20</v>
      </c>
      <c r="B34" s="232" t="s">
        <v>39</v>
      </c>
      <c r="C34" s="233" t="s">
        <v>20</v>
      </c>
      <c r="D34" s="858" t="s">
        <v>55</v>
      </c>
      <c r="E34" s="564"/>
      <c r="F34" s="672" t="s">
        <v>26</v>
      </c>
      <c r="G34" s="90" t="s">
        <v>41</v>
      </c>
      <c r="H34" s="737">
        <v>897.1</v>
      </c>
      <c r="I34" s="745">
        <f>897.1+10.7</f>
        <v>907.80000000000007</v>
      </c>
      <c r="J34" s="741">
        <f>I34-H34</f>
        <v>10.700000000000045</v>
      </c>
      <c r="K34" s="234" t="s">
        <v>127</v>
      </c>
      <c r="L34" s="565">
        <v>55</v>
      </c>
      <c r="M34" s="1100" t="s">
        <v>211</v>
      </c>
    </row>
    <row r="35" spans="1:19" s="1" customFormat="1" ht="56.25" customHeight="1" x14ac:dyDescent="0.2">
      <c r="A35" s="238"/>
      <c r="B35" s="239"/>
      <c r="C35" s="240"/>
      <c r="D35" s="898"/>
      <c r="E35" s="566"/>
      <c r="F35" s="673"/>
      <c r="G35" s="96" t="s">
        <v>182</v>
      </c>
      <c r="H35" s="550">
        <v>0.2</v>
      </c>
      <c r="I35" s="746">
        <v>0.2</v>
      </c>
      <c r="J35" s="640"/>
      <c r="K35" s="241" t="s">
        <v>57</v>
      </c>
      <c r="L35" s="567" t="s">
        <v>58</v>
      </c>
      <c r="M35" s="1101"/>
      <c r="N35" s="1" t="s">
        <v>198</v>
      </c>
      <c r="O35" s="16"/>
    </row>
    <row r="36" spans="1:19" s="1" customFormat="1" ht="43.5" customHeight="1" x14ac:dyDescent="0.2">
      <c r="A36" s="238"/>
      <c r="B36" s="239"/>
      <c r="C36" s="240"/>
      <c r="D36" s="628"/>
      <c r="E36" s="566"/>
      <c r="F36" s="673"/>
      <c r="G36" s="629" t="s">
        <v>60</v>
      </c>
      <c r="H36" s="738">
        <v>1.1000000000000001</v>
      </c>
      <c r="I36" s="747">
        <v>1.1000000000000001</v>
      </c>
      <c r="J36" s="742"/>
      <c r="K36" s="631" t="s">
        <v>125</v>
      </c>
      <c r="L36" s="632" t="s">
        <v>61</v>
      </c>
      <c r="M36" s="645"/>
    </row>
    <row r="37" spans="1:19" s="1" customFormat="1" ht="18" customHeight="1" thickBot="1" x14ac:dyDescent="0.25">
      <c r="A37" s="225"/>
      <c r="B37" s="226"/>
      <c r="C37" s="227"/>
      <c r="D37" s="568"/>
      <c r="E37" s="569"/>
      <c r="F37" s="674"/>
      <c r="G37" s="570" t="s">
        <v>38</v>
      </c>
      <c r="H37" s="739">
        <f>SUM(H34:H36)</f>
        <v>898.40000000000009</v>
      </c>
      <c r="I37" s="748">
        <f>SUM(I34:I36)</f>
        <v>909.10000000000014</v>
      </c>
      <c r="J37" s="743">
        <f>SUM(J34:J36)</f>
        <v>10.700000000000045</v>
      </c>
      <c r="K37" s="571" t="s">
        <v>62</v>
      </c>
      <c r="L37" s="572">
        <v>1</v>
      </c>
      <c r="M37" s="605"/>
      <c r="P37" s="16"/>
    </row>
    <row r="38" spans="1:19" s="1" customFormat="1" ht="44.25" customHeight="1" x14ac:dyDescent="0.2">
      <c r="A38" s="88" t="s">
        <v>20</v>
      </c>
      <c r="B38" s="89" t="s">
        <v>39</v>
      </c>
      <c r="C38" s="214" t="s">
        <v>39</v>
      </c>
      <c r="D38" s="905" t="s">
        <v>128</v>
      </c>
      <c r="E38" s="907" t="s">
        <v>202</v>
      </c>
      <c r="F38" s="836" t="s">
        <v>26</v>
      </c>
      <c r="G38" s="90" t="s">
        <v>45</v>
      </c>
      <c r="H38" s="169">
        <v>16</v>
      </c>
      <c r="I38" s="721">
        <v>16</v>
      </c>
      <c r="J38" s="705"/>
      <c r="K38" s="210" t="s">
        <v>132</v>
      </c>
      <c r="L38" s="573">
        <v>8</v>
      </c>
      <c r="M38" s="606"/>
    </row>
    <row r="39" spans="1:19" s="1" customFormat="1" ht="13.5" thickBot="1" x14ac:dyDescent="0.25">
      <c r="A39" s="58"/>
      <c r="B39" s="59"/>
      <c r="C39" s="215"/>
      <c r="D39" s="906"/>
      <c r="E39" s="908"/>
      <c r="F39" s="838"/>
      <c r="G39" s="574" t="s">
        <v>38</v>
      </c>
      <c r="H39" s="38">
        <f>SUM(H38:H38)</f>
        <v>16</v>
      </c>
      <c r="I39" s="719">
        <f>SUM(I38:I38)</f>
        <v>16</v>
      </c>
      <c r="J39" s="26">
        <f t="shared" ref="J39" si="0">SUM(J38:J38)</f>
        <v>0</v>
      </c>
      <c r="K39" s="575"/>
      <c r="L39" s="552"/>
      <c r="M39" s="607"/>
      <c r="S39" s="16"/>
    </row>
    <row r="40" spans="1:19" s="1" customFormat="1" ht="16.5" customHeight="1" x14ac:dyDescent="0.2">
      <c r="A40" s="88" t="s">
        <v>20</v>
      </c>
      <c r="B40" s="89" t="s">
        <v>39</v>
      </c>
      <c r="C40" s="214" t="s">
        <v>43</v>
      </c>
      <c r="D40" s="595" t="s">
        <v>187</v>
      </c>
      <c r="E40" s="1127" t="s">
        <v>65</v>
      </c>
      <c r="F40" s="672" t="s">
        <v>26</v>
      </c>
      <c r="G40" s="107" t="s">
        <v>27</v>
      </c>
      <c r="H40" s="737">
        <f>15-5.1</f>
        <v>9.9</v>
      </c>
      <c r="I40" s="749">
        <f>15-5.1</f>
        <v>9.9</v>
      </c>
      <c r="J40" s="697">
        <f>I40-H40</f>
        <v>0</v>
      </c>
      <c r="K40" s="576"/>
      <c r="L40" s="577"/>
      <c r="M40" s="1130"/>
    </row>
    <row r="41" spans="1:19" s="1" customFormat="1" ht="15.75" customHeight="1" x14ac:dyDescent="0.2">
      <c r="A41" s="212"/>
      <c r="B41" s="93"/>
      <c r="C41" s="213"/>
      <c r="D41" s="897" t="s">
        <v>64</v>
      </c>
      <c r="E41" s="1128"/>
      <c r="F41" s="673"/>
      <c r="G41" s="63"/>
      <c r="H41" s="740"/>
      <c r="I41" s="750"/>
      <c r="J41" s="578"/>
      <c r="K41" s="579" t="s">
        <v>66</v>
      </c>
      <c r="L41" s="553" t="s">
        <v>67</v>
      </c>
      <c r="M41" s="1131"/>
    </row>
    <row r="42" spans="1:19" s="1" customFormat="1" ht="52.5" customHeight="1" x14ac:dyDescent="0.2">
      <c r="A42" s="212"/>
      <c r="B42" s="93"/>
      <c r="C42" s="213"/>
      <c r="D42" s="859"/>
      <c r="E42" s="1128"/>
      <c r="F42" s="673"/>
      <c r="G42" s="63"/>
      <c r="H42" s="740"/>
      <c r="I42" s="750"/>
      <c r="J42" s="578"/>
      <c r="K42" s="345" t="s">
        <v>68</v>
      </c>
      <c r="L42" s="114" t="s">
        <v>67</v>
      </c>
      <c r="M42" s="1132"/>
      <c r="P42" s="16"/>
    </row>
    <row r="43" spans="1:19" s="1" customFormat="1" ht="42" customHeight="1" x14ac:dyDescent="0.2">
      <c r="A43" s="212"/>
      <c r="B43" s="93"/>
      <c r="C43" s="213"/>
      <c r="D43" s="897" t="s">
        <v>185</v>
      </c>
      <c r="E43" s="1128"/>
      <c r="F43" s="623" t="s">
        <v>26</v>
      </c>
      <c r="G43" s="639" t="s">
        <v>27</v>
      </c>
      <c r="H43" s="550">
        <v>9.8000000000000007</v>
      </c>
      <c r="I43" s="746">
        <v>9.8000000000000007</v>
      </c>
      <c r="J43" s="640">
        <f>I43-H43</f>
        <v>0</v>
      </c>
      <c r="K43" s="53" t="s">
        <v>186</v>
      </c>
      <c r="L43" s="118" t="s">
        <v>67</v>
      </c>
      <c r="M43" s="648"/>
      <c r="P43" s="16"/>
    </row>
    <row r="44" spans="1:19" s="1" customFormat="1" ht="17.25" customHeight="1" thickBot="1" x14ac:dyDescent="0.25">
      <c r="A44" s="212"/>
      <c r="B44" s="93"/>
      <c r="C44" s="649"/>
      <c r="D44" s="898"/>
      <c r="E44" s="1128"/>
      <c r="F44" s="328"/>
      <c r="G44" s="650" t="s">
        <v>38</v>
      </c>
      <c r="H44" s="78">
        <f t="shared" ref="H44" si="1">SUM(H40:H43)</f>
        <v>19.700000000000003</v>
      </c>
      <c r="I44" s="751">
        <f t="shared" ref="I44:J44" si="2">SUM(I40:I43)</f>
        <v>19.700000000000003</v>
      </c>
      <c r="J44" s="744">
        <f t="shared" si="2"/>
        <v>0</v>
      </c>
      <c r="K44" s="580"/>
      <c r="L44" s="434"/>
      <c r="M44" s="642"/>
      <c r="R44" s="16"/>
    </row>
    <row r="45" spans="1:19" s="1" customFormat="1" ht="16.5" customHeight="1" x14ac:dyDescent="0.2">
      <c r="A45" s="88" t="s">
        <v>20</v>
      </c>
      <c r="B45" s="89" t="s">
        <v>39</v>
      </c>
      <c r="C45" s="214" t="s">
        <v>48</v>
      </c>
      <c r="D45" s="858" t="s">
        <v>206</v>
      </c>
      <c r="E45" s="696"/>
      <c r="F45" s="672" t="s">
        <v>26</v>
      </c>
      <c r="G45" s="107" t="s">
        <v>27</v>
      </c>
      <c r="H45" s="737">
        <v>4.3</v>
      </c>
      <c r="I45" s="749">
        <v>4.3</v>
      </c>
      <c r="J45" s="698">
        <f>I45-H45</f>
        <v>0</v>
      </c>
      <c r="K45" s="141" t="s">
        <v>207</v>
      </c>
      <c r="L45" s="699" t="s">
        <v>208</v>
      </c>
      <c r="M45" s="1103"/>
      <c r="P45" s="16"/>
    </row>
    <row r="46" spans="1:19" s="1" customFormat="1" ht="16.5" customHeight="1" thickBot="1" x14ac:dyDescent="0.25">
      <c r="A46" s="58"/>
      <c r="B46" s="59"/>
      <c r="C46" s="215"/>
      <c r="D46" s="1133"/>
      <c r="E46" s="644"/>
      <c r="F46" s="358"/>
      <c r="G46" s="574" t="s">
        <v>38</v>
      </c>
      <c r="H46" s="38">
        <f>H45</f>
        <v>4.3</v>
      </c>
      <c r="I46" s="719">
        <f>SUM(I45)</f>
        <v>4.3</v>
      </c>
      <c r="J46" s="704">
        <f>SUM(J45)</f>
        <v>0</v>
      </c>
      <c r="K46" s="580"/>
      <c r="L46" s="434"/>
      <c r="M46" s="1134"/>
      <c r="R46" s="16"/>
    </row>
    <row r="47" spans="1:19" s="1" customFormat="1" ht="15.75" customHeight="1" thickBot="1" x14ac:dyDescent="0.25">
      <c r="A47" s="322" t="s">
        <v>20</v>
      </c>
      <c r="B47" s="353" t="s">
        <v>39</v>
      </c>
      <c r="C47" s="1129" t="s">
        <v>53</v>
      </c>
      <c r="D47" s="880"/>
      <c r="E47" s="880"/>
      <c r="F47" s="880"/>
      <c r="G47" s="881"/>
      <c r="H47" s="700">
        <f>H44+H39+H37+H46</f>
        <v>938.40000000000009</v>
      </c>
      <c r="I47" s="752">
        <f>I44+I39+I37+I46</f>
        <v>949.10000000000014</v>
      </c>
      <c r="J47" s="701">
        <f>J44+J39+J37+J46</f>
        <v>10.700000000000045</v>
      </c>
      <c r="K47" s="581"/>
      <c r="L47" s="208"/>
      <c r="M47" s="1104"/>
      <c r="N47" s="16"/>
    </row>
    <row r="48" spans="1:19" s="1" customFormat="1" ht="13.5" thickBot="1" x14ac:dyDescent="0.25">
      <c r="A48" s="2" t="s">
        <v>20</v>
      </c>
      <c r="B48" s="87" t="s">
        <v>43</v>
      </c>
      <c r="C48" s="882" t="s">
        <v>71</v>
      </c>
      <c r="D48" s="883"/>
      <c r="E48" s="883"/>
      <c r="F48" s="883"/>
      <c r="G48" s="883"/>
      <c r="H48" s="883"/>
      <c r="I48" s="883"/>
      <c r="J48" s="883"/>
      <c r="K48" s="883"/>
      <c r="L48" s="883"/>
      <c r="M48" s="884"/>
      <c r="N48" s="16"/>
    </row>
    <row r="49" spans="1:17" s="1" customFormat="1" ht="20.25" customHeight="1" x14ac:dyDescent="0.2">
      <c r="A49" s="869" t="s">
        <v>20</v>
      </c>
      <c r="B49" s="871" t="s">
        <v>43</v>
      </c>
      <c r="C49" s="887" t="s">
        <v>20</v>
      </c>
      <c r="D49" s="890" t="s">
        <v>129</v>
      </c>
      <c r="E49" s="1076" t="s">
        <v>72</v>
      </c>
      <c r="F49" s="877" t="s">
        <v>70</v>
      </c>
      <c r="G49" s="119" t="s">
        <v>41</v>
      </c>
      <c r="H49" s="582">
        <v>125</v>
      </c>
      <c r="I49" s="715">
        <v>125</v>
      </c>
      <c r="J49" s="122"/>
      <c r="K49" s="866" t="s">
        <v>73</v>
      </c>
      <c r="L49" s="583">
        <v>30</v>
      </c>
      <c r="M49" s="608"/>
    </row>
    <row r="50" spans="1:17" s="1" customFormat="1" ht="20.25" customHeight="1" x14ac:dyDescent="0.2">
      <c r="A50" s="885"/>
      <c r="B50" s="886"/>
      <c r="C50" s="888"/>
      <c r="D50" s="891"/>
      <c r="E50" s="1077"/>
      <c r="F50" s="893"/>
      <c r="G50" s="126" t="s">
        <v>74</v>
      </c>
      <c r="H50" s="584">
        <v>11.8</v>
      </c>
      <c r="I50" s="716">
        <v>11.8</v>
      </c>
      <c r="J50" s="129"/>
      <c r="K50" s="867"/>
      <c r="L50" s="585"/>
      <c r="M50" s="609"/>
    </row>
    <row r="51" spans="1:17" s="1" customFormat="1" ht="13.5" thickBot="1" x14ac:dyDescent="0.25">
      <c r="A51" s="870"/>
      <c r="B51" s="872"/>
      <c r="C51" s="889"/>
      <c r="D51" s="892"/>
      <c r="E51" s="1078"/>
      <c r="F51" s="878"/>
      <c r="G51" s="586" t="s">
        <v>38</v>
      </c>
      <c r="H51" s="587">
        <f>SUM(H49:H50)</f>
        <v>136.80000000000001</v>
      </c>
      <c r="I51" s="717">
        <f>SUM(I49:I50)</f>
        <v>136.80000000000001</v>
      </c>
      <c r="J51" s="135">
        <f>SUM(J49:J50)</f>
        <v>0</v>
      </c>
      <c r="K51" s="868"/>
      <c r="L51" s="588"/>
      <c r="M51" s="610"/>
      <c r="O51" s="16"/>
    </row>
    <row r="52" spans="1:17" s="1" customFormat="1" ht="28.5" customHeight="1" x14ac:dyDescent="0.2">
      <c r="A52" s="869" t="s">
        <v>20</v>
      </c>
      <c r="B52" s="871" t="s">
        <v>43</v>
      </c>
      <c r="C52" s="873" t="s">
        <v>39</v>
      </c>
      <c r="D52" s="875" t="s">
        <v>133</v>
      </c>
      <c r="E52" s="1083" t="s">
        <v>72</v>
      </c>
      <c r="F52" s="877" t="s">
        <v>70</v>
      </c>
      <c r="G52" s="139" t="s">
        <v>41</v>
      </c>
      <c r="H52" s="140">
        <v>365</v>
      </c>
      <c r="I52" s="718">
        <v>365</v>
      </c>
      <c r="J52" s="698"/>
      <c r="K52" s="141" t="s">
        <v>75</v>
      </c>
      <c r="L52" s="68"/>
      <c r="M52" s="611"/>
      <c r="N52" s="16"/>
      <c r="O52" s="16"/>
    </row>
    <row r="53" spans="1:17" s="1" customFormat="1" ht="18" customHeight="1" thickBot="1" x14ac:dyDescent="0.25">
      <c r="A53" s="870"/>
      <c r="B53" s="872"/>
      <c r="C53" s="874"/>
      <c r="D53" s="876"/>
      <c r="E53" s="1084"/>
      <c r="F53" s="878"/>
      <c r="G53" s="589" t="s">
        <v>38</v>
      </c>
      <c r="H53" s="38">
        <f>H52</f>
        <v>365</v>
      </c>
      <c r="I53" s="719">
        <f>I52</f>
        <v>365</v>
      </c>
      <c r="J53" s="704">
        <f>SUM(J52:J52)</f>
        <v>0</v>
      </c>
      <c r="K53" s="633" t="s">
        <v>76</v>
      </c>
      <c r="L53" s="634"/>
      <c r="M53" s="635"/>
    </row>
    <row r="54" spans="1:17" s="1" customFormat="1" ht="20.25" customHeight="1" x14ac:dyDescent="0.2">
      <c r="A54" s="869" t="s">
        <v>20</v>
      </c>
      <c r="B54" s="871" t="s">
        <v>43</v>
      </c>
      <c r="C54" s="873" t="s">
        <v>43</v>
      </c>
      <c r="D54" s="912" t="s">
        <v>77</v>
      </c>
      <c r="E54" s="1083" t="s">
        <v>72</v>
      </c>
      <c r="F54" s="877" t="s">
        <v>70</v>
      </c>
      <c r="G54" s="142" t="s">
        <v>74</v>
      </c>
      <c r="H54" s="140">
        <v>3107.7</v>
      </c>
      <c r="I54" s="718">
        <v>3107.7</v>
      </c>
      <c r="J54" s="698"/>
      <c r="K54" s="909" t="s">
        <v>78</v>
      </c>
      <c r="L54" s="590">
        <v>60</v>
      </c>
      <c r="M54" s="612"/>
      <c r="N54" s="16"/>
      <c r="O54" s="16"/>
      <c r="Q54" s="16"/>
    </row>
    <row r="55" spans="1:17" s="1" customFormat="1" ht="13.5" thickBot="1" x14ac:dyDescent="0.25">
      <c r="A55" s="870"/>
      <c r="B55" s="872"/>
      <c r="C55" s="874"/>
      <c r="D55" s="914"/>
      <c r="E55" s="1084"/>
      <c r="F55" s="878"/>
      <c r="G55" s="589" t="s">
        <v>38</v>
      </c>
      <c r="H55" s="38">
        <f>SUM(H54:H54)</f>
        <v>3107.7</v>
      </c>
      <c r="I55" s="719">
        <f>SUM(I54:I54)</f>
        <v>3107.7</v>
      </c>
      <c r="J55" s="704"/>
      <c r="K55" s="910"/>
      <c r="L55" s="659"/>
      <c r="M55" s="618"/>
    </row>
    <row r="56" spans="1:17" s="1" customFormat="1" ht="18" customHeight="1" x14ac:dyDescent="0.2">
      <c r="A56" s="869" t="s">
        <v>20</v>
      </c>
      <c r="B56" s="871" t="s">
        <v>43</v>
      </c>
      <c r="C56" s="873" t="s">
        <v>48</v>
      </c>
      <c r="D56" s="912" t="s">
        <v>79</v>
      </c>
      <c r="E56" s="1083" t="s">
        <v>72</v>
      </c>
      <c r="F56" s="877" t="s">
        <v>70</v>
      </c>
      <c r="G56" s="139" t="s">
        <v>27</v>
      </c>
      <c r="H56" s="140">
        <v>3.5</v>
      </c>
      <c r="I56" s="718">
        <v>3.5</v>
      </c>
      <c r="J56" s="705"/>
      <c r="K56" s="679" t="s">
        <v>80</v>
      </c>
      <c r="L56" s="146">
        <v>1</v>
      </c>
      <c r="M56" s="613"/>
    </row>
    <row r="57" spans="1:17" s="1" customFormat="1" ht="18" customHeight="1" x14ac:dyDescent="0.2">
      <c r="A57" s="885"/>
      <c r="B57" s="886"/>
      <c r="C57" s="911"/>
      <c r="D57" s="913"/>
      <c r="E57" s="1085"/>
      <c r="F57" s="915"/>
      <c r="G57" s="147" t="s">
        <v>74</v>
      </c>
      <c r="H57" s="539"/>
      <c r="I57" s="720"/>
      <c r="J57" s="706"/>
      <c r="K57" s="680" t="s">
        <v>81</v>
      </c>
      <c r="L57" s="150"/>
      <c r="M57" s="614"/>
      <c r="N57" s="16"/>
    </row>
    <row r="58" spans="1:17" s="1" customFormat="1" ht="18" customHeight="1" thickBot="1" x14ac:dyDescent="0.25">
      <c r="A58" s="870"/>
      <c r="B58" s="872"/>
      <c r="C58" s="874"/>
      <c r="D58" s="914"/>
      <c r="E58" s="1084"/>
      <c r="F58" s="878"/>
      <c r="G58" s="589" t="s">
        <v>38</v>
      </c>
      <c r="H58" s="38">
        <f>SUM(H56:H57)</f>
        <v>3.5</v>
      </c>
      <c r="I58" s="719">
        <f>SUM(I56:I57)</f>
        <v>3.5</v>
      </c>
      <c r="J58" s="704">
        <f>SUM(J56:J57)</f>
        <v>0</v>
      </c>
      <c r="K58" s="681" t="s">
        <v>82</v>
      </c>
      <c r="L58" s="646"/>
      <c r="M58" s="647"/>
    </row>
    <row r="59" spans="1:17" s="1" customFormat="1" ht="18.75" customHeight="1" x14ac:dyDescent="0.2">
      <c r="A59" s="869" t="s">
        <v>20</v>
      </c>
      <c r="B59" s="871" t="s">
        <v>43</v>
      </c>
      <c r="C59" s="873" t="s">
        <v>83</v>
      </c>
      <c r="D59" s="875" t="s">
        <v>84</v>
      </c>
      <c r="E59" s="1083" t="s">
        <v>72</v>
      </c>
      <c r="F59" s="877" t="s">
        <v>70</v>
      </c>
      <c r="G59" s="153" t="s">
        <v>41</v>
      </c>
      <c r="H59" s="169">
        <v>123</v>
      </c>
      <c r="I59" s="721">
        <v>123</v>
      </c>
      <c r="J59" s="705"/>
      <c r="K59" s="154" t="s">
        <v>85</v>
      </c>
      <c r="L59" s="43">
        <v>1</v>
      </c>
      <c r="M59" s="600"/>
      <c r="O59" s="16"/>
    </row>
    <row r="60" spans="1:17" s="1" customFormat="1" ht="26.25" customHeight="1" x14ac:dyDescent="0.2">
      <c r="A60" s="885"/>
      <c r="B60" s="886"/>
      <c r="C60" s="911"/>
      <c r="D60" s="921"/>
      <c r="E60" s="1085"/>
      <c r="F60" s="915"/>
      <c r="G60" s="155" t="s">
        <v>74</v>
      </c>
      <c r="H60" s="37"/>
      <c r="I60" s="722"/>
      <c r="J60" s="707"/>
      <c r="K60" s="695" t="s">
        <v>86</v>
      </c>
      <c r="L60" s="55"/>
      <c r="M60" s="604"/>
    </row>
    <row r="61" spans="1:17" s="1" customFormat="1" ht="18.75" customHeight="1" thickBot="1" x14ac:dyDescent="0.25">
      <c r="A61" s="870"/>
      <c r="B61" s="872"/>
      <c r="C61" s="874"/>
      <c r="D61" s="876"/>
      <c r="E61" s="1084"/>
      <c r="F61" s="878"/>
      <c r="G61" s="589" t="s">
        <v>38</v>
      </c>
      <c r="H61" s="587">
        <f t="shared" ref="H61" si="3">H59</f>
        <v>123</v>
      </c>
      <c r="I61" s="717">
        <f t="shared" ref="I61" si="4">I59</f>
        <v>123</v>
      </c>
      <c r="J61" s="708"/>
      <c r="K61" s="160"/>
      <c r="L61" s="49"/>
      <c r="M61" s="616"/>
    </row>
    <row r="62" spans="1:17" s="1" customFormat="1" ht="42.75" customHeight="1" x14ac:dyDescent="0.2">
      <c r="A62" s="869" t="s">
        <v>20</v>
      </c>
      <c r="B62" s="871" t="s">
        <v>43</v>
      </c>
      <c r="C62" s="873" t="s">
        <v>87</v>
      </c>
      <c r="D62" s="912" t="s">
        <v>130</v>
      </c>
      <c r="E62" s="1083" t="s">
        <v>72</v>
      </c>
      <c r="F62" s="877" t="s">
        <v>70</v>
      </c>
      <c r="G62" s="139" t="s">
        <v>27</v>
      </c>
      <c r="H62" s="140">
        <v>40</v>
      </c>
      <c r="I62" s="718">
        <v>40</v>
      </c>
      <c r="J62" s="698"/>
      <c r="K62" s="678" t="s">
        <v>88</v>
      </c>
      <c r="L62" s="68">
        <v>1</v>
      </c>
      <c r="M62" s="612"/>
      <c r="O62" s="16"/>
    </row>
    <row r="63" spans="1:17" s="1" customFormat="1" ht="13.5" thickBot="1" x14ac:dyDescent="0.25">
      <c r="A63" s="870"/>
      <c r="B63" s="872"/>
      <c r="C63" s="874"/>
      <c r="D63" s="914"/>
      <c r="E63" s="1084"/>
      <c r="F63" s="878"/>
      <c r="G63" s="589" t="s">
        <v>38</v>
      </c>
      <c r="H63" s="38">
        <f>SUM(H62:H62)</f>
        <v>40</v>
      </c>
      <c r="I63" s="719">
        <f>SUM(I62:I62)</f>
        <v>40</v>
      </c>
      <c r="J63" s="704"/>
      <c r="K63" s="162"/>
      <c r="L63" s="62"/>
      <c r="M63" s="617"/>
    </row>
    <row r="64" spans="1:17" s="1" customFormat="1" ht="14.25" customHeight="1" x14ac:dyDescent="0.2">
      <c r="A64" s="869" t="s">
        <v>20</v>
      </c>
      <c r="B64" s="871" t="s">
        <v>43</v>
      </c>
      <c r="C64" s="873" t="s">
        <v>25</v>
      </c>
      <c r="D64" s="912" t="s">
        <v>89</v>
      </c>
      <c r="E64" s="1083" t="s">
        <v>72</v>
      </c>
      <c r="F64" s="877" t="s">
        <v>26</v>
      </c>
      <c r="G64" s="142" t="s">
        <v>74</v>
      </c>
      <c r="H64" s="140">
        <v>304</v>
      </c>
      <c r="I64" s="718">
        <v>304</v>
      </c>
      <c r="J64" s="698"/>
      <c r="K64" s="924" t="s">
        <v>90</v>
      </c>
      <c r="L64" s="68">
        <v>1</v>
      </c>
      <c r="M64" s="641"/>
      <c r="N64" s="16"/>
      <c r="O64" s="16"/>
    </row>
    <row r="65" spans="1:17" s="1" customFormat="1" ht="14.25" customHeight="1" x14ac:dyDescent="0.2">
      <c r="A65" s="885"/>
      <c r="B65" s="886"/>
      <c r="C65" s="911"/>
      <c r="D65" s="913"/>
      <c r="E65" s="1085"/>
      <c r="F65" s="915"/>
      <c r="G65" s="165" t="s">
        <v>27</v>
      </c>
      <c r="H65" s="591">
        <v>130</v>
      </c>
      <c r="I65" s="723">
        <v>130</v>
      </c>
      <c r="J65" s="709"/>
      <c r="K65" s="925"/>
      <c r="L65" s="34"/>
      <c r="M65" s="642"/>
      <c r="O65" s="16"/>
    </row>
    <row r="66" spans="1:17" s="1" customFormat="1" ht="15.75" customHeight="1" thickBot="1" x14ac:dyDescent="0.25">
      <c r="A66" s="870"/>
      <c r="B66" s="872"/>
      <c r="C66" s="874"/>
      <c r="D66" s="914"/>
      <c r="E66" s="1084"/>
      <c r="F66" s="878"/>
      <c r="G66" s="589" t="s">
        <v>38</v>
      </c>
      <c r="H66" s="38">
        <f>SUM(H64:H65)</f>
        <v>434</v>
      </c>
      <c r="I66" s="719">
        <f>SUM(I64:I65)</f>
        <v>434</v>
      </c>
      <c r="J66" s="704"/>
      <c r="K66" s="926"/>
      <c r="L66" s="62"/>
      <c r="M66" s="643"/>
      <c r="Q66" s="16"/>
    </row>
    <row r="67" spans="1:17" s="1" customFormat="1" ht="30" customHeight="1" x14ac:dyDescent="0.2">
      <c r="A67" s="869" t="s">
        <v>20</v>
      </c>
      <c r="B67" s="871" t="s">
        <v>43</v>
      </c>
      <c r="C67" s="873" t="s">
        <v>91</v>
      </c>
      <c r="D67" s="912" t="s">
        <v>92</v>
      </c>
      <c r="E67" s="1083" t="s">
        <v>72</v>
      </c>
      <c r="F67" s="877" t="s">
        <v>67</v>
      </c>
      <c r="G67" s="167" t="s">
        <v>27</v>
      </c>
      <c r="H67" s="64">
        <f>78.2+0.8</f>
        <v>79</v>
      </c>
      <c r="I67" s="724">
        <f>78.2+0.8</f>
        <v>79</v>
      </c>
      <c r="J67" s="698">
        <f>I67-H67</f>
        <v>0</v>
      </c>
      <c r="K67" s="924" t="s">
        <v>93</v>
      </c>
      <c r="L67" s="68">
        <v>1</v>
      </c>
      <c r="M67" s="1103"/>
      <c r="N67" s="16"/>
      <c r="O67" s="16"/>
    </row>
    <row r="68" spans="1:17" s="1" customFormat="1" ht="17.25" customHeight="1" thickBot="1" x14ac:dyDescent="0.25">
      <c r="A68" s="870"/>
      <c r="B68" s="872"/>
      <c r="C68" s="874"/>
      <c r="D68" s="914"/>
      <c r="E68" s="1084"/>
      <c r="F68" s="878"/>
      <c r="G68" s="589" t="s">
        <v>38</v>
      </c>
      <c r="H68" s="38">
        <f>SUM(H67:H67)</f>
        <v>79</v>
      </c>
      <c r="I68" s="719">
        <f>SUM(I67:I67)</f>
        <v>79</v>
      </c>
      <c r="J68" s="704">
        <f>SUM(J67)</f>
        <v>0</v>
      </c>
      <c r="K68" s="926"/>
      <c r="L68" s="62"/>
      <c r="M68" s="1104"/>
    </row>
    <row r="69" spans="1:17" s="1" customFormat="1" ht="28.5" customHeight="1" x14ac:dyDescent="0.2">
      <c r="A69" s="869" t="s">
        <v>20</v>
      </c>
      <c r="B69" s="871" t="s">
        <v>43</v>
      </c>
      <c r="C69" s="873" t="s">
        <v>94</v>
      </c>
      <c r="D69" s="912" t="s">
        <v>95</v>
      </c>
      <c r="E69" s="1083" t="s">
        <v>72</v>
      </c>
      <c r="F69" s="877" t="s">
        <v>70</v>
      </c>
      <c r="G69" s="168" t="s">
        <v>27</v>
      </c>
      <c r="H69" s="140"/>
      <c r="I69" s="718"/>
      <c r="J69" s="705"/>
      <c r="K69" s="679" t="s">
        <v>88</v>
      </c>
      <c r="L69" s="171">
        <v>1</v>
      </c>
      <c r="M69" s="613"/>
      <c r="O69" s="16"/>
    </row>
    <row r="70" spans="1:17" s="1" customFormat="1" ht="17.25" customHeight="1" x14ac:dyDescent="0.2">
      <c r="A70" s="885"/>
      <c r="B70" s="886"/>
      <c r="C70" s="911"/>
      <c r="D70" s="913"/>
      <c r="E70" s="1085"/>
      <c r="F70" s="915"/>
      <c r="G70" s="168" t="s">
        <v>74</v>
      </c>
      <c r="H70" s="591">
        <v>20</v>
      </c>
      <c r="I70" s="723">
        <v>20</v>
      </c>
      <c r="J70" s="710"/>
      <c r="K70" s="690" t="s">
        <v>85</v>
      </c>
      <c r="L70" s="73"/>
      <c r="M70" s="615"/>
      <c r="O70" s="16"/>
    </row>
    <row r="71" spans="1:17" s="1" customFormat="1" ht="13.5" thickBot="1" x14ac:dyDescent="0.25">
      <c r="A71" s="870"/>
      <c r="B71" s="872"/>
      <c r="C71" s="874"/>
      <c r="D71" s="914"/>
      <c r="E71" s="1084"/>
      <c r="F71" s="878"/>
      <c r="G71" s="589" t="s">
        <v>38</v>
      </c>
      <c r="H71" s="38">
        <f>SUM(H69:H70)</f>
        <v>20</v>
      </c>
      <c r="I71" s="719">
        <f>SUM(I69:I70)</f>
        <v>20</v>
      </c>
      <c r="J71" s="704">
        <f>SUM(J69:J70)</f>
        <v>0</v>
      </c>
      <c r="K71" s="162"/>
      <c r="L71" s="62"/>
      <c r="M71" s="617"/>
      <c r="O71" s="16"/>
    </row>
    <row r="72" spans="1:17" s="1" customFormat="1" ht="15" customHeight="1" x14ac:dyDescent="0.2">
      <c r="A72" s="869" t="s">
        <v>20</v>
      </c>
      <c r="B72" s="871" t="s">
        <v>43</v>
      </c>
      <c r="C72" s="873" t="s">
        <v>96</v>
      </c>
      <c r="D72" s="875" t="s">
        <v>131</v>
      </c>
      <c r="E72" s="1087" t="s">
        <v>72</v>
      </c>
      <c r="F72" s="877" t="s">
        <v>70</v>
      </c>
      <c r="G72" s="167" t="s">
        <v>27</v>
      </c>
      <c r="H72" s="64">
        <v>24</v>
      </c>
      <c r="I72" s="724">
        <v>24</v>
      </c>
      <c r="J72" s="711"/>
      <c r="K72" s="929" t="s">
        <v>97</v>
      </c>
      <c r="L72" s="68">
        <v>100</v>
      </c>
      <c r="M72" s="619"/>
      <c r="N72" s="16"/>
      <c r="O72" s="16"/>
    </row>
    <row r="73" spans="1:17" s="1" customFormat="1" ht="15" customHeight="1" x14ac:dyDescent="0.2">
      <c r="A73" s="885"/>
      <c r="B73" s="886"/>
      <c r="C73" s="911"/>
      <c r="D73" s="921"/>
      <c r="E73" s="1088"/>
      <c r="F73" s="915"/>
      <c r="G73" s="175" t="s">
        <v>74</v>
      </c>
      <c r="H73" s="591"/>
      <c r="I73" s="723"/>
      <c r="J73" s="709"/>
      <c r="K73" s="930"/>
      <c r="L73" s="34"/>
      <c r="M73" s="620"/>
      <c r="O73" s="16"/>
    </row>
    <row r="74" spans="1:17" s="1" customFormat="1" ht="13.5" thickBot="1" x14ac:dyDescent="0.25">
      <c r="A74" s="870"/>
      <c r="B74" s="872"/>
      <c r="C74" s="874"/>
      <c r="D74" s="876"/>
      <c r="E74" s="1089"/>
      <c r="F74" s="878"/>
      <c r="G74" s="589" t="s">
        <v>38</v>
      </c>
      <c r="H74" s="38">
        <f>SUM(H72:H73)</f>
        <v>24</v>
      </c>
      <c r="I74" s="719">
        <f>SUM(I72:I73)</f>
        <v>24</v>
      </c>
      <c r="J74" s="704"/>
      <c r="K74" s="931"/>
      <c r="L74" s="62"/>
      <c r="M74" s="621"/>
    </row>
    <row r="75" spans="1:17" s="1" customFormat="1" ht="12.75" x14ac:dyDescent="0.2">
      <c r="A75" s="869" t="s">
        <v>20</v>
      </c>
      <c r="B75" s="871" t="s">
        <v>43</v>
      </c>
      <c r="C75" s="873" t="s">
        <v>98</v>
      </c>
      <c r="D75" s="932" t="s">
        <v>99</v>
      </c>
      <c r="E75" s="1083"/>
      <c r="F75" s="877" t="s">
        <v>70</v>
      </c>
      <c r="G75" s="155" t="s">
        <v>27</v>
      </c>
      <c r="H75" s="37">
        <v>25</v>
      </c>
      <c r="I75" s="722">
        <v>25</v>
      </c>
      <c r="J75" s="705"/>
      <c r="K75" s="909" t="s">
        <v>100</v>
      </c>
      <c r="L75" s="1105">
        <v>100</v>
      </c>
      <c r="M75" s="612"/>
    </row>
    <row r="76" spans="1:17" s="1" customFormat="1" ht="13.5" thickBot="1" x14ac:dyDescent="0.25">
      <c r="A76" s="870"/>
      <c r="B76" s="872"/>
      <c r="C76" s="874"/>
      <c r="D76" s="933"/>
      <c r="E76" s="1084"/>
      <c r="F76" s="878"/>
      <c r="G76" s="589" t="s">
        <v>38</v>
      </c>
      <c r="H76" s="587">
        <f>SUM(H75:H75)</f>
        <v>25</v>
      </c>
      <c r="I76" s="717">
        <f>SUM(I75:I75)</f>
        <v>25</v>
      </c>
      <c r="J76" s="135"/>
      <c r="K76" s="910"/>
      <c r="L76" s="1106"/>
      <c r="M76" s="618"/>
    </row>
    <row r="77" spans="1:17" s="1" customFormat="1" ht="14.25" customHeight="1" x14ac:dyDescent="0.2">
      <c r="A77" s="869" t="s">
        <v>20</v>
      </c>
      <c r="B77" s="871" t="s">
        <v>43</v>
      </c>
      <c r="C77" s="873" t="s">
        <v>123</v>
      </c>
      <c r="D77" s="932" t="s">
        <v>204</v>
      </c>
      <c r="E77" s="1083"/>
      <c r="F77" s="877" t="s">
        <v>205</v>
      </c>
      <c r="G77" s="155" t="s">
        <v>27</v>
      </c>
      <c r="H77" s="37">
        <v>50</v>
      </c>
      <c r="I77" s="722">
        <v>50</v>
      </c>
      <c r="J77" s="705">
        <f>I77-H77</f>
        <v>0</v>
      </c>
      <c r="K77" s="909" t="s">
        <v>209</v>
      </c>
      <c r="L77" s="1105">
        <v>900</v>
      </c>
      <c r="M77" s="1103"/>
    </row>
    <row r="78" spans="1:17" s="1" customFormat="1" ht="14.25" customHeight="1" thickBot="1" x14ac:dyDescent="0.25">
      <c r="A78" s="870"/>
      <c r="B78" s="872"/>
      <c r="C78" s="874"/>
      <c r="D78" s="933"/>
      <c r="E78" s="1084"/>
      <c r="F78" s="878"/>
      <c r="G78" s="589" t="s">
        <v>38</v>
      </c>
      <c r="H78" s="587">
        <f>SUM(H77:H77)</f>
        <v>50</v>
      </c>
      <c r="I78" s="717">
        <f>SUM(I77:I77)</f>
        <v>50</v>
      </c>
      <c r="J78" s="135">
        <f>SUM(J77)</f>
        <v>0</v>
      </c>
      <c r="K78" s="910"/>
      <c r="L78" s="1106"/>
      <c r="M78" s="1104"/>
    </row>
    <row r="79" spans="1:17" s="1" customFormat="1" ht="13.5" thickBot="1" x14ac:dyDescent="0.25">
      <c r="A79" s="179" t="s">
        <v>20</v>
      </c>
      <c r="B79" s="82" t="s">
        <v>43</v>
      </c>
      <c r="C79" s="935" t="s">
        <v>53</v>
      </c>
      <c r="D79" s="936"/>
      <c r="E79" s="936"/>
      <c r="F79" s="936"/>
      <c r="G79" s="937"/>
      <c r="H79" s="180">
        <f>H76+H74+H68+H66+H63+H71+H61+H58+H55+H53+H51+H78</f>
        <v>4408</v>
      </c>
      <c r="I79" s="725">
        <f t="shared" ref="I79:J79" si="5">I76+I74+I68+I66+I63+I71+I61+I58+I55+I53+I51+I78</f>
        <v>4408</v>
      </c>
      <c r="J79" s="712">
        <f t="shared" si="5"/>
        <v>0</v>
      </c>
      <c r="K79" s="938"/>
      <c r="L79" s="939"/>
      <c r="M79" s="940"/>
    </row>
    <row r="80" spans="1:17" s="1" customFormat="1" ht="13.5" thickBot="1" x14ac:dyDescent="0.25">
      <c r="A80" s="688" t="s">
        <v>20</v>
      </c>
      <c r="B80" s="943" t="s">
        <v>103</v>
      </c>
      <c r="C80" s="944"/>
      <c r="D80" s="944"/>
      <c r="E80" s="944"/>
      <c r="F80" s="944"/>
      <c r="G80" s="945"/>
      <c r="H80" s="181">
        <f>H79+H47+H32</f>
        <v>6022</v>
      </c>
      <c r="I80" s="726">
        <f>I79+I47+I32</f>
        <v>6040.3</v>
      </c>
      <c r="J80" s="713">
        <f>J79+J47+J32</f>
        <v>18.300000000000061</v>
      </c>
      <c r="K80" s="946"/>
      <c r="L80" s="947"/>
      <c r="M80" s="948"/>
    </row>
    <row r="81" spans="1:13" s="1" customFormat="1" ht="13.5" thickBot="1" x14ac:dyDescent="0.25">
      <c r="A81" s="182" t="s">
        <v>104</v>
      </c>
      <c r="B81" s="949" t="s">
        <v>105</v>
      </c>
      <c r="C81" s="950"/>
      <c r="D81" s="950"/>
      <c r="E81" s="950"/>
      <c r="F81" s="950"/>
      <c r="G81" s="951"/>
      <c r="H81" s="183">
        <f t="shared" ref="H81" si="6">H80</f>
        <v>6022</v>
      </c>
      <c r="I81" s="727">
        <f t="shared" ref="I81:J81" si="7">I80</f>
        <v>6040.3</v>
      </c>
      <c r="J81" s="714">
        <f t="shared" si="7"/>
        <v>18.300000000000061</v>
      </c>
      <c r="K81" s="952"/>
      <c r="L81" s="953"/>
      <c r="M81" s="954"/>
    </row>
    <row r="82" spans="1:13" s="1" customFormat="1" ht="23.25" customHeight="1" thickBot="1" x14ac:dyDescent="0.25">
      <c r="A82" s="184"/>
      <c r="B82" s="964" t="s">
        <v>106</v>
      </c>
      <c r="C82" s="964"/>
      <c r="D82" s="964"/>
      <c r="E82" s="964"/>
      <c r="F82" s="964"/>
      <c r="G82" s="964"/>
      <c r="H82" s="964"/>
      <c r="I82" s="964"/>
      <c r="J82" s="964"/>
      <c r="K82" s="185"/>
      <c r="L82" s="185"/>
      <c r="M82" s="185"/>
    </row>
    <row r="83" spans="1:13" s="1" customFormat="1" ht="80.25" x14ac:dyDescent="0.2">
      <c r="A83" s="186"/>
      <c r="B83" s="965" t="s">
        <v>107</v>
      </c>
      <c r="C83" s="966"/>
      <c r="D83" s="966"/>
      <c r="E83" s="966"/>
      <c r="F83" s="966"/>
      <c r="G83" s="967"/>
      <c r="H83" s="592" t="s">
        <v>108</v>
      </c>
      <c r="I83" s="771" t="s">
        <v>199</v>
      </c>
      <c r="J83" s="593" t="s">
        <v>197</v>
      </c>
      <c r="K83" s="684"/>
      <c r="L83" s="684"/>
      <c r="M83" s="684"/>
    </row>
    <row r="84" spans="1:13" s="1" customFormat="1" ht="12.75" x14ac:dyDescent="0.2">
      <c r="A84" s="186"/>
      <c r="B84" s="969" t="s">
        <v>111</v>
      </c>
      <c r="C84" s="970"/>
      <c r="D84" s="970"/>
      <c r="E84" s="970"/>
      <c r="F84" s="970"/>
      <c r="G84" s="971"/>
      <c r="H84" s="731">
        <f>SUM(H85:H90)</f>
        <v>2536.6999999999998</v>
      </c>
      <c r="I84" s="734">
        <f>SUM(I85:I90)</f>
        <v>2555</v>
      </c>
      <c r="J84" s="728">
        <f>SUM(J85:J90)</f>
        <v>18.300000000000061</v>
      </c>
      <c r="K84" s="685"/>
      <c r="L84" s="685"/>
      <c r="M84" s="685"/>
    </row>
    <row r="85" spans="1:13" s="1" customFormat="1" ht="12.75" x14ac:dyDescent="0.2">
      <c r="A85" s="186"/>
      <c r="B85" s="957" t="s">
        <v>112</v>
      </c>
      <c r="C85" s="958"/>
      <c r="D85" s="958"/>
      <c r="E85" s="958"/>
      <c r="F85" s="958"/>
      <c r="G85" s="959"/>
      <c r="H85" s="732">
        <f>SUMIF(G13:G77,"sb",H13:H77)</f>
        <v>393.1</v>
      </c>
      <c r="I85" s="735">
        <f>SUMIF(G13:G77,"SB",I13:I77)</f>
        <v>393.1</v>
      </c>
      <c r="J85" s="729">
        <f>SUMIF(G13:G77,G13,J13:J77)</f>
        <v>0</v>
      </c>
      <c r="K85" s="683"/>
      <c r="L85" s="683"/>
      <c r="M85" s="683"/>
    </row>
    <row r="86" spans="1:13" s="1" customFormat="1" ht="28.5" customHeight="1" x14ac:dyDescent="0.2">
      <c r="A86" s="186"/>
      <c r="B86" s="961" t="s">
        <v>113</v>
      </c>
      <c r="C86" s="962"/>
      <c r="D86" s="962"/>
      <c r="E86" s="962"/>
      <c r="F86" s="962"/>
      <c r="G86" s="963"/>
      <c r="H86" s="732">
        <f>SUMIF(G13:G75,G14,H13:H75)</f>
        <v>96.2</v>
      </c>
      <c r="I86" s="735">
        <f>SUMIF(G13:G75,G14,I13:I75)</f>
        <v>96.2</v>
      </c>
      <c r="J86" s="729">
        <f>SUMIF(G13:G75,G14,J13:J75)</f>
        <v>0</v>
      </c>
      <c r="K86" s="683"/>
      <c r="L86" s="683"/>
      <c r="M86" s="683"/>
    </row>
    <row r="87" spans="1:13" s="1" customFormat="1" ht="28.5" customHeight="1" x14ac:dyDescent="0.2">
      <c r="A87" s="186"/>
      <c r="B87" s="961" t="s">
        <v>178</v>
      </c>
      <c r="C87" s="962"/>
      <c r="D87" s="962"/>
      <c r="E87" s="962"/>
      <c r="F87" s="962"/>
      <c r="G87" s="963"/>
      <c r="H87" s="732">
        <f>SUMIF(G13:G75,"SB(AAL)",H13:H75)</f>
        <v>70</v>
      </c>
      <c r="I87" s="735">
        <f>SUMIF(G13:G75,"SB(AAL)",I13:I75)</f>
        <v>70</v>
      </c>
      <c r="J87" s="729">
        <f>SUMIF(G13:G75,"SB(AAL)",J13:J75)</f>
        <v>0</v>
      </c>
      <c r="K87" s="683"/>
      <c r="L87" s="683"/>
      <c r="M87" s="683"/>
    </row>
    <row r="88" spans="1:13" s="1" customFormat="1" ht="12.75" x14ac:dyDescent="0.2">
      <c r="A88" s="186"/>
      <c r="B88" s="957" t="s">
        <v>114</v>
      </c>
      <c r="C88" s="958"/>
      <c r="D88" s="958"/>
      <c r="E88" s="958"/>
      <c r="F88" s="958"/>
      <c r="G88" s="959"/>
      <c r="H88" s="732">
        <f>SUMIF(G13:G75,"sb(sp)",H13:H75)</f>
        <v>18.8</v>
      </c>
      <c r="I88" s="735">
        <f>SUMIF(G13:G75,"sb(sp)",I13:I75)</f>
        <v>19.2</v>
      </c>
      <c r="J88" s="729">
        <f>SUMIF(G13:G75,"sb(sp)",J13:J75)</f>
        <v>0.39999999999999991</v>
      </c>
      <c r="K88" s="683"/>
      <c r="L88" s="683"/>
      <c r="M88" s="683"/>
    </row>
    <row r="89" spans="1:13" s="1" customFormat="1" ht="27.75" customHeight="1" x14ac:dyDescent="0.2">
      <c r="A89" s="186"/>
      <c r="B89" s="961" t="s">
        <v>183</v>
      </c>
      <c r="C89" s="962"/>
      <c r="D89" s="962"/>
      <c r="E89" s="962"/>
      <c r="F89" s="962"/>
      <c r="G89" s="963"/>
      <c r="H89" s="732">
        <f>SUMIF(G13:G75,"SB(SPL)",H13:H75)</f>
        <v>0.4</v>
      </c>
      <c r="I89" s="735">
        <f>SUMIF(G13:G75,"SB(SPL)",I13:I75)</f>
        <v>0.4</v>
      </c>
      <c r="J89" s="729">
        <f>SUMIF(G13:G75,"SB(SPL)",J13:J75)</f>
        <v>0</v>
      </c>
      <c r="K89" s="683"/>
      <c r="L89" s="683"/>
      <c r="M89" s="683"/>
    </row>
    <row r="90" spans="1:13" s="1" customFormat="1" ht="12.75" x14ac:dyDescent="0.2">
      <c r="A90" s="186"/>
      <c r="B90" s="957" t="s">
        <v>115</v>
      </c>
      <c r="C90" s="958"/>
      <c r="D90" s="958"/>
      <c r="E90" s="958"/>
      <c r="F90" s="958"/>
      <c r="G90" s="959"/>
      <c r="H90" s="732">
        <f>SUMIF(G13:G75,"sb(vb)",H13:H75)</f>
        <v>1958.2</v>
      </c>
      <c r="I90" s="735">
        <f>SUMIF(G13:G75,G34,I13:I75)</f>
        <v>1976.1000000000001</v>
      </c>
      <c r="J90" s="729">
        <f>SUMIF(G13:G75,G34,J13:J75)</f>
        <v>17.900000000000063</v>
      </c>
      <c r="K90" s="683"/>
      <c r="L90" s="683"/>
      <c r="M90" s="683"/>
    </row>
    <row r="91" spans="1:13" s="1" customFormat="1" ht="12.75" x14ac:dyDescent="0.2">
      <c r="A91" s="186"/>
      <c r="B91" s="969" t="s">
        <v>116</v>
      </c>
      <c r="C91" s="970"/>
      <c r="D91" s="970"/>
      <c r="E91" s="970"/>
      <c r="F91" s="970"/>
      <c r="G91" s="971"/>
      <c r="H91" s="731">
        <f>SUM(H92:H94)</f>
        <v>3485.2999999999997</v>
      </c>
      <c r="I91" s="734">
        <f>SUM(I92:I94)</f>
        <v>3485.2999999999997</v>
      </c>
      <c r="J91" s="728">
        <f>SUM(J92:J94)</f>
        <v>0</v>
      </c>
      <c r="K91" s="685"/>
      <c r="L91" s="685"/>
      <c r="M91" s="685"/>
    </row>
    <row r="92" spans="1:13" s="195" customFormat="1" ht="12.75" x14ac:dyDescent="0.2">
      <c r="A92" s="191"/>
      <c r="B92" s="976" t="s">
        <v>117</v>
      </c>
      <c r="C92" s="977"/>
      <c r="D92" s="977"/>
      <c r="E92" s="977"/>
      <c r="F92" s="977"/>
      <c r="G92" s="978"/>
      <c r="H92" s="733">
        <f>SUMIF(G13:G75,"psdf",H13:H75)</f>
        <v>1.1000000000000001</v>
      </c>
      <c r="I92" s="736">
        <f>SUMIF(G13:G75,"PSDF",I13:I75)</f>
        <v>1.1000000000000001</v>
      </c>
      <c r="J92" s="730">
        <f>SUMIF(G13:G75,"PSDF",J13:J75)</f>
        <v>0</v>
      </c>
      <c r="K92" s="193"/>
      <c r="L92" s="193"/>
      <c r="M92" s="193"/>
    </row>
    <row r="93" spans="1:13" s="1" customFormat="1" ht="12.75" x14ac:dyDescent="0.2">
      <c r="A93" s="186"/>
      <c r="B93" s="1107" t="s">
        <v>200</v>
      </c>
      <c r="C93" s="1108"/>
      <c r="D93" s="1108"/>
      <c r="E93" s="1108"/>
      <c r="F93" s="1108"/>
      <c r="G93" s="1109"/>
      <c r="H93" s="732">
        <f>SUMIF(G13:G75,"lrvb",H13:H75)</f>
        <v>6.1</v>
      </c>
      <c r="I93" s="735">
        <f>SUMIF(G13:G75,"lrvb",I13:I75)</f>
        <v>6.1</v>
      </c>
      <c r="J93" s="729">
        <f>SUMIF(G13:G75,"lrvb",J13:J75)</f>
        <v>0</v>
      </c>
      <c r="K93" s="683"/>
      <c r="L93" s="683"/>
      <c r="M93" s="683"/>
    </row>
    <row r="94" spans="1:13" s="1" customFormat="1" ht="12.75" x14ac:dyDescent="0.2">
      <c r="A94" s="186"/>
      <c r="B94" s="957" t="s">
        <v>119</v>
      </c>
      <c r="C94" s="958"/>
      <c r="D94" s="958"/>
      <c r="E94" s="958"/>
      <c r="F94" s="958"/>
      <c r="G94" s="959"/>
      <c r="H94" s="732">
        <f>SUMIF(G13:G75,"kt",H13:H75)</f>
        <v>3478.1</v>
      </c>
      <c r="I94" s="735">
        <f>SUMIF(G13:G75,"kt",I13:I75)</f>
        <v>3478.1</v>
      </c>
      <c r="J94" s="729">
        <f>SUMIF(G13:G75,"kt",J13:J75)</f>
        <v>0</v>
      </c>
      <c r="K94" s="683"/>
      <c r="L94" s="683"/>
      <c r="M94" s="683"/>
    </row>
    <row r="95" spans="1:13" s="1" customFormat="1" ht="13.5" thickBot="1" x14ac:dyDescent="0.25">
      <c r="A95" s="196"/>
      <c r="B95" s="973" t="s">
        <v>120</v>
      </c>
      <c r="C95" s="974"/>
      <c r="D95" s="974"/>
      <c r="E95" s="974"/>
      <c r="F95" s="974"/>
      <c r="G95" s="975"/>
      <c r="H95" s="587">
        <f>SUM(H84,H91)</f>
        <v>6022</v>
      </c>
      <c r="I95" s="717">
        <f>I84+I91</f>
        <v>6040.2999999999993</v>
      </c>
      <c r="J95" s="135">
        <f>J91+J84</f>
        <v>18.300000000000061</v>
      </c>
      <c r="K95" s="685"/>
      <c r="L95" s="685"/>
      <c r="M95" s="685"/>
    </row>
    <row r="96" spans="1:13" s="1" customFormat="1" ht="12.75" x14ac:dyDescent="0.2">
      <c r="A96" s="197"/>
      <c r="B96" s="198"/>
      <c r="C96" s="198"/>
      <c r="D96" s="198"/>
      <c r="E96" s="626"/>
      <c r="F96" s="622"/>
      <c r="G96" s="200"/>
      <c r="H96" s="201"/>
      <c r="I96" s="202"/>
      <c r="J96" s="201"/>
      <c r="K96" s="186"/>
      <c r="L96" s="211"/>
      <c r="M96" s="186"/>
    </row>
    <row r="97" spans="1:13" s="1" customFormat="1" ht="12.75" x14ac:dyDescent="0.2">
      <c r="A97" s="186"/>
      <c r="B97" s="186"/>
      <c r="C97" s="186"/>
      <c r="D97" s="203"/>
      <c r="E97" s="627"/>
      <c r="F97" s="622"/>
      <c r="G97" s="200"/>
      <c r="H97" s="248"/>
      <c r="I97" s="249"/>
      <c r="J97" s="250"/>
      <c r="K97" s="203"/>
      <c r="L97" s="211"/>
      <c r="M97" s="203"/>
    </row>
    <row r="98" spans="1:13" s="1" customFormat="1" ht="12.75" x14ac:dyDescent="0.2">
      <c r="A98" s="186"/>
      <c r="B98" s="186"/>
      <c r="C98" s="186"/>
      <c r="D98" s="203"/>
      <c r="E98" s="627"/>
      <c r="F98" s="622"/>
      <c r="G98" s="200"/>
      <c r="H98" s="201"/>
      <c r="I98" s="202"/>
      <c r="J98" s="201"/>
      <c r="K98" s="186"/>
      <c r="L98" s="211"/>
      <c r="M98" s="186"/>
    </row>
  </sheetData>
  <mergeCells count="171">
    <mergeCell ref="A75:A76"/>
    <mergeCell ref="B75:B76"/>
    <mergeCell ref="C75:C76"/>
    <mergeCell ref="D75:D76"/>
    <mergeCell ref="F75:F76"/>
    <mergeCell ref="K75:K76"/>
    <mergeCell ref="C79:G79"/>
    <mergeCell ref="K79:M79"/>
    <mergeCell ref="A69:A71"/>
    <mergeCell ref="B69:B71"/>
    <mergeCell ref="C69:C71"/>
    <mergeCell ref="D69:D71"/>
    <mergeCell ref="E69:E71"/>
    <mergeCell ref="F69:F71"/>
    <mergeCell ref="A72:A74"/>
    <mergeCell ref="B72:B74"/>
    <mergeCell ref="C72:C74"/>
    <mergeCell ref="D72:D74"/>
    <mergeCell ref="E72:E74"/>
    <mergeCell ref="F72:F74"/>
    <mergeCell ref="A77:A78"/>
    <mergeCell ref="A59:A61"/>
    <mergeCell ref="B59:B61"/>
    <mergeCell ref="C59:C61"/>
    <mergeCell ref="D59:D61"/>
    <mergeCell ref="E59:E61"/>
    <mergeCell ref="F59:F61"/>
    <mergeCell ref="A62:A63"/>
    <mergeCell ref="B62:B63"/>
    <mergeCell ref="C62:C63"/>
    <mergeCell ref="D62:D63"/>
    <mergeCell ref="F62:F63"/>
    <mergeCell ref="E40:E44"/>
    <mergeCell ref="D41:D42"/>
    <mergeCell ref="D43:D44"/>
    <mergeCell ref="C47:G47"/>
    <mergeCell ref="C48:M48"/>
    <mergeCell ref="A49:A51"/>
    <mergeCell ref="B49:B51"/>
    <mergeCell ref="C49:C51"/>
    <mergeCell ref="D49:D51"/>
    <mergeCell ref="E49:E51"/>
    <mergeCell ref="F49:F51"/>
    <mergeCell ref="K49:K51"/>
    <mergeCell ref="M40:M42"/>
    <mergeCell ref="D45:D46"/>
    <mergeCell ref="M45:M47"/>
    <mergeCell ref="D34:D35"/>
    <mergeCell ref="A29:A31"/>
    <mergeCell ref="B29:B31"/>
    <mergeCell ref="C29:C31"/>
    <mergeCell ref="D29:D31"/>
    <mergeCell ref="E29:E31"/>
    <mergeCell ref="F29:F31"/>
    <mergeCell ref="K30:K31"/>
    <mergeCell ref="K32:M32"/>
    <mergeCell ref="C33:M33"/>
    <mergeCell ref="D20:D22"/>
    <mergeCell ref="E20:E22"/>
    <mergeCell ref="F20:F22"/>
    <mergeCell ref="K20:K22"/>
    <mergeCell ref="A23:A25"/>
    <mergeCell ref="B23:B25"/>
    <mergeCell ref="C23:C25"/>
    <mergeCell ref="D23:D28"/>
    <mergeCell ref="E23:E28"/>
    <mergeCell ref="F23:F28"/>
    <mergeCell ref="K26:K28"/>
    <mergeCell ref="F13:F19"/>
    <mergeCell ref="K13:K19"/>
    <mergeCell ref="E14:E15"/>
    <mergeCell ref="E16:E17"/>
    <mergeCell ref="E18:E19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7:K8"/>
    <mergeCell ref="A67:A68"/>
    <mergeCell ref="B67:B68"/>
    <mergeCell ref="C67:C68"/>
    <mergeCell ref="D67:D68"/>
    <mergeCell ref="F67:F68"/>
    <mergeCell ref="K67:K68"/>
    <mergeCell ref="E52:E53"/>
    <mergeCell ref="A52:A53"/>
    <mergeCell ref="B52:B53"/>
    <mergeCell ref="C52:C53"/>
    <mergeCell ref="D52:D53"/>
    <mergeCell ref="F52:F53"/>
    <mergeCell ref="E54:E55"/>
    <mergeCell ref="K54:K55"/>
    <mergeCell ref="A56:A58"/>
    <mergeCell ref="B56:B58"/>
    <mergeCell ref="C56:C58"/>
    <mergeCell ref="D56:D58"/>
    <mergeCell ref="E56:E58"/>
    <mergeCell ref="F56:F58"/>
    <mergeCell ref="E62:E63"/>
    <mergeCell ref="E67:E68"/>
    <mergeCell ref="A64:A66"/>
    <mergeCell ref="B64:B66"/>
    <mergeCell ref="K1:M1"/>
    <mergeCell ref="A2:M2"/>
    <mergeCell ref="A3:M3"/>
    <mergeCell ref="A4:M4"/>
    <mergeCell ref="A5:M5"/>
    <mergeCell ref="A54:A55"/>
    <mergeCell ref="B54:B55"/>
    <mergeCell ref="C54:C55"/>
    <mergeCell ref="D54:D55"/>
    <mergeCell ref="F54:F55"/>
    <mergeCell ref="D38:D39"/>
    <mergeCell ref="E38:E39"/>
    <mergeCell ref="F38:F39"/>
    <mergeCell ref="C32:G32"/>
    <mergeCell ref="L7:L8"/>
    <mergeCell ref="K6:L6"/>
    <mergeCell ref="M6:M8"/>
    <mergeCell ref="A9:M9"/>
    <mergeCell ref="A10:M10"/>
    <mergeCell ref="B11:M11"/>
    <mergeCell ref="C12:M12"/>
    <mergeCell ref="A13:A19"/>
    <mergeCell ref="B13:B19"/>
    <mergeCell ref="C13:C19"/>
    <mergeCell ref="B95:G95"/>
    <mergeCell ref="B89:G89"/>
    <mergeCell ref="B87:G87"/>
    <mergeCell ref="B93:G93"/>
    <mergeCell ref="B94:G94"/>
    <mergeCell ref="B88:G88"/>
    <mergeCell ref="B90:G90"/>
    <mergeCell ref="B84:G84"/>
    <mergeCell ref="K72:K74"/>
    <mergeCell ref="B80:G80"/>
    <mergeCell ref="K80:M80"/>
    <mergeCell ref="L75:L76"/>
    <mergeCell ref="B82:J82"/>
    <mergeCell ref="B83:G83"/>
    <mergeCell ref="B86:G86"/>
    <mergeCell ref="M20:M22"/>
    <mergeCell ref="M23:M24"/>
    <mergeCell ref="M34:M35"/>
    <mergeCell ref="K64:K66"/>
    <mergeCell ref="B91:G91"/>
    <mergeCell ref="B92:G92"/>
    <mergeCell ref="C64:C66"/>
    <mergeCell ref="D64:D66"/>
    <mergeCell ref="E64:E66"/>
    <mergeCell ref="F64:F66"/>
    <mergeCell ref="B85:G85"/>
    <mergeCell ref="E75:E76"/>
    <mergeCell ref="B81:G81"/>
    <mergeCell ref="K81:M81"/>
    <mergeCell ref="M67:M68"/>
    <mergeCell ref="B77:B78"/>
    <mergeCell ref="C77:C78"/>
    <mergeCell ref="D77:D78"/>
    <mergeCell ref="E77:E78"/>
    <mergeCell ref="F77:F78"/>
    <mergeCell ref="K77:K78"/>
    <mergeCell ref="L77:L78"/>
    <mergeCell ref="M77:M78"/>
    <mergeCell ref="C20:C22"/>
  </mergeCells>
  <printOptions horizontalCentered="1"/>
  <pageMargins left="0" right="0" top="0.39370078740157483" bottom="0" header="0.31496062992125984" footer="0.31496062992125984"/>
  <pageSetup paperSize="9" orientation="landscape" r:id="rId1"/>
  <rowBreaks count="3" manualBreakCount="3">
    <brk id="22" max="12" man="1"/>
    <brk id="37" max="12" man="1"/>
    <brk id="5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13 programa</vt:lpstr>
      <vt:lpstr>Aiskinamasis</vt:lpstr>
      <vt:lpstr>Lyginamasis variantas</vt:lpstr>
      <vt:lpstr>'13 programa'!Print_Area</vt:lpstr>
      <vt:lpstr>'Lyginamasis variantas'!Print_Area</vt:lpstr>
      <vt:lpstr>'13 programa'!Print_Titles</vt:lpstr>
      <vt:lpstr>'Lyginamasis variantas'!Print_Titles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2016-11-24T10:07:30Z</cp:lastPrinted>
  <dcterms:created xsi:type="dcterms:W3CDTF">2015-11-25T11:03:52Z</dcterms:created>
  <dcterms:modified xsi:type="dcterms:W3CDTF">2016-11-24T10:07:34Z</dcterms:modified>
</cp:coreProperties>
</file>