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945" windowWidth="15480" windowHeight="5655"/>
  </bookViews>
  <sheets>
    <sheet name="6 programa" sheetId="9" r:id="rId1"/>
    <sheet name="Lyginamasis variantas" sheetId="10" state="hidden" r:id="rId2"/>
    <sheet name="Aiškinamoji lentelė " sheetId="5" state="hidden" r:id="rId3"/>
    <sheet name="Asignavimų valdytojų kodai" sheetId="3" state="hidden" r:id="rId4"/>
  </sheets>
  <definedNames>
    <definedName name="_xlnm.Print_Area" localSheetId="0">'6 programa'!$A$1:$N$224</definedName>
    <definedName name="_xlnm.Print_Area" localSheetId="2">'Aiškinamoji lentelė '!$A$1:$U$214</definedName>
    <definedName name="_xlnm.Print_Area" localSheetId="1">'Lyginamasis variantas'!$A$1:$U$224</definedName>
    <definedName name="_xlnm.Print_Titles" localSheetId="0">'6 programa'!$5:$7</definedName>
    <definedName name="_xlnm.Print_Titles" localSheetId="2">'Aiškinamoji lentelė '!$6:$8</definedName>
    <definedName name="_xlnm.Print_Titles" localSheetId="1">'Lyginamasis variantas'!$6:$8</definedName>
  </definedNames>
  <calcPr calcId="145621" fullPrecision="0"/>
</workbook>
</file>

<file path=xl/calcChain.xml><?xml version="1.0" encoding="utf-8"?>
<calcChain xmlns="http://schemas.openxmlformats.org/spreadsheetml/2006/main">
  <c r="H128" i="9" l="1"/>
  <c r="H126" i="9"/>
  <c r="H178" i="9"/>
  <c r="I180" i="10"/>
  <c r="I133" i="10"/>
  <c r="J16" i="9" l="1"/>
  <c r="J15" i="9"/>
  <c r="J14" i="9"/>
  <c r="J13" i="9"/>
  <c r="O17" i="10"/>
  <c r="P17" i="10" s="1"/>
  <c r="P219" i="10" s="1"/>
  <c r="O16" i="10"/>
  <c r="P16" i="10" s="1"/>
  <c r="P221" i="10" s="1"/>
  <c r="O15" i="10"/>
  <c r="P15" i="10" s="1"/>
  <c r="O14" i="10"/>
  <c r="P14" i="10" s="1"/>
  <c r="L14" i="10"/>
  <c r="M14" i="10" s="1"/>
  <c r="I76" i="9" l="1"/>
  <c r="L77" i="10" l="1"/>
  <c r="I78" i="9" l="1"/>
  <c r="H118" i="9" l="1"/>
  <c r="I123" i="10"/>
  <c r="I23" i="10"/>
  <c r="I43" i="10" l="1"/>
  <c r="H47" i="9"/>
  <c r="H87" i="9" l="1"/>
  <c r="I91" i="10" l="1"/>
  <c r="J91" i="10" s="1"/>
  <c r="J92" i="10"/>
  <c r="J23" i="10"/>
  <c r="H117" i="9" l="1"/>
  <c r="J123" i="10"/>
  <c r="I122" i="10"/>
  <c r="J122" i="10" s="1"/>
  <c r="I104" i="10"/>
  <c r="J104" i="10" s="1"/>
  <c r="L81" i="10" l="1"/>
  <c r="M81" i="10" s="1"/>
  <c r="H69" i="9" l="1"/>
  <c r="I72" i="10"/>
  <c r="I27" i="10" l="1"/>
  <c r="I26" i="10" l="1"/>
  <c r="H26" i="10"/>
  <c r="J14" i="10" l="1"/>
  <c r="H176" i="9" l="1"/>
  <c r="I178" i="10"/>
  <c r="I126" i="9"/>
  <c r="L131" i="10"/>
  <c r="M131" i="10" s="1"/>
  <c r="I131" i="10"/>
  <c r="J131" i="10" s="1"/>
  <c r="J172" i="9" l="1"/>
  <c r="I172" i="9"/>
  <c r="H172" i="9"/>
  <c r="J172" i="10"/>
  <c r="J175" i="10" s="1"/>
  <c r="P175" i="10"/>
  <c r="O175" i="10"/>
  <c r="N175" i="10"/>
  <c r="M175" i="10"/>
  <c r="L175" i="10"/>
  <c r="K175" i="10"/>
  <c r="I175" i="10"/>
  <c r="H175" i="10"/>
  <c r="H178" i="10"/>
  <c r="M178" i="10"/>
  <c r="P178" i="10"/>
  <c r="J178" i="10" l="1"/>
  <c r="N50" i="10"/>
  <c r="K37" i="10" l="1"/>
  <c r="N37" i="10"/>
  <c r="O37" i="10"/>
  <c r="H35" i="9" l="1"/>
  <c r="I49" i="9" l="1"/>
  <c r="I39" i="10" l="1"/>
  <c r="I50" i="10" s="1"/>
  <c r="I60" i="10"/>
  <c r="L52" i="10"/>
  <c r="I84" i="10" l="1"/>
  <c r="J84" i="10" s="1"/>
  <c r="J15" i="10"/>
  <c r="J81" i="10" l="1"/>
  <c r="J74" i="10"/>
  <c r="J72" i="10"/>
  <c r="J60" i="10"/>
  <c r="M52" i="10"/>
  <c r="J52" i="10"/>
  <c r="I43" i="9"/>
  <c r="L45" i="10"/>
  <c r="M45" i="10" s="1"/>
  <c r="J45" i="10"/>
  <c r="J39" i="10"/>
  <c r="L24" i="10" l="1"/>
  <c r="J24" i="10"/>
  <c r="M24" i="10" l="1"/>
  <c r="L37" i="10"/>
  <c r="N222" i="10"/>
  <c r="O222" i="10"/>
  <c r="O221" i="10"/>
  <c r="O220" i="10"/>
  <c r="O219" i="10"/>
  <c r="O217" i="10"/>
  <c r="O216" i="10"/>
  <c r="O215" i="10"/>
  <c r="N215" i="10"/>
  <c r="O214" i="10"/>
  <c r="O213" i="10"/>
  <c r="O212" i="10"/>
  <c r="O211" i="10"/>
  <c r="O210" i="10"/>
  <c r="N221" i="10"/>
  <c r="N220" i="10"/>
  <c r="N219" i="10"/>
  <c r="N217" i="10"/>
  <c r="N216" i="10"/>
  <c r="N214" i="10"/>
  <c r="N213" i="10"/>
  <c r="N212" i="10"/>
  <c r="N211" i="10"/>
  <c r="N210" i="10"/>
  <c r="L222" i="10"/>
  <c r="L221" i="10"/>
  <c r="L220" i="10"/>
  <c r="L219" i="10"/>
  <c r="L212" i="10"/>
  <c r="L217" i="10"/>
  <c r="L216" i="10"/>
  <c r="L215" i="10"/>
  <c r="L213" i="10"/>
  <c r="L211" i="10"/>
  <c r="L210" i="10"/>
  <c r="K222" i="10"/>
  <c r="K221" i="10"/>
  <c r="K220" i="10"/>
  <c r="K219" i="10"/>
  <c r="K217" i="10"/>
  <c r="K216" i="10"/>
  <c r="K215" i="10"/>
  <c r="K213" i="10"/>
  <c r="K212" i="10"/>
  <c r="K211" i="10"/>
  <c r="K210" i="10"/>
  <c r="M210" i="10" l="1"/>
  <c r="O218" i="10"/>
  <c r="O209" i="10"/>
  <c r="O208" i="10" s="1"/>
  <c r="N218" i="10"/>
  <c r="N209" i="10"/>
  <c r="L218" i="10"/>
  <c r="K218" i="10"/>
  <c r="O223" i="10" l="1"/>
  <c r="N208" i="10"/>
  <c r="N223" i="10" s="1"/>
  <c r="P199" i="10" l="1"/>
  <c r="P196" i="10"/>
  <c r="P171" i="10"/>
  <c r="P167" i="10"/>
  <c r="P163" i="10"/>
  <c r="P158" i="10"/>
  <c r="P156" i="10"/>
  <c r="P155" i="10"/>
  <c r="P128" i="10"/>
  <c r="P111" i="10"/>
  <c r="P109" i="10"/>
  <c r="P106" i="10"/>
  <c r="P102" i="10"/>
  <c r="P89" i="10"/>
  <c r="P77" i="10"/>
  <c r="P70" i="10"/>
  <c r="P214" i="10" s="1"/>
  <c r="P68" i="10"/>
  <c r="P50" i="10"/>
  <c r="P26" i="10"/>
  <c r="O196" i="10"/>
  <c r="O200" i="10" s="1"/>
  <c r="O171" i="10"/>
  <c r="O167" i="10"/>
  <c r="O163" i="10"/>
  <c r="O155" i="10"/>
  <c r="O128" i="10"/>
  <c r="O121" i="10"/>
  <c r="O106" i="10"/>
  <c r="O102" i="10"/>
  <c r="O89" i="10"/>
  <c r="O79" i="10"/>
  <c r="O68" i="10"/>
  <c r="O50" i="10"/>
  <c r="M199" i="10"/>
  <c r="M196" i="10"/>
  <c r="M171" i="10"/>
  <c r="M167" i="10"/>
  <c r="M163" i="10"/>
  <c r="M158" i="10"/>
  <c r="M156" i="10"/>
  <c r="M155" i="10"/>
  <c r="M128" i="10"/>
  <c r="M111" i="10"/>
  <c r="M109" i="10"/>
  <c r="M106" i="10"/>
  <c r="M102" i="10"/>
  <c r="M89" i="10"/>
  <c r="M77" i="10"/>
  <c r="M70" i="10"/>
  <c r="M68" i="10"/>
  <c r="M50" i="10"/>
  <c r="M26" i="10"/>
  <c r="M37" i="10" s="1"/>
  <c r="L199" i="10"/>
  <c r="L196" i="10"/>
  <c r="L171" i="10"/>
  <c r="L167" i="10"/>
  <c r="L163" i="10"/>
  <c r="L160" i="10"/>
  <c r="L155" i="10"/>
  <c r="L128" i="10"/>
  <c r="L121" i="10"/>
  <c r="L106" i="10"/>
  <c r="L102" i="10"/>
  <c r="L89" i="10"/>
  <c r="L79" i="10"/>
  <c r="L67" i="10"/>
  <c r="L50" i="10"/>
  <c r="H100" i="10"/>
  <c r="J50" i="10"/>
  <c r="K50" i="10"/>
  <c r="P37" i="10" l="1"/>
  <c r="P210" i="10"/>
  <c r="L176" i="10"/>
  <c r="O176" i="10"/>
  <c r="O107" i="10"/>
  <c r="L129" i="10"/>
  <c r="P160" i="10"/>
  <c r="P176" i="10" s="1"/>
  <c r="M121" i="10"/>
  <c r="M129" i="10" s="1"/>
  <c r="M160" i="10"/>
  <c r="M176" i="10" s="1"/>
  <c r="M79" i="10"/>
  <c r="M107" i="10" s="1"/>
  <c r="M200" i="10"/>
  <c r="P121" i="10"/>
  <c r="P129" i="10" s="1"/>
  <c r="P79" i="10"/>
  <c r="P107" i="10" s="1"/>
  <c r="L200" i="10"/>
  <c r="O129" i="10"/>
  <c r="P200" i="10"/>
  <c r="L68" i="10"/>
  <c r="L107" i="10" s="1"/>
  <c r="L214" i="10"/>
  <c r="O201" i="10" l="1"/>
  <c r="O202" i="10" s="1"/>
  <c r="M201" i="10"/>
  <c r="L209" i="10"/>
  <c r="P201" i="10"/>
  <c r="P202" i="10" s="1"/>
  <c r="L201" i="10"/>
  <c r="L202" i="10" s="1"/>
  <c r="I51" i="9"/>
  <c r="L208" i="10" l="1"/>
  <c r="L223" i="10" s="1"/>
  <c r="M202" i="10"/>
  <c r="P222" i="10" s="1"/>
  <c r="I37" i="10"/>
  <c r="P215" i="10" l="1"/>
  <c r="P220" i="10"/>
  <c r="P218" i="10" s="1"/>
  <c r="P213" i="10"/>
  <c r="P211" i="10"/>
  <c r="P217" i="10"/>
  <c r="P216" i="10"/>
  <c r="P212" i="10"/>
  <c r="I196" i="10"/>
  <c r="H151" i="9"/>
  <c r="I156" i="10"/>
  <c r="P209" i="10" l="1"/>
  <c r="P208" i="10" s="1"/>
  <c r="P223" i="10" s="1"/>
  <c r="J98" i="9"/>
  <c r="I98" i="9"/>
  <c r="H96" i="9"/>
  <c r="I81" i="9"/>
  <c r="J35" i="9"/>
  <c r="K89" i="10" l="1"/>
  <c r="H50" i="10" l="1"/>
  <c r="H68" i="10" l="1"/>
  <c r="H89" i="10"/>
  <c r="H160" i="10"/>
  <c r="H125" i="10"/>
  <c r="K102" i="10"/>
  <c r="J156" i="10" l="1"/>
  <c r="I158" i="10"/>
  <c r="J158" i="10" s="1"/>
  <c r="I160" i="10" l="1"/>
  <c r="N102" i="10"/>
  <c r="K79" i="10"/>
  <c r="H79" i="10"/>
  <c r="J89" i="10" l="1"/>
  <c r="N68" i="10" l="1"/>
  <c r="N79" i="10"/>
  <c r="N89" i="10"/>
  <c r="I100" i="10"/>
  <c r="J102" i="10" l="1"/>
  <c r="J26" i="10"/>
  <c r="K199" i="10" l="1"/>
  <c r="K196" i="10"/>
  <c r="N196" i="10"/>
  <c r="N200" i="10" s="1"/>
  <c r="K160" i="10"/>
  <c r="N167" i="10"/>
  <c r="K167" i="10"/>
  <c r="N163" i="10"/>
  <c r="K163" i="10"/>
  <c r="K155" i="10"/>
  <c r="N155" i="10"/>
  <c r="K121" i="10"/>
  <c r="N121" i="10"/>
  <c r="K106" i="10"/>
  <c r="N106" i="10"/>
  <c r="N107" i="10" s="1"/>
  <c r="K67" i="10"/>
  <c r="K68" i="10" l="1"/>
  <c r="K107" i="10" s="1"/>
  <c r="K214" i="10"/>
  <c r="K200" i="10"/>
  <c r="H93" i="10"/>
  <c r="H102" i="10" s="1"/>
  <c r="K209" i="10" l="1"/>
  <c r="M214" i="10"/>
  <c r="H89" i="9"/>
  <c r="H98" i="9" s="1"/>
  <c r="K208" i="10" l="1"/>
  <c r="K223" i="10" s="1"/>
  <c r="M209" i="10"/>
  <c r="I93" i="10"/>
  <c r="I102" i="10" s="1"/>
  <c r="J167" i="9" l="1"/>
  <c r="I167" i="9"/>
  <c r="H167" i="9"/>
  <c r="J199" i="10"/>
  <c r="I199" i="10"/>
  <c r="I200" i="10" s="1"/>
  <c r="H199" i="10"/>
  <c r="H196" i="10"/>
  <c r="N171" i="10"/>
  <c r="N176" i="10" s="1"/>
  <c r="K171" i="10"/>
  <c r="K176" i="10" s="1"/>
  <c r="J171" i="10"/>
  <c r="I171" i="10"/>
  <c r="H171" i="10"/>
  <c r="N128" i="10"/>
  <c r="N129" i="10" s="1"/>
  <c r="N201" i="10" l="1"/>
  <c r="N202" i="10" s="1"/>
  <c r="J196" i="10"/>
  <c r="J200" i="10" s="1"/>
  <c r="H200" i="10"/>
  <c r="H27" i="10" l="1"/>
  <c r="H37" i="10" s="1"/>
  <c r="J27" i="10" l="1"/>
  <c r="J37" i="10" s="1"/>
  <c r="H210" i="10"/>
  <c r="H213" i="10" l="1"/>
  <c r="H212" i="10"/>
  <c r="H211" i="10"/>
  <c r="I64" i="9"/>
  <c r="H175" i="9" l="1"/>
  <c r="H197" i="9" s="1"/>
  <c r="K128" i="10" l="1"/>
  <c r="K129" i="10" s="1"/>
  <c r="J76" i="9" l="1"/>
  <c r="H76" i="9"/>
  <c r="H123" i="9" l="1"/>
  <c r="J123" i="9"/>
  <c r="I123" i="9"/>
  <c r="H128" i="10" l="1"/>
  <c r="I128" i="10"/>
  <c r="J128" i="10" l="1"/>
  <c r="H120" i="9" l="1"/>
  <c r="H213" i="9" l="1"/>
  <c r="I132" i="10" l="1"/>
  <c r="I155" i="10" s="1"/>
  <c r="J155" i="10" l="1"/>
  <c r="J77" i="10" l="1"/>
  <c r="I125" i="10" l="1"/>
  <c r="I79" i="10"/>
  <c r="J68" i="10"/>
  <c r="I68" i="10" l="1"/>
  <c r="J70" i="10"/>
  <c r="J79" i="10" s="1"/>
  <c r="J125" i="10"/>
  <c r="H129" i="9" l="1"/>
  <c r="H150" i="9" s="1"/>
  <c r="H105" i="9" l="1"/>
  <c r="H116" i="9" s="1"/>
  <c r="H124" i="9" s="1"/>
  <c r="I109" i="10"/>
  <c r="J109" i="10" s="1"/>
  <c r="J111" i="10"/>
  <c r="I106" i="10" l="1"/>
  <c r="I89" i="10"/>
  <c r="J222" i="10"/>
  <c r="I222" i="10"/>
  <c r="H222" i="10"/>
  <c r="J221" i="10"/>
  <c r="I221" i="10"/>
  <c r="H221" i="10"/>
  <c r="J220" i="10"/>
  <c r="I220" i="10"/>
  <c r="H220" i="10"/>
  <c r="J219" i="10"/>
  <c r="I219" i="10"/>
  <c r="H219" i="10"/>
  <c r="J217" i="10"/>
  <c r="I217" i="10"/>
  <c r="H217" i="10"/>
  <c r="J216" i="10"/>
  <c r="I216" i="10"/>
  <c r="H216" i="10"/>
  <c r="J215" i="10"/>
  <c r="I215" i="10"/>
  <c r="H215" i="10"/>
  <c r="J214" i="10"/>
  <c r="I214" i="10"/>
  <c r="H214" i="10"/>
  <c r="H209" i="10" s="1"/>
  <c r="J213" i="10"/>
  <c r="I213" i="10"/>
  <c r="J212" i="10"/>
  <c r="I212" i="10"/>
  <c r="J211" i="10"/>
  <c r="I211" i="10"/>
  <c r="J210" i="10"/>
  <c r="I210" i="10"/>
  <c r="J167" i="10"/>
  <c r="I167" i="10"/>
  <c r="I176" i="10" s="1"/>
  <c r="H167" i="10"/>
  <c r="J163" i="10"/>
  <c r="I163" i="10"/>
  <c r="H163" i="10"/>
  <c r="J160" i="10"/>
  <c r="H155" i="10"/>
  <c r="J121" i="10"/>
  <c r="J129" i="10" s="1"/>
  <c r="I121" i="10"/>
  <c r="I129" i="10" s="1"/>
  <c r="H121" i="10"/>
  <c r="J106" i="10"/>
  <c r="J107" i="10" s="1"/>
  <c r="H106" i="10"/>
  <c r="H107" i="10" s="1"/>
  <c r="H176" i="10" l="1"/>
  <c r="J176" i="10"/>
  <c r="H208" i="10"/>
  <c r="H218" i="10"/>
  <c r="J218" i="10"/>
  <c r="I209" i="10"/>
  <c r="I208" i="10" s="1"/>
  <c r="I218" i="10"/>
  <c r="I107" i="10"/>
  <c r="H129" i="10"/>
  <c r="J209" i="10"/>
  <c r="J208" i="10" s="1"/>
  <c r="L77" i="5"/>
  <c r="H223" i="10" l="1"/>
  <c r="I201" i="10"/>
  <c r="I202" i="10" s="1"/>
  <c r="J201" i="10"/>
  <c r="H201" i="10"/>
  <c r="H202" i="10" s="1"/>
  <c r="J223" i="10"/>
  <c r="I223" i="10"/>
  <c r="L181" i="5"/>
  <c r="L180" i="5"/>
  <c r="J202" i="10" l="1"/>
  <c r="M219" i="10" s="1"/>
  <c r="M221" i="10"/>
  <c r="M216" i="10"/>
  <c r="M215" i="10"/>
  <c r="M211" i="10"/>
  <c r="M217" i="10"/>
  <c r="M222" i="10"/>
  <c r="M220" i="10"/>
  <c r="M213" i="10"/>
  <c r="M212" i="10"/>
  <c r="L157" i="5"/>
  <c r="H155" i="9"/>
  <c r="H85" i="9"/>
  <c r="M218" i="10" l="1"/>
  <c r="P157" i="5"/>
  <c r="O157" i="5"/>
  <c r="J160" i="5"/>
  <c r="K157" i="5"/>
  <c r="J157" i="5"/>
  <c r="M152" i="5"/>
  <c r="N152" i="5"/>
  <c r="O152" i="5"/>
  <c r="P152" i="5"/>
  <c r="Q152" i="5"/>
  <c r="M157" i="5"/>
  <c r="N157" i="5"/>
  <c r="Q157" i="5"/>
  <c r="I155" i="9"/>
  <c r="J155" i="9"/>
  <c r="I150" i="9"/>
  <c r="J150" i="9"/>
  <c r="M208" i="10" l="1"/>
  <c r="M223" i="10" s="1"/>
  <c r="L103" i="5"/>
  <c r="I197" i="9" l="1"/>
  <c r="J197" i="9"/>
  <c r="I116" i="9"/>
  <c r="J116" i="9"/>
  <c r="L186" i="5" l="1"/>
  <c r="K190" i="5"/>
  <c r="L190" i="5"/>
  <c r="M190" i="5"/>
  <c r="N190" i="5"/>
  <c r="O190" i="5"/>
  <c r="P190" i="5"/>
  <c r="Q190" i="5"/>
  <c r="J190" i="5"/>
  <c r="M186" i="5"/>
  <c r="N186" i="5"/>
  <c r="O186" i="5"/>
  <c r="P186" i="5"/>
  <c r="Q186" i="5"/>
  <c r="J186" i="5"/>
  <c r="J191" i="5" l="1"/>
  <c r="N191" i="5"/>
  <c r="Q191" i="5"/>
  <c r="M191" i="5"/>
  <c r="P191" i="5"/>
  <c r="L191" i="5"/>
  <c r="O191" i="5"/>
  <c r="J222" i="9"/>
  <c r="I222" i="9"/>
  <c r="H222" i="9"/>
  <c r="J221" i="9"/>
  <c r="I221" i="9"/>
  <c r="H221" i="9"/>
  <c r="J220" i="9"/>
  <c r="I220" i="9"/>
  <c r="H220" i="9"/>
  <c r="J219" i="9"/>
  <c r="I219" i="9"/>
  <c r="H219" i="9"/>
  <c r="J218" i="9"/>
  <c r="I218" i="9"/>
  <c r="H218" i="9"/>
  <c r="J216" i="9"/>
  <c r="I216" i="9"/>
  <c r="H216" i="9"/>
  <c r="J215" i="9"/>
  <c r="I215" i="9"/>
  <c r="H215" i="9"/>
  <c r="J210" i="9"/>
  <c r="I210" i="9"/>
  <c r="H210" i="9"/>
  <c r="J200" i="9"/>
  <c r="I200" i="9"/>
  <c r="H200" i="9"/>
  <c r="H201" i="9" s="1"/>
  <c r="J162" i="9"/>
  <c r="I162" i="9"/>
  <c r="H162" i="9"/>
  <c r="J158" i="9"/>
  <c r="I158" i="9"/>
  <c r="H158" i="9"/>
  <c r="J214" i="9"/>
  <c r="I214" i="9"/>
  <c r="H214" i="9"/>
  <c r="J213" i="9"/>
  <c r="I213" i="9"/>
  <c r="J120" i="9"/>
  <c r="J124" i="9" s="1"/>
  <c r="I120" i="9"/>
  <c r="I124" i="9" s="1"/>
  <c r="J212" i="9"/>
  <c r="I212" i="9"/>
  <c r="H212" i="9"/>
  <c r="J211" i="9"/>
  <c r="I211" i="9"/>
  <c r="H211" i="9"/>
  <c r="J209" i="9"/>
  <c r="I209" i="9"/>
  <c r="J102" i="9"/>
  <c r="I102" i="9"/>
  <c r="H102" i="9"/>
  <c r="J85" i="9"/>
  <c r="I85" i="9"/>
  <c r="J65" i="9"/>
  <c r="I65" i="9"/>
  <c r="H65" i="9"/>
  <c r="J47" i="9"/>
  <c r="I47" i="9"/>
  <c r="I35" i="9"/>
  <c r="I173" i="9" l="1"/>
  <c r="H103" i="9"/>
  <c r="J173" i="9"/>
  <c r="H173" i="9"/>
  <c r="J208" i="9"/>
  <c r="J207" i="9" s="1"/>
  <c r="I208" i="9"/>
  <c r="I207" i="9" s="1"/>
  <c r="H217" i="9"/>
  <c r="I217" i="9"/>
  <c r="J217" i="9"/>
  <c r="I201" i="9"/>
  <c r="J201" i="9"/>
  <c r="J103" i="9"/>
  <c r="H209" i="9"/>
  <c r="H208" i="9" s="1"/>
  <c r="H207" i="9" s="1"/>
  <c r="I103" i="9"/>
  <c r="H202" i="9" l="1"/>
  <c r="H203" i="9" s="1"/>
  <c r="H223" i="9"/>
  <c r="I202" i="9"/>
  <c r="I203" i="9" s="1"/>
  <c r="J223" i="9"/>
  <c r="I223" i="9"/>
  <c r="J202" i="9"/>
  <c r="J203" i="9" s="1"/>
  <c r="P165" i="5"/>
  <c r="Q165" i="5"/>
  <c r="P160" i="5"/>
  <c r="P122" i="5"/>
  <c r="P107" i="5"/>
  <c r="Q103" i="5"/>
  <c r="P103" i="5"/>
  <c r="P77" i="5"/>
  <c r="Q66" i="5"/>
  <c r="P66" i="5"/>
  <c r="Q77" i="5"/>
  <c r="Q36" i="5"/>
  <c r="Q51" i="5"/>
  <c r="P51" i="5"/>
  <c r="P36" i="5"/>
  <c r="Q202" i="5"/>
  <c r="Q203" i="5"/>
  <c r="Q122" i="5"/>
  <c r="Q160" i="5"/>
  <c r="P166" i="5" l="1"/>
  <c r="Q166" i="5"/>
  <c r="K41" i="5"/>
  <c r="O125" i="5" l="1"/>
  <c r="O70" i="5"/>
  <c r="O68" i="5"/>
  <c r="O14" i="5"/>
  <c r="J126" i="5" l="1"/>
  <c r="J209" i="5"/>
  <c r="J200" i="5"/>
  <c r="J199" i="5"/>
  <c r="J165" i="5" l="1"/>
  <c r="O51" i="5" l="1"/>
  <c r="L51" i="5"/>
  <c r="L201" i="5" l="1"/>
  <c r="P205" i="5"/>
  <c r="L25" i="5" l="1"/>
  <c r="L24" i="5"/>
  <c r="Q206" i="5" l="1"/>
  <c r="Q205" i="5"/>
  <c r="Q204" i="5"/>
  <c r="Q201" i="5"/>
  <c r="Q200" i="5"/>
  <c r="Q199" i="5"/>
  <c r="Q198" i="5" l="1"/>
  <c r="M103" i="5"/>
  <c r="N103" i="5"/>
  <c r="O103" i="5"/>
  <c r="K103" i="5"/>
  <c r="J103" i="5"/>
  <c r="L89" i="5"/>
  <c r="J89" i="5"/>
  <c r="K77" i="5"/>
  <c r="J77" i="5"/>
  <c r="L66" i="5"/>
  <c r="J66" i="5"/>
  <c r="J51" i="5"/>
  <c r="L36" i="5"/>
  <c r="J36" i="5"/>
  <c r="P204" i="5" l="1"/>
  <c r="P208" i="5"/>
  <c r="P210" i="5"/>
  <c r="P212" i="5"/>
  <c r="P126" i="5"/>
  <c r="J122" i="5"/>
  <c r="J127" i="5" s="1"/>
  <c r="O107" i="5"/>
  <c r="L107" i="5"/>
  <c r="J107" i="5"/>
  <c r="O77" i="5"/>
  <c r="O36" i="5"/>
  <c r="K107" i="5"/>
  <c r="M107" i="5"/>
  <c r="N107" i="5"/>
  <c r="Q107" i="5"/>
  <c r="Q126" i="5"/>
  <c r="Q127" i="5" s="1"/>
  <c r="O126" i="5"/>
  <c r="N126" i="5"/>
  <c r="M126" i="5"/>
  <c r="L126" i="5"/>
  <c r="K126" i="5"/>
  <c r="P127" i="5" l="1"/>
  <c r="J108" i="5"/>
  <c r="K25" i="5"/>
  <c r="K36" i="5" s="1"/>
  <c r="O160" i="5" l="1"/>
  <c r="N160" i="5"/>
  <c r="M160" i="5"/>
  <c r="L160" i="5"/>
  <c r="K158" i="5"/>
  <c r="K160" i="5" s="1"/>
  <c r="O165" i="5"/>
  <c r="N165" i="5"/>
  <c r="N166" i="5" s="1"/>
  <c r="M165" i="5"/>
  <c r="L165" i="5"/>
  <c r="K165" i="5"/>
  <c r="O166" i="5" l="1"/>
  <c r="M166" i="5"/>
  <c r="P79" i="5"/>
  <c r="P203" i="5" s="1"/>
  <c r="P89" i="5" l="1"/>
  <c r="P108" i="5" s="1"/>
  <c r="K150" i="5"/>
  <c r="Q212" i="5" l="1"/>
  <c r="P199" i="5"/>
  <c r="O89" i="5"/>
  <c r="K89" i="5"/>
  <c r="L200" i="5" l="1"/>
  <c r="J202" i="5" l="1"/>
  <c r="L204" i="5" l="1"/>
  <c r="J205" i="5"/>
  <c r="K148" i="5" l="1"/>
  <c r="J148" i="5"/>
  <c r="J152" i="5" s="1"/>
  <c r="J166" i="5" s="1"/>
  <c r="J201" i="5" l="1"/>
  <c r="J198" i="5" s="1"/>
  <c r="L149" i="5"/>
  <c r="L152" i="5" l="1"/>
  <c r="L166" i="5" s="1"/>
  <c r="K202" i="5"/>
  <c r="K146" i="5"/>
  <c r="K152" i="5" s="1"/>
  <c r="K166" i="5" s="1"/>
  <c r="K120" i="5"/>
  <c r="K53" i="5"/>
  <c r="K66" i="5" s="1"/>
  <c r="K183" i="5" l="1"/>
  <c r="K180" i="5"/>
  <c r="K121" i="5"/>
  <c r="K119" i="5"/>
  <c r="K116" i="5"/>
  <c r="K115" i="5"/>
  <c r="K114" i="5"/>
  <c r="K112" i="5"/>
  <c r="K51" i="5"/>
  <c r="K186" i="5" l="1"/>
  <c r="K191" i="5" s="1"/>
  <c r="K122" i="5"/>
  <c r="K127" i="5" s="1"/>
  <c r="K201" i="5"/>
  <c r="K212" i="5"/>
  <c r="K211" i="5"/>
  <c r="K210" i="5"/>
  <c r="K209" i="5"/>
  <c r="K208" i="5"/>
  <c r="K206" i="5"/>
  <c r="K205" i="5"/>
  <c r="K204" i="5"/>
  <c r="K203" i="5"/>
  <c r="K200" i="5"/>
  <c r="K199" i="5"/>
  <c r="K207" i="5" l="1"/>
  <c r="K198" i="5"/>
  <c r="K197" i="5" s="1"/>
  <c r="K213" i="5" l="1"/>
  <c r="L206" i="5"/>
  <c r="K108" i="5" l="1"/>
  <c r="N77" i="5" l="1"/>
  <c r="M77" i="5"/>
  <c r="P202" i="5" l="1"/>
  <c r="M122" i="5" l="1"/>
  <c r="M127" i="5" s="1"/>
  <c r="M89" i="5"/>
  <c r="N89" i="5"/>
  <c r="Q89" i="5"/>
  <c r="L211" i="5"/>
  <c r="M51" i="5"/>
  <c r="N51" i="5"/>
  <c r="M36" i="5"/>
  <c r="N36" i="5"/>
  <c r="M66" i="5"/>
  <c r="N66" i="5"/>
  <c r="O66" i="5"/>
  <c r="P192" i="5" l="1"/>
  <c r="P193" i="5" l="1"/>
  <c r="O108" i="5"/>
  <c r="N108" i="5"/>
  <c r="Q108" i="5"/>
  <c r="M108" i="5"/>
  <c r="N122" i="5" l="1"/>
  <c r="N127" i="5" s="1"/>
  <c r="O122" i="5"/>
  <c r="O127" i="5" s="1"/>
  <c r="Q192" i="5"/>
  <c r="P206" i="5" l="1"/>
  <c r="J204" i="5" l="1"/>
  <c r="J206" i="5"/>
  <c r="J197" i="5" l="1"/>
  <c r="L205" i="5" l="1"/>
  <c r="P211" i="5" l="1"/>
  <c r="P201" i="5"/>
  <c r="L208" i="5"/>
  <c r="L121" i="5"/>
  <c r="L202" i="5"/>
  <c r="Q211" i="5"/>
  <c r="Q210" i="5"/>
  <c r="Q209" i="5"/>
  <c r="P209" i="5"/>
  <c r="P207" i="5" s="1"/>
  <c r="Q208" i="5"/>
  <c r="P200" i="5"/>
  <c r="P198" i="5" l="1"/>
  <c r="P197" i="5" s="1"/>
  <c r="P213" i="5" s="1"/>
  <c r="L122" i="5"/>
  <c r="L127" i="5" s="1"/>
  <c r="L199" i="5"/>
  <c r="L203" i="5"/>
  <c r="Q197" i="5"/>
  <c r="Q207" i="5"/>
  <c r="J192" i="5"/>
  <c r="L209" i="5"/>
  <c r="L108" i="5"/>
  <c r="L212" i="5"/>
  <c r="J208" i="5"/>
  <c r="J212" i="5"/>
  <c r="J210" i="5"/>
  <c r="L210" i="5"/>
  <c r="L192" i="5" l="1"/>
  <c r="L198" i="5"/>
  <c r="L197" i="5" s="1"/>
  <c r="K192" i="5"/>
  <c r="K193" i="5" s="1"/>
  <c r="N192" i="5"/>
  <c r="N193" i="5" s="1"/>
  <c r="M192" i="5"/>
  <c r="M193" i="5" s="1"/>
  <c r="Q193" i="5"/>
  <c r="O192" i="5"/>
  <c r="O193" i="5" s="1"/>
  <c r="L207" i="5"/>
  <c r="Q213" i="5"/>
  <c r="L213" i="5" l="1"/>
  <c r="L193" i="5"/>
  <c r="J211" i="5"/>
  <c r="J207" i="5" s="1"/>
  <c r="J213" i="5" s="1"/>
  <c r="J193" i="5" l="1"/>
  <c r="K201" i="10" l="1"/>
  <c r="K202" i="10" s="1"/>
</calcChain>
</file>

<file path=xl/comments1.xml><?xml version="1.0" encoding="utf-8"?>
<comments xmlns="http://schemas.openxmlformats.org/spreadsheetml/2006/main">
  <authors>
    <author>Audra Cepiene</author>
  </authors>
  <commentList>
    <comment ref="E12"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K13" authorId="0">
      <text>
        <r>
          <rPr>
            <sz val="9"/>
            <color indexed="81"/>
            <rFont val="Tahoma"/>
            <family val="2"/>
            <charset val="186"/>
          </rPr>
          <t>Techninis ir investiciniai projektai yra rengiami abiems projektams: 
Naujo tilto su pakeliamu mechanizmu per Danę statybai ir Bastionų gatvės tiesimui</t>
        </r>
      </text>
    </comment>
    <comment ref="E14"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1"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6" authorId="0">
      <text>
        <r>
          <rPr>
            <sz val="9"/>
            <color indexed="81"/>
            <rFont val="Tahoma"/>
            <family val="2"/>
            <charset val="186"/>
          </rPr>
          <t>2.1.2.2 Plėtoti viešojo ir privataus transporto sąveikos sistemą įrengiant transporto priemonių laikymo aikšteles</t>
        </r>
      </text>
    </comment>
    <comment ref="E36"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K45" authorId="0">
      <text>
        <r>
          <rPr>
            <b/>
            <sz val="9"/>
            <color indexed="81"/>
            <rFont val="Tahoma"/>
            <family val="2"/>
            <charset val="186"/>
          </rPr>
          <t>2019 m.</t>
        </r>
        <r>
          <rPr>
            <sz val="9"/>
            <color indexed="81"/>
            <rFont val="Tahoma"/>
            <family val="2"/>
            <charset val="186"/>
          </rPr>
          <t xml:space="preserve"> bus rekonstruotos Klaipėdos ir Debesų gatvės ir įrengta ištisinė asfalto danga pravažiuojamojo kelio į s/b „Tauras“ atkarpoje. </t>
        </r>
        <r>
          <rPr>
            <b/>
            <sz val="9"/>
            <color indexed="81"/>
            <rFont val="Tahoma"/>
            <family val="2"/>
            <charset val="186"/>
          </rPr>
          <t xml:space="preserve">2020 – 2022 m. </t>
        </r>
        <r>
          <rPr>
            <sz val="9"/>
            <color indexed="81"/>
            <rFont val="Tahoma"/>
            <family val="2"/>
            <charset val="186"/>
          </rPr>
          <t xml:space="preserve">siūlome įrengti likusias gatves (Žvaigždžių g., Vėjo g. II-ąjį etapą, Slengių g., Arimų g. atkarpą iki Slengių g., Griaustinio g., Lietaus g., Vaivorykštės g.). </t>
        </r>
      </text>
    </comment>
    <comment ref="E48"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66"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77"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82" author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86"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05"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0"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0" authorId="0">
      <text>
        <r>
          <rPr>
            <sz val="9"/>
            <color indexed="81"/>
            <rFont val="Tahoma"/>
            <family val="2"/>
            <charset val="186"/>
          </rPr>
          <t>2.1.2.7. Vystyti dviračių, pėsčiųjų takų ir gatvių sistemą didinant tinklo integralumą, rišlumą ir kokybę</t>
        </r>
      </text>
    </comment>
    <comment ref="E159"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E163" authorId="0">
      <text>
        <r>
          <rPr>
            <sz val="9"/>
            <color indexed="81"/>
            <rFont val="Tahoma"/>
            <family val="2"/>
            <charset val="186"/>
          </rPr>
          <t>2.1.2.5. Sudaryti sąlygas naujų ekologiškų viešojo transporto rūšių atsiradimui</t>
        </r>
      </text>
    </comment>
    <comment ref="E168" authorId="0">
      <text>
        <r>
          <rPr>
            <sz val="9"/>
            <color indexed="81"/>
            <rFont val="Tahoma"/>
            <family val="2"/>
            <charset val="186"/>
          </rPr>
          <t>2.1.2.5. Sudaryti sąlygas naujų ekologiškų viešojo transporto rūšių atsiradimui</t>
        </r>
      </text>
    </comment>
  </commentList>
</comments>
</file>

<file path=xl/comments2.xml><?xml version="1.0" encoding="utf-8"?>
<comments xmlns="http://schemas.openxmlformats.org/spreadsheetml/2006/main">
  <authors>
    <author>Audra Cepiene</author>
  </authors>
  <commentList>
    <comment ref="E13"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5"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2"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7" authorId="0">
      <text>
        <r>
          <rPr>
            <sz val="9"/>
            <color indexed="81"/>
            <rFont val="Tahoma"/>
            <family val="2"/>
            <charset val="186"/>
          </rPr>
          <t>2.1.2.2 Plėtoti viešojo ir privataus transporto sąveikos sistemą įrengiant transporto priemonių laikymo aikšteles</t>
        </r>
      </text>
    </comment>
    <comment ref="E38"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Q47" authorId="0">
      <text>
        <r>
          <rPr>
            <b/>
            <sz val="9"/>
            <color indexed="81"/>
            <rFont val="Tahoma"/>
            <family val="2"/>
            <charset val="186"/>
          </rPr>
          <t>2019 m.</t>
        </r>
        <r>
          <rPr>
            <sz val="9"/>
            <color indexed="81"/>
            <rFont val="Tahoma"/>
            <family val="2"/>
            <charset val="186"/>
          </rPr>
          <t xml:space="preserve"> bus rekonstruotos Klaipėdos ir Debesų gatvės ir įrengta ištisinė asfalto danga pravažiuojamojo kelio į s/b „Tauras“ atkarpoje. </t>
        </r>
        <r>
          <rPr>
            <b/>
            <sz val="9"/>
            <color indexed="81"/>
            <rFont val="Tahoma"/>
            <family val="2"/>
            <charset val="186"/>
          </rPr>
          <t xml:space="preserve">2020 – 2022 m. </t>
        </r>
        <r>
          <rPr>
            <sz val="9"/>
            <color indexed="81"/>
            <rFont val="Tahoma"/>
            <family val="2"/>
            <charset val="186"/>
          </rPr>
          <t xml:space="preserve">siūlome įrengti likusias gatves (Žvaigždžių g., Vėjo g. II-ąjį etapą, Slengių g., Arimų g. atkarpą iki Slengių g., Griaustinio g., Lietaus g., Vaivorykštės g.). </t>
        </r>
      </text>
    </comment>
    <comment ref="E51"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69"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80"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85" author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90"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09"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S126" authorId="0">
      <text>
        <r>
          <rPr>
            <sz val="9"/>
            <color indexed="81"/>
            <rFont val="Tahoma"/>
            <family val="2"/>
            <charset val="186"/>
          </rPr>
          <t xml:space="preserve">UAB "Klaipėdos autobusų parkas" planuoja įsigyti </t>
        </r>
        <r>
          <rPr>
            <b/>
            <sz val="9"/>
            <color indexed="81"/>
            <rFont val="Tahoma"/>
            <family val="2"/>
            <charset val="186"/>
          </rPr>
          <t>8</t>
        </r>
        <r>
          <rPr>
            <sz val="9"/>
            <color indexed="81"/>
            <rFont val="Tahoma"/>
            <family val="2"/>
            <charset val="186"/>
          </rPr>
          <t xml:space="preserve"> prailgintus autobusus, UAB "Pajūrio autobusai" -</t>
        </r>
        <r>
          <rPr>
            <b/>
            <sz val="9"/>
            <color indexed="81"/>
            <rFont val="Tahoma"/>
            <family val="2"/>
            <charset val="186"/>
          </rPr>
          <t xml:space="preserve"> 6</t>
        </r>
        <r>
          <rPr>
            <sz val="9"/>
            <color indexed="81"/>
            <rFont val="Tahoma"/>
            <family val="2"/>
            <charset val="186"/>
          </rPr>
          <t xml:space="preserve"> mažesnius (ne mažiau nei 16 sėdimų vietų ir 20 stovimų,  1 vieta neįgaliajam), UAB "Gintarinis vairas" - </t>
        </r>
        <r>
          <rPr>
            <b/>
            <sz val="9"/>
            <color indexed="81"/>
            <rFont val="Tahoma"/>
            <family val="2"/>
            <charset val="186"/>
          </rPr>
          <t>6</t>
        </r>
        <r>
          <rPr>
            <sz val="9"/>
            <color indexed="81"/>
            <rFont val="Tahoma"/>
            <family val="2"/>
            <charset val="186"/>
          </rPr>
          <t xml:space="preserve"> mažesnius
</t>
        </r>
      </text>
    </comment>
    <comment ref="G127" authorId="0">
      <text>
        <r>
          <rPr>
            <sz val="9"/>
            <color indexed="81"/>
            <rFont val="Tahoma"/>
            <family val="2"/>
            <charset val="186"/>
          </rPr>
          <t xml:space="preserve">UAB "Pajūrio autobusai", UAB "Gintarinis vairas" </t>
        </r>
      </text>
    </comment>
    <comment ref="E135"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5" authorId="0">
      <text>
        <r>
          <rPr>
            <sz val="9"/>
            <color indexed="81"/>
            <rFont val="Tahoma"/>
            <family val="2"/>
            <charset val="186"/>
          </rPr>
          <t>2.1.2.7. Vystyti dviračių, pėsčiųjų takų ir gatvių sistemą didinant tinklo integralumą, rišlumą ir kokybę</t>
        </r>
      </text>
    </comment>
    <comment ref="E164"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E168" authorId="0">
      <text>
        <r>
          <rPr>
            <sz val="9"/>
            <color indexed="81"/>
            <rFont val="Tahoma"/>
            <family val="2"/>
            <charset val="186"/>
          </rPr>
          <t>2.1.2.5. Sudaryti sąlygas naujų ekologiškų viešojo transporto rūšių atsiradimui</t>
        </r>
      </text>
    </comment>
    <comment ref="E172" authorId="0">
      <text>
        <r>
          <rPr>
            <sz val="9"/>
            <color indexed="81"/>
            <rFont val="Tahoma"/>
            <family val="2"/>
            <charset val="186"/>
          </rPr>
          <t>2.1.2.5. Sudaryti sąlygas naujų ekologiškų viešojo transporto rūšių atsiradimui</t>
        </r>
      </text>
    </comment>
    <comment ref="H209" authorId="0">
      <text>
        <r>
          <rPr>
            <sz val="9"/>
            <color indexed="81"/>
            <rFont val="Tahoma"/>
            <family val="2"/>
            <charset val="186"/>
          </rPr>
          <t xml:space="preserve">
13101,3
</t>
        </r>
      </text>
    </comment>
  </commentList>
</comments>
</file>

<file path=xl/comments3.xml><?xml version="1.0" encoding="utf-8"?>
<comments xmlns="http://schemas.openxmlformats.org/spreadsheetml/2006/main">
  <authors>
    <author>Audra Cepiene</author>
    <author>Indre Buteniene</author>
  </authors>
  <commentList>
    <comment ref="F13"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9"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4" authorId="0">
      <text>
        <r>
          <rPr>
            <sz val="9"/>
            <color indexed="81"/>
            <rFont val="Tahoma"/>
            <family val="2"/>
            <charset val="186"/>
          </rPr>
          <t>2.1.2.2 Plėtoti viešojo ir privataus transporto sąveikos sistemą įrengiant transporto priemonių laikymo aikšteles</t>
        </r>
      </text>
    </comment>
    <comment ref="F37"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F52"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text>
        <r>
          <rPr>
            <sz val="9"/>
            <color indexed="81"/>
            <rFont val="Tahoma"/>
            <family val="2"/>
            <charset val="186"/>
          </rPr>
          <t>2014-10-22 Nr.TAR-109 M.ūkioir apl. Komiteto nutarimas ir 10-17 SPG3-22  įtraukta priemonė. Paskaičiavimai 10-30 VS-6054</t>
        </r>
      </text>
    </comment>
    <comment ref="F67"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4" authorId="1">
      <text>
        <r>
          <rPr>
            <b/>
            <sz val="9"/>
            <color indexed="81"/>
            <rFont val="Tahoma"/>
            <family val="2"/>
            <charset val="186"/>
          </rPr>
          <t>Indre Buteniene:</t>
        </r>
        <r>
          <rPr>
            <sz val="9"/>
            <color indexed="81"/>
            <rFont val="Tahoma"/>
            <family val="2"/>
            <charset val="186"/>
          </rPr>
          <t xml:space="preserve">
Vienuoliai</t>
        </r>
      </text>
    </comment>
    <comment ref="F78"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90"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1" authorId="1">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F110"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0"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F155" author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61"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70" authorId="0">
      <text>
        <r>
          <rPr>
            <sz val="9"/>
            <color indexed="81"/>
            <rFont val="Tahoma"/>
            <family val="2"/>
            <charset val="186"/>
          </rPr>
          <t xml:space="preserve">Smeltės g. ruožas
</t>
        </r>
      </text>
    </comment>
    <comment ref="J198" authorId="0">
      <text>
        <r>
          <rPr>
            <b/>
            <sz val="9"/>
            <color indexed="81"/>
            <rFont val="Tahoma"/>
            <family val="2"/>
            <charset val="186"/>
          </rPr>
          <t>pirminis biudžetas 6.539.615 Eur</t>
        </r>
        <r>
          <rPr>
            <sz val="9"/>
            <color indexed="81"/>
            <rFont val="Tahoma"/>
            <family val="2"/>
            <charset val="186"/>
          </rPr>
          <t xml:space="preserve">
</t>
        </r>
      </text>
    </comment>
    <comment ref="J209" author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<sst xmlns="http://schemas.openxmlformats.org/spreadsheetml/2006/main" count="1702" uniqueCount="421">
  <si>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</si>
  <si>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</si>
  <si>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</si>
  <si>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</si>
  <si>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</si>
  <si>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</si>
  <si>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</si>
  <si>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</si>
  <si>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</si>
  <si>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</si>
  <si>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</si>
  <si>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</si>
  <si>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</si>
  <si>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</si>
  <si>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</si>
  <si>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</si>
  <si>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</si>
  <si>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</si>
  <si>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</si>
  <si>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</si>
  <si>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</si>
  <si>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</si>
  <si>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</si>
  <si>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</si>
  <si>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</si>
  <si>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</si>
  <si>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</si>
  <si>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</si>
  <si>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</si>
  <si>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</si>
  <si>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</si>
  <si>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</si>
  <si>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</si>
  <si>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</si>
  <si>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</si>
  <si>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</si>
  <si>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</si>
  <si>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</si>
  <si>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</si>
  <si>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</si>
  <si>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</si>
  <si>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</si>
  <si>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</si>
  <si>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</si>
  <si>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</si>
  <si>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</si>
  <si>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</si>
  <si>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</si>
  <si>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</si>
  <si>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</si>
  <si>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</si>
  <si>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</si>
  <si>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</si>
  <si>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6</t>
  </si>
  <si>
    <t>Eksploatuojama šviesoforų, vnt.</t>
  </si>
  <si>
    <t>Tiltų ir kelio statinių priežiūra</t>
  </si>
  <si>
    <t>Suremontuota šaligatvių, ha</t>
  </si>
  <si>
    <t>Suremontuota asfaltbetonio dangos duobių kiemuose, ha</t>
  </si>
  <si>
    <t>Suremontuota asfaltbetonio dangos duobių gatvėse, ha</t>
  </si>
  <si>
    <t>Suremontuota gatvių akmens grindinio dangos, ha</t>
  </si>
  <si>
    <t>Parduota lengvatinių bilietų, mln. vnt.</t>
  </si>
  <si>
    <t>Viešojo transporto priežiūros ir paslaugų kokybės kontroliavimas</t>
  </si>
  <si>
    <t>Subsidijuojami maršrutai, vnt.</t>
  </si>
  <si>
    <t>5</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</si>
  <si>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</si>
  <si>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</si>
  <si>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</si>
  <si>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</si>
  <si>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</si>
  <si>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</si>
  <si>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</si>
  <si>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</si>
  <si>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</si>
  <si>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</si>
  <si>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</si>
  <si>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</si>
  <si>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</si>
  <si>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</si>
  <si>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Parengta techninių projektų,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</si>
  <si>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</si>
  <si>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</si>
  <si>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</si>
  <si>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</si>
  <si>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</si>
  <si>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</si>
  <si>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</si>
  <si>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</si>
  <si>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</si>
  <si>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</si>
  <si>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</si>
  <si>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</si>
  <si>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</si>
  <si>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</si>
  <si>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</si>
  <si>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</si>
  <si>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</si>
  <si>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</si>
  <si>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</si>
  <si>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</si>
  <si>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</si>
  <si>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</si>
  <si>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</si>
  <si>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</si>
  <si>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</si>
  <si>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</si>
  <si>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IED Statybos ir infrastruktūros plėtros skyrius </t>
  </si>
  <si>
    <t>MŪD Miesto tvarkymo skyrius</t>
  </si>
  <si>
    <t>SB(VRL)</t>
  </si>
  <si>
    <t>P7</t>
  </si>
  <si>
    <t>P2.1.2.9</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</si>
  <si>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</si>
  <si>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</si>
  <si>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</si>
  <si>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</si>
  <si>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</si>
  <si>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</si>
  <si>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</si>
  <si>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</si>
  <si>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</si>
  <si>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</si>
  <si>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</si>
  <si>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</si>
  <si>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2017-ųjų metų lėšų projektas</t>
  </si>
  <si>
    <t>2017-ieji metai</t>
  </si>
  <si>
    <t>2017-ųjų m. lėšų poreikis</t>
  </si>
  <si>
    <t>Suženklinta gatvių, ha</t>
  </si>
  <si>
    <t xml:space="preserve">MŪD Transporto skyrius </t>
  </si>
  <si>
    <t>MŪD  Transporto skyrius</t>
  </si>
  <si>
    <t>Eksploatuojama greičio matuoklių, vnt.</t>
  </si>
  <si>
    <t>Parengtas paviljono su aikštele techninis projektas, vnt.</t>
  </si>
  <si>
    <t>15,8</t>
  </si>
  <si>
    <t>Medžiagų tyrimas ir kontroliniai bandymai</t>
  </si>
  <si>
    <t>Įrengta aikštelė, vnt.</t>
  </si>
  <si>
    <t>1/1</t>
  </si>
  <si>
    <t>Atlikta gatvės (280 m) rekonstrukcija (I etapas).</t>
  </si>
  <si>
    <t>Atlikta gatvės (366 m)  rekonstrukcija (II etapas). Užbaigtumas, proc.</t>
  </si>
  <si>
    <t>2.1.2.14</t>
  </si>
  <si>
    <t>Įrengtas laikinas tiltas per Danės upę, vnt.</t>
  </si>
  <si>
    <t xml:space="preserve">Tauralaukio gyvenvietės gatvių (Akmenų g., Smėlio g., Vėjo g., Debesų g., Žvaigždžių g.) rekonstravimas </t>
  </si>
  <si>
    <t>Parengtas techn. projektas, vnt.</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</si>
  <si>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</si>
  <si>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</si>
  <si>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</si>
  <si>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</si>
  <si>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</si>
  <si>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</si>
  <si>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</si>
  <si>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2.1.2.12</t>
  </si>
  <si>
    <t>Veterinarijos gatvės rekonstravimas</t>
  </si>
  <si>
    <t>Savanorių g. rekonstravimas</t>
  </si>
  <si>
    <t>Parengtas technins projektas, vnt. Rekonstruota gatvė (800 m).
Užbaigtumas proc.</t>
  </si>
  <si>
    <t>P2.1.2.10</t>
  </si>
  <si>
    <t xml:space="preserve">Parengtas techninis projektas, vnt. 
</t>
  </si>
  <si>
    <t xml:space="preserve">Savivaldybės biudžetas, iš jo: </t>
  </si>
  <si>
    <t>Atlikti rekonstrukcijos darbai, proc.</t>
  </si>
  <si>
    <t>1
100</t>
  </si>
  <si>
    <t>Parengtas projektas, vnt.
Išasfaltuota 75 m gatvės, proc.</t>
  </si>
  <si>
    <t>2015 m. asignavimų planas</t>
  </si>
  <si>
    <t xml:space="preserve">Parengtas techninis projektas, vnt. </t>
  </si>
  <si>
    <t>Kompensuota bilietų profesinėms mokykloms, tūkst. vnt.</t>
  </si>
  <si>
    <t>Kompensuota bilietų mokykloms, tūkst. vnt.</t>
  </si>
  <si>
    <t>Rokiškio g. rekonstravimas</t>
  </si>
  <si>
    <t>Klaipėdos g. ruožo tarp Uosių ir Virkučių g. kapitalinis remontas</t>
  </si>
  <si>
    <t>Dailidžių g. akligatvio kapitalinis remontas</t>
  </si>
  <si>
    <t>Rekonstruota sankryža  (atlikti I etapo darbai)
Užbaigtumas, proc.</t>
  </si>
  <si>
    <t>1                                     50</t>
  </si>
  <si>
    <t>Parengtas techninis projektas, vnt.
Išasfaltuota 300 m gatvės su pėsčiųjų ir dviračių takais, proc.</t>
  </si>
  <si>
    <t>Parengtas techninis projektas, vnt. Rekonstruota gatvė (800 m).
Užbaigtumas proc.</t>
  </si>
  <si>
    <t>Tiesiosios g. (Rimkuose) rekonstravimas</t>
  </si>
  <si>
    <t>Parengtas techninis projektas, vnt.  Atlikta gatvės (130 m) rekonstrukcija.  Užbaigtumas, proc.</t>
  </si>
  <si>
    <t>P2 .1.2.3</t>
  </si>
  <si>
    <t>Planas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</si>
  <si>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</si>
  <si>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</si>
  <si>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</si>
  <si>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</si>
  <si>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</si>
  <si>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</si>
  <si>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Rekonstruota gatvė (1374 m ).
Užbaigtumas, proc.</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</si>
  <si>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</si>
  <si>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</si>
  <si>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</si>
  <si>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Statybininkų prospekto tęsinio tiesimas nuo Šilutės pl. per LEZ teritoriją iki 141 kelio: I etapas – Lypkių gatvės tiesimas.</t>
  </si>
  <si>
    <t>Parengtas I. Kanto g. 11–17 kiemo techninis projektas/įrengta aikštelė, vnt.</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</si>
  <si>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</si>
  <si>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</si>
  <si>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</si>
  <si>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</si>
  <si>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</si>
  <si>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</si>
  <si>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</si>
  <si>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</si>
  <si>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</si>
  <si>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</si>
  <si>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</si>
  <si>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MŪD Miesto tvarkymo sk.</t>
  </si>
  <si>
    <t xml:space="preserve">Ištisinio asfaltbetonio dangos remontas: </t>
  </si>
  <si>
    <t>Kiemų ir privažiuojamųjų kelių  prie biudžetinių įstaigų dangos remontas</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</si>
  <si>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</si>
  <si>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</si>
  <si>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</si>
  <si>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</si>
  <si>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</si>
  <si>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</si>
  <si>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</si>
  <si>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</si>
  <si>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</si>
  <si>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</si>
  <si>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</si>
  <si>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</si>
  <si>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Parengtas techninis projektas, vnt. Atlikta gatvės (400 m)  rekonstrukcija. Užbaigtumas,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</si>
  <si>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</si>
  <si>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</si>
  <si>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</si>
  <si>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</si>
  <si>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</si>
  <si>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</si>
  <si>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</si>
  <si>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</si>
  <si>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</si>
  <si>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</si>
  <si>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</si>
  <si>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</si>
  <si>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</si>
  <si>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</si>
  <si>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</si>
  <si>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</si>
  <si>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</si>
  <si>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</si>
  <si>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</si>
  <si>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</si>
  <si>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</si>
  <si>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</si>
  <si>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</si>
  <si>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Parengtas techninis projektas su detaliojo plano korekcija, vnt.</t>
  </si>
  <si>
    <t>Įrengtas kelias, proc.</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</si>
  <si>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</si>
  <si>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</si>
  <si>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</si>
  <si>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</si>
  <si>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</si>
  <si>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</si>
  <si>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</si>
  <si>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Statybininkų pr. žiedinėje sankryžoje ir   Taikos pr.;</t>
  </si>
  <si>
    <t>Centrinio Klaipėdos valstybinio jūrų uosto įvado jungties  modernizavimas: Baltijos prospekto ir Minijos gatvės sankryžos rekonstrukcija (I etapas)</t>
  </si>
  <si>
    <t>2</t>
  </si>
  <si>
    <t>240</t>
  </si>
  <si>
    <t xml:space="preserve">Įgyvendintas informacinių kelių ženklų projektas, proc. </t>
  </si>
  <si>
    <t>Akmenos-Danės upės vidaus vandens kelio administravimas</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</si>
  <si>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</si>
  <si>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</si>
  <si>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</si>
  <si>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</si>
  <si>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</si>
  <si>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</si>
  <si>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</si>
  <si>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2016-ųjų metų asignavimų planas</t>
  </si>
  <si>
    <t xml:space="preserve"> 2016–2018 M. KLAIPĖDOS MIESTO SAVIVALDYBĖS</t>
  </si>
  <si>
    <t>2016 m. asignavimų planas</t>
  </si>
  <si>
    <t>2017 m. lėšų poreikis</t>
  </si>
  <si>
    <t>2018 m. lėšų poreikis</t>
  </si>
  <si>
    <t>IED Projektų skyrių</t>
  </si>
  <si>
    <t xml:space="preserve"> </t>
  </si>
  <si>
    <t>Parengtas techninis projektas, vnt.                          Atlikta gatvės (400 m)  rekonstrukcija. Užbaigtumas, proc.</t>
  </si>
  <si>
    <t>Parengtas techninis projektas, vnt.
Tiesiamos gatvės ilgis - 500 m.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</si>
  <si>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</si>
  <si>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</si>
  <si>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</si>
  <si>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</si>
  <si>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</si>
  <si>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</si>
  <si>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</si>
  <si>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</si>
  <si>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</si>
  <si>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</si>
  <si>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įrengimo/aplinkos sutvarkymo darbų, proc.</t>
  </si>
  <si>
    <t>Atlikta kelio įrengimo/ aplinkos sutvarkymo darbų, proc.</t>
  </si>
  <si>
    <t xml:space="preserve">Dviračių takų rišlumo didinimas ir dviračių infrastruktūros tobulinimas </t>
  </si>
  <si>
    <t xml:space="preserve">Klaipėdos miesto gatvių pėsčiųjų perėjų kryptingas apšvietimas </t>
  </si>
  <si>
    <t xml:space="preserve">Laikino tilto per Danės upę įrengimas pėstiesiems ir dviratininkams ties būsima Bastionų g.  </t>
  </si>
  <si>
    <t>P2.1.2.3</t>
  </si>
  <si>
    <t xml:space="preserve">Viešojo transporto pirmenybės (A juostos) pažymėjimas </t>
  </si>
  <si>
    <t xml:space="preserve">Susisiekimo sistemos objektų pritaikymas neįgaliesiems  </t>
  </si>
  <si>
    <t>Dviračių takų rišlumo didinimas ir dviračių infrastruktūros tobulinimas</t>
  </si>
  <si>
    <t xml:space="preserve">Kombinuotų kelionių jungčių (PARK&amp;RIDE) įrengimas (šiaurinėje miesto dalyje) </t>
  </si>
  <si>
    <t>P2.1.2.2.</t>
  </si>
  <si>
    <t xml:space="preserve">MŪD </t>
  </si>
  <si>
    <t>MŪD</t>
  </si>
  <si>
    <t>Parengtas techninis projektas, vnt.
Atlikta gatvės (1280 m) rekonstrukcija.  Užbaigtumas, proc.</t>
  </si>
  <si>
    <t>Bendras tiesiamos gatvės ilgis – 571 m (II etapas). Užbaigtumas, proc.</t>
  </si>
  <si>
    <t xml:space="preserve">Automobilių stovėjimo aikštelių / kiemų / gatvių, kuriuose suremontuota asfaltbetonio danga, skaičius, vnt.
</t>
  </si>
  <si>
    <t xml:space="preserve">Įrengta automobilių stovėjimo aikštelių / vietų, vnt. </t>
  </si>
  <si>
    <t>Aiškinamojo rašto priedas Nr.3</t>
  </si>
  <si>
    <t xml:space="preserve"> TIKSLŲ, UŽDAVINIŲ, PRIEMONIŲ, PRIEMONIŲ IŠLAIDŲ IR PRODUKTO KRITERIJŲ DETALI SUVESTINĖ</t>
  </si>
  <si>
    <t xml:space="preserve">Automobilių aikštelės teritorijoje Pilies g. 2A įrengimas  </t>
  </si>
  <si>
    <t>Daugiaaukščio garažo statyba su požemine aikštele Bangų g., Klaipėdoje</t>
  </si>
  <si>
    <t>Neeksploatuojamų požeminių perėjų Šilutės pl. rekonstravimas</t>
  </si>
  <si>
    <t xml:space="preserve">Neeksploatuojamų požeminių perėjų Šilutės pl. rekonstravimas </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</si>
  <si>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</si>
  <si>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</si>
  <si>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</si>
  <si>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</si>
  <si>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</si>
  <si>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</si>
  <si>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 xml:space="preserve">Privažiuojamojo kelio prie pastato Debreceno g. 48  įrengimas ir pastato aplinkos sutvarkymas </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</si>
  <si>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</si>
  <si>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</si>
  <si>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</si>
  <si>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</si>
  <si>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</si>
  <si>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</si>
  <si>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</si>
  <si>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t>Parengtas techninis projektas, vnt.
Tiesiamos gatvės ilgis – 500 m.
Užbaigtumas, proc.</t>
  </si>
  <si>
    <t>Lyginamasis variantas</t>
  </si>
  <si>
    <t>Skirtumas</t>
  </si>
  <si>
    <t>Įrengta elektromobilių įkrovos stotelių, vnt.</t>
  </si>
  <si>
    <t>Rekonstruota gatvė (300 m ).
Užbaigtumas, proc.</t>
  </si>
  <si>
    <t>Klaipėdos miesto viešojo transporto švieslenčių ir informacinių švieslenčių įrengimas ir atnaujinimas</t>
  </si>
  <si>
    <t>Įrengta informacinė švieslentė ties įvažiavimu į Melnragės sankryžą, vnt.</t>
  </si>
  <si>
    <t>Parengta galimybių studija dėl eismo optimizavimo H. Manto g. ruože nuo Biržos tilto iki J. Janonio g., vnt.</t>
  </si>
  <si>
    <t xml:space="preserve">Keleivinio transporto stotelių su įvažomis Klaipėdos miesto gatvėse projektavimas ir įrengimas  </t>
  </si>
  <si>
    <t>Statybininkų pr. vienos krypties ruože nuo Šilutės pl. iki Taikos pr.;</t>
  </si>
  <si>
    <t>Suremontuota I. Kanto g. šaligatvių, ha</t>
  </si>
  <si>
    <t>0,23</t>
  </si>
  <si>
    <t>Įsigyta autobusų, vnt.</t>
  </si>
  <si>
    <t>Siūlomas keisti 2017-ųjų   metų asignavimų planas</t>
  </si>
  <si>
    <t>Dangų remontas:</t>
  </si>
  <si>
    <t xml:space="preserve">Įrengta švieslenčių miesto autobusų stotelėse, vnt.  </t>
  </si>
  <si>
    <t>Klaipėdos miesto viešojo transporto atnaujinimas (autobusų įsigijimas)</t>
  </si>
  <si>
    <t>Atnaujintas šviesoforas S. Daukanto ir H. Manto g. sankryžoje, vnt.</t>
  </si>
  <si>
    <t>Apšviesta pėsčiųjų perėjų (2016 m. – prie Laukininkų g. 54 prie prekybos centro „Iki“, Taikos pr. prie prekybos centro ,,Saturnas“, Smiltelės g. prie SODROS pastato, Kretingos g. prie LCC universiteto, Panevėžio g. prie Dailidžių g. sankryžos, Dailidžių g. prie Šviesos g.(prie Aklųjų kombinato), prie Bijūnų g. 17 pastato, J. Janonio g. 32 (prie Vitės pagrindinės mokyklos), Liepojos g. prie Girininkijos stotelės, Liepojos g. prie Vasaros estrados stotelės (vaikšto aklieji), Sausio 15-osios g.  prie Rumpiškės g., Malūnininkų g., Sportininkų g., Kauno g. 9, Kauno g. prie Policijos komisariato pastato, Sausio 15-osios g. prie Rumpiškės g.), skaičius</t>
  </si>
  <si>
    <t>Atlikta požeminių perėjų, esančių Vingio g. ir Šilutės pl. (prie prekybos centro „Banginis“), atnaujinimo darbų, proc.</t>
  </si>
  <si>
    <t>20</t>
  </si>
  <si>
    <t xml:space="preserve"> Dangų remontas:</t>
  </si>
  <si>
    <t>2,9</t>
  </si>
  <si>
    <t>Nuostolingų maršrutų skaičius, vnt.</t>
  </si>
  <si>
    <t>Siūlomas keisti 2018-ųjų   metų asignavimų planas</t>
  </si>
  <si>
    <t>Parengta projektų/galimybių studijų, vnt.</t>
  </si>
  <si>
    <t>Įdiegta dalinimosi dviračiais sistema, vnt.</t>
  </si>
  <si>
    <t>Įdiegta transporto valdymo sistema,vnt.</t>
  </si>
  <si>
    <t>0,5</t>
  </si>
  <si>
    <t>Suorganizuota renginių, vnt.</t>
  </si>
  <si>
    <t>Paaiškinimai</t>
  </si>
  <si>
    <t xml:space="preserve">Dalyvavimas projekte „Uostamiesčiai: darnaus judumo principų integravimas (PORT Cities: Integrating Sustainability, PORTIS)" </t>
  </si>
  <si>
    <t>Dalyvavimas projekte „Uostamiesčiai: darnaus judumo principų integravimas (PORT Cities: Integrating Sustainability, PORTIS)"</t>
  </si>
  <si>
    <t xml:space="preserve"> - vežėjams už lengvatas turinčių keleivių vežimą </t>
  </si>
  <si>
    <t>Įdiegta transporto valdymo sistema, vnt.</t>
  </si>
  <si>
    <t>-  nuostolių, patirtų vykdant keleivinio kelių transporto viešųjų paslaugų sutartis, vežant keleivius vietinio (miesto) reguliaraus susisiekimo autobusų maršrutais, kompensavimas</t>
  </si>
  <si>
    <t>- nuostolių, patirtų vykdant keleivinio kelių transporto viešųjų paslaugų sutartis, vežant keleivius vietinio (miesto) reguliaraus susisiekimo autobusų maršrutais, kompensavimas</t>
  </si>
  <si>
    <t>P2.1.2.7</t>
  </si>
  <si>
    <t>Atlikti gatvės (600 m) ir žiedinės sankryžos rekonstravimo darbai. 
Užbaigtumas, proc.</t>
  </si>
  <si>
    <t xml:space="preserve">Parengtas techninis projektas, vnt.
</t>
  </si>
  <si>
    <t xml:space="preserve">Parengtas investicijų projektas, vnt.
</t>
  </si>
  <si>
    <t xml:space="preserve">Atlikti gatvės (600 m) ir žiedinės sankryžos rekonstravimo darbai. </t>
  </si>
  <si>
    <r>
      <t xml:space="preserve">Įdiegta dalinimosi dviračiais </t>
    </r>
    <r>
      <rPr>
        <i/>
        <sz val="10"/>
        <rFont val="Times New Roman"/>
        <family val="1"/>
        <charset val="186"/>
      </rPr>
      <t>(bike-sharing)</t>
    </r>
    <r>
      <rPr>
        <sz val="10"/>
        <rFont val="Times New Roman"/>
        <family val="1"/>
        <charset val="186"/>
      </rPr>
      <t xml:space="preserve"> sistema, vnt.</t>
    </r>
  </si>
  <si>
    <t xml:space="preserve">Parengtas techninis projektas, vnt.  </t>
  </si>
  <si>
    <t>Atlikta gatvių rekonstrukcija. Užbaigtumas, proc.</t>
  </si>
  <si>
    <t xml:space="preserve">Laikino tilto per Danės upę įrengimas pėstiesiems ir dviratininkams ties būsima Bastionų g. </t>
  </si>
  <si>
    <t xml:space="preserve">Atlikti gatvės rekonstravimo darbai. Užbaigtumas, proc. </t>
  </si>
  <si>
    <t xml:space="preserve">Parengti projektiniai pasiūlymai (nuo Laivų skersgatvio iki Artojų g.), vnt. </t>
  </si>
  <si>
    <t>Parengti projektiniai pasiūlymai, vnt.</t>
  </si>
  <si>
    <t xml:space="preserve">Atlikti naujo tilto su pakeliamu mechanizmu statybos rangos darbai, proc. </t>
  </si>
  <si>
    <t xml:space="preserve">Atlikti Bastionų gatvės tiesimo rangos darbai, proc. </t>
  </si>
  <si>
    <t>Atlikta gatvės (1374 m ) rekonstrukcija.
Užbaigtumas, proc.</t>
  </si>
  <si>
    <t>Rekonstruota sankryža (atlikti I etapo darbai)
Užbaigtumas, proc.</t>
  </si>
  <si>
    <t>Atlikta aikštelės įrengimo darbų, proc.</t>
  </si>
  <si>
    <r>
      <rPr>
        <b/>
        <sz val="10"/>
        <rFont val="Times New Roman"/>
        <family val="1"/>
        <charset val="186"/>
      </rPr>
      <t>Bastionų gatvės tiesimas:</t>
    </r>
    <r>
      <rPr>
        <sz val="10"/>
        <rFont val="Times New Roman"/>
        <family val="1"/>
        <charset val="186"/>
      </rPr>
      <t xml:space="preserve"> </t>
    </r>
    <r>
      <rPr>
        <b/>
        <sz val="10"/>
        <rFont val="Times New Roman"/>
        <family val="1"/>
        <charset val="186"/>
      </rPr>
      <t xml:space="preserve">I etapas. </t>
    </r>
    <r>
      <rPr>
        <sz val="10"/>
        <rFont val="Times New Roman"/>
        <family val="1"/>
        <charset val="186"/>
      </rPr>
      <t>Bastonų g. nuo Danės g. iki Danės upės ir nuo Danės upės iki Gluosnių gatvės tiesimas;</t>
    </r>
  </si>
  <si>
    <t>Laikino tilto per Danės upę įrengimas pėstiesiems ir dviratininkams ties būsima Bastionų g.</t>
  </si>
  <si>
    <t xml:space="preserve">Tauralaukio gyvenvietės gatvių rekonstravimas </t>
  </si>
  <si>
    <t>Baltijos prospekto ir Šiltutės plento žiedinės sankryžos rekonstravimas</t>
  </si>
  <si>
    <t>Baltijos prospekto ir Šilutės plento žiedinės sankryžos rekonstravimas</t>
  </si>
  <si>
    <t>Automobilių stovėjimo aikštelės, esančios šalia Pempininkų aikštės (Taikos pr. 79), dangos atnaujinimo darbai</t>
  </si>
  <si>
    <t>Atlikta dangos atnaujinimo darbų, proc.</t>
  </si>
  <si>
    <t>Atlikta Biržos tilto remonto darbų, proc.</t>
  </si>
  <si>
    <t>Parengtas I etapo techninis projektas (Akmenų g., Smėlio g., Vėjo g., Debesų g., Žvaigždžių g.), vnt.</t>
  </si>
  <si>
    <t>Parengtas II etapo techninis projektas (Klaipėdos g., Virkučių g., Slengių g., Lietaus g., Vaivorykštės g., Griaustinio g. ir Arimų g.), vnt.</t>
  </si>
  <si>
    <t>Atlikta (2017 m.) Akmenų g. (463 m ) ir Vėjo g. (1250 m) rekonstrukcija. Užbaigtumas, proc.</t>
  </si>
  <si>
    <t>Atlikta (2018 m.) Smėlio g. (824 m) ir Virkučių g. (1004) rekonstrukcija. Užbaigtumas, proc.</t>
  </si>
  <si>
    <r>
      <rPr>
        <b/>
        <sz val="10"/>
        <rFont val="Times New Roman"/>
        <family val="1"/>
        <charset val="186"/>
      </rPr>
      <t>Naujo tilto</t>
    </r>
    <r>
      <rPr>
        <sz val="10"/>
        <rFont val="Times New Roman"/>
        <family val="1"/>
        <charset val="186"/>
      </rPr>
      <t xml:space="preserve"> su pakeliamu mechanizmu per Danę statyba ir prieigų sutvarkymas Danės pakrantėje (bendra projekto vertė – 6 053 060 Eur, iš jų: ES lėšos – 5 145 100 Eur, VB lėšos – 453 979,41 Eur, SB lėšos – 453 980,59 Eur)</t>
    </r>
  </si>
  <si>
    <r>
      <rPr>
        <b/>
        <sz val="10"/>
        <rFont val="Times New Roman"/>
        <family val="1"/>
        <charset val="186"/>
      </rPr>
      <t>II etapas.</t>
    </r>
    <r>
      <rPr>
        <sz val="10"/>
        <rFont val="Times New Roman"/>
        <family val="1"/>
        <charset val="186"/>
      </rPr>
      <t xml:space="preserve"> Bastionų g. nuo Gluosnių gatvės iki Bangų gatvės tiesimas (bendra projekto vertė – 2 200 440 Eur, iš jų: ES lėšos – 1 758 148 Eur, SB lėšos – 211 242 Eur, KPPP lėšos –231 050 Eur)</t>
    </r>
  </si>
  <si>
    <t xml:space="preserve">Danės g. rekonstravimas (siekiant racionaliai suplanuoti jungtis su Bastionų g., nauju tiltu per Danės upę ir Artojų g.) </t>
  </si>
  <si>
    <t xml:space="preserve">Parengtas techninis projektas (nuo Atgimimo aikštės iki Laivų skersgatvio), vnt. </t>
  </si>
  <si>
    <t xml:space="preserve">Tomo ir Pylimo gatvių rekonstravimas </t>
  </si>
  <si>
    <t>Siūlomas keisti 2016-ųjų metų asignavimų planas</t>
  </si>
  <si>
    <r>
      <rPr>
        <strike/>
        <sz val="10"/>
        <color rgb="FFFF0000"/>
        <rFont val="Times New Roman"/>
        <family val="1"/>
        <charset val="186"/>
      </rPr>
      <t xml:space="preserve">2,3 </t>
    </r>
    <r>
      <rPr>
        <sz val="10"/>
        <color rgb="FFFF0000"/>
        <rFont val="Times New Roman"/>
        <family val="1"/>
        <charset val="186"/>
      </rPr>
      <t xml:space="preserve"> 2,9</t>
    </r>
  </si>
  <si>
    <t>Parengta paraiška, vnt.</t>
  </si>
  <si>
    <t>P2.1.2.5</t>
  </si>
  <si>
    <t>2/90</t>
  </si>
  <si>
    <r>
      <rPr>
        <strike/>
        <sz val="10"/>
        <color rgb="FFFF0000"/>
        <rFont val="Times New Roman"/>
        <family val="1"/>
        <charset val="186"/>
      </rPr>
      <t>1/70</t>
    </r>
    <r>
      <rPr>
        <sz val="10"/>
        <color rgb="FFFF0000"/>
        <rFont val="Times New Roman"/>
        <family val="1"/>
        <charset val="186"/>
      </rPr>
      <t xml:space="preserve">  2/90</t>
    </r>
  </si>
  <si>
    <t>Dalyvavimas projekte „Naujos transporto rūšies integravimas į miesto viešojo transporto sistemą (European Local Energy Assistance, ELENA)"</t>
  </si>
  <si>
    <t xml:space="preserve">Siūloma parengti paraišką ir dalyvauti tarptautiniame projekte pagal programą ELENA (European Local Energy Assistance). Lėšos reikalingos įsigyti paslaugą - parengti paraišką anglų kalba.  Paraiškoje bus aplikuojama gauti ES lėšų siekiant parengti Ekologiško viešojo transporto  galimybių studiją su investicijų projektu. Jei paraiška bus patvirtinta,  aukščiau minėtos studijos parengimo darbus 90 proc. subsidijuos programa ELENA. Studijoje būtų nagrinėjamos ekologiškų elektra varomų autobusų  ar tramvajaus atsiradimo mieste galimybės. </t>
  </si>
  <si>
    <t xml:space="preserve">Siūloma koreguoti priemonės finansavimo apimtis, padidinant 2016 m finansavimą iš lėšų šaltinio SB(KPP).  Šiais metais vykdant priemones, finansuojamas iš SB(KPP), ne visos šios lėšos buvo panaudotos  (dalyje priemonių paslaugų ir darbų buvo nupirkti pigiau nei planuota, o kitos priemonės, dėl užsitęsusių rangos darbų, bus pradėtos vykdyti tik 2017 m.). SB (KPP) lėšų nepanaudojus iki biudžetinių metų pabaigos, jas tektų grąžinti į valstybės biudžetą. Todėl siūloma taupyti kito finansavimo šaltinio - SB lėšas ir tas priemones, kurias buvo suplanuota finansuoti iš SB, finansuoti (iš dalies) SB (KPP) lėšomis. SB lėšos liks nepanaudotos ir bus naudojamos investiciniams projektams vykdyti 2017 m. </t>
  </si>
  <si>
    <t xml:space="preserve">Siūloma mažinti priemonės finansinę apimtį.  2016 m. buvo parengtas techninis projektas ir pradėtos vykdyti viešųjų pirkimų procedūros. Tiekėjų pasiūlyta kaina (152 tūkst. Eur) viršijo pirkimui suplanuotas lėšas (90 tūkst. Eur). Priežastis yra išaugusi darbų apimtis - parengus laikino tilto techninį projektą, paaiškėjo, kad reikia stiprinti esamas ir įtraukti naujas laikančiąsias konstrukcijas, o senas medines konstrukcijos reikia keisti naujomis, nes yra netinkamos būklės. Kadangi papriemonės įgyvendinimo kaštai yra beveik dvigubai didesni nei planuota, siūloma jos tolimesnio vykdymo atsisakyti. </t>
  </si>
  <si>
    <t>Siūloma mažinti priemonės finansinę apimtį 2016 m. ir didinti finansavimo apimtį 2017 m. Kadangi yra nebaigtos dalies žemės sklypo, patikėjimo teise valdomo KJVUD, ir jame esančių AB „Baltijos laivų statykla“ priklausančių pastatų paėmimas visuomenės poreikiams procedūros. Techninio projekto parengimo darbai bus pradėti vykdyti tik 2017 m.</t>
  </si>
  <si>
    <t xml:space="preserve">Siūloma koreguoti priemonės SB ir SB(KPP) finansavimo šaltinių lėšų apimtis (perskirstyti lėšas tarp šių dviejų finansavimo šaltinių)  ir nežymiai sumažinti bendrą šio projekto vertę iki 1008,5 tūkst. Eur. 2016 m., vykdant priemones, finansuojamas iš finansavimo šaltinio SB (KPP), ne visos šios lėšos buvo panaudotos  (dalyje priemonių paslaugų ir darbų buvo nupirkti pigiau nei planuota, o kitos priemonės, dėl užsitęsusių rangos darbų, bus pradėtos vykdyti tik 2017 m.). SB (KPP) lėšų nepanaudojus iki biudžetinių metų pabaigos, jas tektų grąžinti į valstybės biudžetą. Todėl siūloma taupyti kito finansavimo šaltinio - SB lėšas ir tas priemones, kurias buvo suplanuota finansuoti iš SB, finansuoti (iš dalies) SB (KPP) lėšomis. </t>
  </si>
  <si>
    <t>Siūloma mažinti priemonės finansinę apimtį. Įvykdžius viešųjų pirkimų procedūras paaiškėjo, kad techninio projekto parengimo ir ekspertizės kaina yra mažesnė nei planuota</t>
  </si>
  <si>
    <t>Siūloma mažinti priemonės finansinę apimtį 2016 m., koreguoti finansavimo apimtį 2017 m. ir tikslinti  vertinimo kriterijaus reikšmę. Ilgiau nei planuota truko techninio projekto (I etapo) parengimo, ekspertizės,  ir derinimo procedūros, ši veikla bus užbaigta vykdyti 2017 m. Rangos darbai bus atliekami 2017 m.</t>
  </si>
  <si>
    <t>Siūloma mažinti priemonės finansinę apimtį. Įvykdžius viešųjų pirkimų procedūras paaiškėjo, kad techninio projekto parengimo ir ekspertizės kaina yra mažesnė nei planuota.</t>
  </si>
  <si>
    <t>Siūloma mažinti priemonės finansinę apimtį. Įvykdžius viešųjų pirkimų procedūras paaiškėjo, kad techninio projekto parengimo ir ekspertizės kaina mažesnė nei planuota</t>
  </si>
  <si>
    <t>Siūloma mažinti priemonės finansinę apimtį.  Įvykdžius viešųjų pirkimų procedūras paaiškėjo, kad techninio projekto parengimo ir ekspertizės kaina yra mažesnė nei planuota.</t>
  </si>
  <si>
    <t xml:space="preserve">Siūloma mažinti priemonės finansinę apimtį 2016 m., koreguoti finansavimo apimtį 2017 m. ir  keisti vertinimo kriterijaus reikšmę. 2016 m. pasirašyta bendradarbiavimo sutartis tarp Klaipėdos miesto savivaldybės ir   Lietuvos automobilių kelių direkcijos prie Susisiekimo ministerijos (LAKD).  Vadovaujantis sutarties nuostatomis, LAKD įgaliota vykdyti projekto viešuosius pirkimus Klaipėdos miesto savivaldybei priklausančiai projekto daliai. LAKD informavo, kad ilgiau nei planuota užtrukus viešųjų pirkimų procedūroms, kelio rekonstrukcijos projektavimo ir rangos darbų sutarties pasirašymas numatomas 2016 m. IV ketvirtį, o veiklos bus vykdomos tik 2017 m. </t>
  </si>
  <si>
    <t xml:space="preserve">Siūloma mažinti priemonės finansinę apimtį 2016 m., koreguoti finansavimo apimtį 2017 m. Techninis darbo projektas bus parengtas 2016 m. gruodžio mėn., tačiau statybą leidžiantį dokumentą planuojama gauti tik 2017 m. pradžioje.  </t>
  </si>
  <si>
    <t>Siūloma padidinti priemonės finansinę apimtį 2016 m. Vykdant viešųjų pirkimų procedūras paaiškėjo, kad techninio projekto parengimo kaina yra didesnė nei planuota</t>
  </si>
  <si>
    <t>Siūloma didinti priemonės finansinę apimtį. Įvykdžius viešųjų pirkimų procedūras paaiškėjo, kad kaina yra didesnė  nei planuota.</t>
  </si>
  <si>
    <r>
      <rPr>
        <strike/>
        <sz val="10"/>
        <color rgb="FFFF0000"/>
        <rFont val="Times New Roman"/>
        <family val="1"/>
        <charset val="186"/>
      </rPr>
      <t xml:space="preserve">50 </t>
    </r>
    <r>
      <rPr>
        <sz val="10"/>
        <color rgb="FFFF0000"/>
        <rFont val="Times New Roman"/>
        <family val="1"/>
        <charset val="186"/>
      </rPr>
      <t xml:space="preserve"> 15</t>
    </r>
  </si>
  <si>
    <r>
      <rPr>
        <strike/>
        <sz val="10"/>
        <color rgb="FFFF0000"/>
        <rFont val="Times New Roman"/>
        <family val="1"/>
        <charset val="186"/>
      </rPr>
      <t>20</t>
    </r>
    <r>
      <rPr>
        <sz val="10"/>
        <color rgb="FFFF0000"/>
        <rFont val="Times New Roman"/>
        <family val="1"/>
        <charset val="186"/>
      </rPr>
      <t xml:space="preserve">    15</t>
    </r>
  </si>
  <si>
    <t>Tilžės g. nuo Šilutės pl. iki geležinkelio pervažos rekonstravimas, pertvarkant žiedinę Mokyklos g. ir Šilutės pl. sankryžą</t>
  </si>
  <si>
    <r>
      <rPr>
        <b/>
        <sz val="10"/>
        <rFont val="Times New Roman"/>
        <family val="1"/>
        <charset val="186"/>
      </rPr>
      <t xml:space="preserve">I etapas. </t>
    </r>
    <r>
      <rPr>
        <sz val="10"/>
        <rFont val="Times New Roman"/>
        <family val="1"/>
        <charset val="186"/>
      </rPr>
      <t>Tilžės g. nuo Šilutės pl. iki geležinkelio pervažos rekonstrukcija</t>
    </r>
  </si>
  <si>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</si>
  <si>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r>
      <rPr>
        <b/>
        <sz val="10"/>
        <color rgb="FFFF0000"/>
        <rFont val="Times New Roman"/>
        <family val="1"/>
        <charset val="186"/>
      </rPr>
      <t>II etapas.</t>
    </r>
    <r>
      <rPr>
        <sz val="10"/>
        <color rgb="FFFF0000"/>
        <rFont val="Times New Roman"/>
        <family val="1"/>
        <charset val="186"/>
      </rPr>
      <t xml:space="preserve"> Žiedinės Tilžės g., Mokyklos g. ir Šilutės pl. sankryžos pertvarkymas į šviesoforinę </t>
    </r>
  </si>
  <si>
    <t xml:space="preserve">Siūloma  mažinti priemonės finansinę apimtį 2016 m., koreguoti finansavimo apimtį 2017 m. ir tikslinti  vertinimo kriterijų reikšmes. Techninis darbo projektas yra parengtas, tačiau statybą leidžiantis dokumentas dar nėra gautas, nes užtruko derinimo procedūros su AB "Lietuvos geležinkeliai". Todėl ši veikla bus baigta vykdyti ir apmokėjimas už paslaugas bus atliktas 2017 m. I ketvirtį.                                       Teikiant projektų paraiškas ES lėšoms gauti yra reikalaujama atitikties savivaldybių strateginiams veiklos planams, juose turi matytis bendra projekto vertė, atitinkanti paraiškose nurodomą vertę. Siūloma patikslinti projekto vertę, įrašyti ją teisingą </t>
  </si>
  <si>
    <t>Siūloma koreguoti projekto finansavimo planą, keičiant finansavimo apimtis 2016 m., 2017 m., 2018 m. Priemonės finansavimo apimtis 2016 m. keičiama jai didiant finansavimą iš lėšų šaltinio SB(KPP).  Šiais metais vykdant priemones, finansuojamas iš SB(KPP), ne visos šios lėšos buvo panaudotos (dalyje priemonių paslaugų ir darbų buvo nupirkti pigiau nei planuota, o kitos priemonės, dėl užsitęsusių rangos darbų, bus pradėtos vykdyti tik 2017 m.). SB (KPP) lėšų nepanaudojus iki biudžetinių metų pabaigos, jas tektų grąžinti į valstybės biudžetą. Todėl siūloma taupyti kito finansavimo šaltinio - SB lėšas ir tas priemones, kurias buvo suplanuota finansuoti iš SB, finansuoti (iš dalies) SB (KPP) lėšomis. SB lėšos liks nepanaudotos ir bus naudojamos investiciniams projektams vykdyti 2017 m. Priemonės 2017-2018 m. finansavimo apimtys ir vertinimo kriterijai tikslinami Investicijų ir ekonomikos departamentui pateikus naują investicinio projekto įgyvendinimo grafiką</t>
  </si>
  <si>
    <t xml:space="preserve">Siūloma didinti priemonės finansavimo apimtį. Kilus teisiniam ginčui, teisme buvo sudaryta taikos sutartis ir savivaldybė įpareigota sumokėti rangovui  270 tūkst. Eur. Planuota apmokėti iš VĮ Klaipėdos valstybinio jūrų uosto direkcijos (KVJUD) lėšų, tačiau KVJUD jų neskyrus, reikalinga jas padengti iš savivaldybės lėšų. </t>
  </si>
  <si>
    <t>Siūloma mažinti  priemonės finansinę apimtį ir tikslinti vertinimo kriterijų reikšmes dėl šių priežasčių; užtrukus viešųjų pirkimų procedūroms vykdant papriemonę "Mokamo automobilių stovėjimo sistemos mieste kūrimas ir išlaikymas", 2016 m. nebus spėta atlikti visų suplanuotų  automobilių stovėjimo aikštelės I. Kanto g. 11-17 atnaujinimo darbų (2016 m. bus atlikta  70 proc., likę 30 proc. darbų bus atlikti 2017 m).</t>
  </si>
  <si>
    <t>Siūloma didinti  papriemonės finansavimo apimtį ir tikslinti vertinimo kriterijų reikšmes. Esant finansinėms galimybėms, siūloma 2016 m. suremontuoti  duobių  magistralinėse miesto gatvėse su asfaltbetonio danga (2,9 ha vietoje 2,3 ha), nei planuota anksčiau</t>
  </si>
  <si>
    <t xml:space="preserve">(I etapo projekto vertė – 2 329 704,67 Eur, iš jų: ES lėšos – 1 230 478 Eur, SB lėšos – 316 371,40 Eur,  KPPP lėšos – 482 855,27 Eur,  KVJUD  lėšos – 300 000  Eur)                                                                                                                                             </t>
  </si>
  <si>
    <t xml:space="preserve">(II etapo projekto vertė  – 4 670 295,33 Eur, iš jų: ES lėšos – 750 123,25 Eur, SB lėšos – 758 752,80 Eur, KPPP lėšos  – 1 661 419,28 Eur, KVJUD lėšos – 1 500 000 Eur) </t>
  </si>
  <si>
    <t xml:space="preserve">(I etapo projekto vertė – 2 329 704,67 Eur, iš jų: ES lėšos – 1 230 478 Eur, SB lėšos – 316 371,40 Eur,  KPPP lėšos – 482 855,27 Eur,  KVJUD  lėšos – 300 000  Eur)                                                                     </t>
  </si>
  <si>
    <t xml:space="preserve">(II etapo projekto vertė – 4 670 295,33 Eur, iš jų: ES lėšos – 750 123,25 Eur, SB lėšos – 758 752,80 Eur, KPPP lėšos – 1 661 419,28 Eur, KVJUD lėšos – 1 500 000 Eur) </t>
  </si>
  <si>
    <t xml:space="preserve">(bendra projekto vertė – 7 000 000 Eur, iš jų: ES lėšos – 1 980 601 Eur, SB lėšos – 1 075 124 Eur, KPP lėšos – 2 144 275 Eur, KVJUD lėšos – 1 800 000)                                                                                       </t>
  </si>
  <si>
    <r>
      <t xml:space="preserve">(bendra projekto vertė  – </t>
    </r>
    <r>
      <rPr>
        <strike/>
        <sz val="10"/>
        <color rgb="FFFF0000"/>
        <rFont val="Times New Roman"/>
        <family val="1"/>
        <charset val="186"/>
      </rPr>
      <t xml:space="preserve">8 </t>
    </r>
    <r>
      <rPr>
        <sz val="10"/>
        <color rgb="FFFF0000"/>
        <rFont val="Times New Roman"/>
        <family val="1"/>
        <charset val="186"/>
      </rPr>
      <t>7</t>
    </r>
    <r>
      <rPr>
        <sz val="10"/>
        <rFont val="Times New Roman"/>
        <family val="1"/>
        <charset val="186"/>
      </rPr>
      <t xml:space="preserve"> 000 000 Eur, iš jų:</t>
    </r>
    <r>
      <rPr>
        <sz val="10"/>
        <color rgb="FFFF0000"/>
        <rFont val="Times New Roman"/>
        <family val="1"/>
        <charset val="186"/>
      </rPr>
      <t xml:space="preserve"> ES lėšos – 1 980 601 Eur, SB lėšos – 1 075 124 Eur, KPP lėšos – 2 144 275 Eur, KVJUD lėšos – 1 800 000)       </t>
    </r>
    <r>
      <rPr>
        <sz val="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</si>
</sst>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3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7"/>
      <name val="Times New Roman"/>
      <family val="1"/>
      <charset val="186"/>
    </font>
    <font>
      <b/>
      <sz val="10"/>
      <name val="Arial"/>
      <family val="2"/>
      <charset val="186"/>
    </font>
    <font>
      <sz val="7"/>
      <name val="Arial"/>
      <family val="2"/>
      <charset val="186"/>
    </font>
    <font>
      <b/>
      <sz val="10"/>
      <color indexed="81"/>
      <name val="Tahoma"/>
      <family val="2"/>
      <charset val="186"/>
    </font>
    <font>
      <sz val="10"/>
      <color indexed="81"/>
      <name val="Tahoma"/>
      <family val="2"/>
      <charset val="186"/>
    </font>
    <font>
      <strike/>
      <sz val="10"/>
      <name val="Times New Roman"/>
      <family val="1"/>
      <charset val="186"/>
    </font>
    <font>
      <b/>
      <sz val="7"/>
      <name val="Times New Roman"/>
      <family val="1"/>
      <charset val="186"/>
    </font>
    <font>
      <i/>
      <sz val="10"/>
      <name val="Times New Roman"/>
      <family val="1"/>
      <charset val="186"/>
    </font>
    <font>
      <b/>
      <i/>
      <sz val="12"/>
      <name val="Times New Roman"/>
      <family val="1"/>
      <charset val="186"/>
    </font>
    <font>
      <b/>
      <i/>
      <sz val="12"/>
      <name val="Arial"/>
      <family val="2"/>
      <charset val="186"/>
    </font>
    <font>
      <sz val="10"/>
      <color rgb="FFFF0000"/>
      <name val="Times New Roman"/>
      <family val="1"/>
      <charset val="186"/>
    </font>
    <font>
      <strike/>
      <sz val="10"/>
      <color rgb="FFFF0000"/>
      <name val="Times New Roman"/>
      <family val="1"/>
      <charset val="186"/>
    </font>
    <font>
      <sz val="10"/>
      <color rgb="FFFF0000"/>
      <name val="Arial"/>
      <family val="2"/>
      <charset val="186"/>
    </font>
    <font>
      <b/>
      <sz val="8"/>
      <name val="Arial"/>
      <family val="2"/>
      <charset val="186"/>
    </font>
    <font>
      <b/>
      <sz val="9"/>
      <name val="Arial"/>
      <family val="2"/>
      <charset val="186"/>
    </font>
    <font>
      <sz val="9"/>
      <name val="Times New Roman"/>
      <family val="1"/>
    </font>
    <font>
      <sz val="10"/>
      <color theme="1"/>
      <name val="Times New Roman"/>
      <family val="1"/>
      <charset val="186"/>
    </font>
    <font>
      <sz val="10"/>
      <color theme="3"/>
      <name val="Arial"/>
      <family val="2"/>
      <charset val="186"/>
    </font>
    <font>
      <b/>
      <sz val="10"/>
      <color rgb="FFFF000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s>
  <cellStyleXfs count="3">
    <xf numFmtId="0" fontId="0" fillId="0" borderId="0"/>
    <xf numFmtId="164" fontId="11" fillId="0" borderId="0" applyFont="0" applyFill="0" applyBorder="0" applyAlignment="0" applyProtection="0"/>
    <xf numFmtId="0" fontId="11" fillId="0" borderId="0"/>
  </cellStyleXfs>
  <cellXfs count="2632">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5"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6" xfId="0" applyFont="1" applyBorder="1" applyAlignment="1">
      <alignment vertical="top"/>
    </xf>
    <xf numFmtId="0" fontId="3" fillId="0" borderId="26" xfId="0" applyFont="1" applyBorder="1" applyAlignment="1">
      <alignment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7" xfId="0" applyFont="1" applyBorder="1" applyAlignment="1">
      <alignment vertical="top"/>
    </xf>
    <xf numFmtId="165" fontId="3" fillId="0" borderId="0" xfId="0" applyNumberFormat="1" applyFont="1" applyAlignment="1">
      <alignment vertical="top"/>
    </xf>
    <xf numFmtId="0" fontId="6" fillId="0" borderId="1" xfId="0" applyFont="1" applyBorder="1" applyAlignment="1">
      <alignment horizontal="center" vertical="top" wrapText="1"/>
    </xf>
    <xf numFmtId="165" fontId="3" fillId="0" borderId="0" xfId="0" applyNumberFormat="1" applyFont="1" applyBorder="1" applyAlignment="1">
      <alignment vertical="top"/>
    </xf>
    <xf numFmtId="0" fontId="3" fillId="0" borderId="53" xfId="0" applyFont="1" applyBorder="1" applyAlignment="1">
      <alignment vertical="top"/>
    </xf>
    <xf numFmtId="0" fontId="3" fillId="0" borderId="29" xfId="0" applyFont="1" applyBorder="1" applyAlignment="1">
      <alignment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10" fillId="0" borderId="43" xfId="0" applyFont="1" applyFill="1" applyBorder="1" applyAlignment="1">
      <alignment horizontal="left" vertical="top" wrapText="1"/>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5" borderId="56" xfId="0" applyNumberFormat="1" applyFont="1" applyFill="1" applyBorder="1" applyAlignment="1">
      <alignment horizontal="center" vertical="top"/>
    </xf>
    <xf numFmtId="166"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166" fontId="3" fillId="0" borderId="28" xfId="0" applyNumberFormat="1" applyFont="1" applyFill="1" applyBorder="1" applyAlignment="1">
      <alignment horizontal="center" vertical="top"/>
    </xf>
    <xf numFmtId="165" fontId="3" fillId="3" borderId="28" xfId="0" applyNumberFormat="1" applyFont="1" applyFill="1" applyBorder="1" applyAlignment="1">
      <alignment horizontal="right" vertical="top"/>
    </xf>
    <xf numFmtId="166" fontId="3" fillId="0" borderId="0" xfId="0" applyNumberFormat="1" applyFont="1" applyAlignment="1">
      <alignment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5"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1" xfId="0" applyFont="1" applyFill="1" applyBorder="1" applyAlignment="1">
      <alignment horizontal="center" vertical="top"/>
    </xf>
    <xf numFmtId="0" fontId="3" fillId="0" borderId="67" xfId="0" applyFont="1" applyFill="1" applyBorder="1" applyAlignment="1">
      <alignment horizontal="center" vertical="top"/>
    </xf>
    <xf numFmtId="165" fontId="3" fillId="3" borderId="6" xfId="0" applyNumberFormat="1" applyFont="1" applyFill="1" applyBorder="1" applyAlignment="1">
      <alignment horizontal="right" vertical="top" wrapText="1"/>
    </xf>
    <xf numFmtId="165"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0" fontId="3" fillId="0" borderId="8" xfId="0" applyFont="1" applyFill="1" applyBorder="1" applyAlignment="1">
      <alignment horizontal="center"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0" fontId="3" fillId="0" borderId="8" xfId="0" applyFont="1" applyBorder="1" applyAlignment="1">
      <alignment horizontal="center" vertical="top"/>
    </xf>
    <xf numFmtId="49" fontId="5" fillId="0" borderId="1" xfId="0" applyNumberFormat="1" applyFont="1" applyBorder="1" applyAlignment="1">
      <alignment horizontal="center"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20" xfId="0" applyFont="1" applyFill="1" applyBorder="1" applyAlignment="1">
      <alignment horizontal="center" vertical="center"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0" borderId="67" xfId="0" applyFont="1" applyBorder="1" applyAlignment="1">
      <alignment vertical="top"/>
    </xf>
    <xf numFmtId="0" fontId="3" fillId="0" borderId="78"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0" xfId="0" applyFont="1" applyFill="1" applyBorder="1" applyAlignment="1">
      <alignment horizontal="center" vertical="top"/>
    </xf>
    <xf numFmtId="0" fontId="3" fillId="0" borderId="86" xfId="0" applyFont="1" applyFill="1" applyBorder="1" applyAlignment="1">
      <alignment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12" xfId="0" applyFont="1" applyFill="1" applyBorder="1" applyAlignment="1">
      <alignment horizontal="left" vertical="top" wrapText="1"/>
    </xf>
    <xf numFmtId="0" fontId="3" fillId="7" borderId="23" xfId="0" applyFont="1" applyFill="1" applyBorder="1" applyAlignment="1">
      <alignment horizontal="center" vertical="top"/>
    </xf>
    <xf numFmtId="0" fontId="3" fillId="7" borderId="2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92" xfId="0" applyFont="1" applyFill="1" applyBorder="1" applyAlignment="1">
      <alignment horizontal="left" vertical="top" wrapText="1"/>
    </xf>
    <xf numFmtId="49" fontId="3" fillId="0" borderId="93" xfId="0" applyNumberFormat="1" applyFont="1" applyFill="1" applyBorder="1" applyAlignment="1">
      <alignment horizontal="center" vertical="top"/>
    </xf>
    <xf numFmtId="49" fontId="3" fillId="0" borderId="94"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93" xfId="0" applyNumberFormat="1" applyFont="1" applyFill="1" applyBorder="1" applyAlignment="1">
      <alignment horizontal="center" vertical="top"/>
    </xf>
    <xf numFmtId="3" fontId="3" fillId="7" borderId="94" xfId="0" applyNumberFormat="1" applyFont="1" applyFill="1" applyBorder="1" applyAlignment="1">
      <alignment horizontal="center" vertical="top"/>
    </xf>
    <xf numFmtId="0" fontId="3" fillId="0" borderId="55" xfId="0" applyFont="1" applyFill="1" applyBorder="1" applyAlignment="1">
      <alignment horizontal="center" vertical="top"/>
    </xf>
    <xf numFmtId="0" fontId="3" fillId="0" borderId="102" xfId="0" applyFont="1" applyFill="1" applyBorder="1" applyAlignment="1">
      <alignment horizontal="center" vertical="top"/>
    </xf>
    <xf numFmtId="49" fontId="3" fillId="0" borderId="13" xfId="0" applyNumberFormat="1" applyFont="1" applyBorder="1" applyAlignment="1">
      <alignment horizontal="center" vertical="top"/>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0" fontId="3" fillId="7" borderId="86" xfId="0" applyFont="1" applyFill="1" applyBorder="1" applyAlignment="1">
      <alignment vertical="top" wrapText="1"/>
    </xf>
    <xf numFmtId="3" fontId="3" fillId="7" borderId="87"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102" xfId="0"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0" fontId="3" fillId="7" borderId="92" xfId="0" applyFont="1" applyFill="1" applyBorder="1" applyAlignment="1">
      <alignment horizontal="left" vertical="top" wrapText="1"/>
    </xf>
    <xf numFmtId="0" fontId="3" fillId="0" borderId="80" xfId="0" applyFont="1" applyBorder="1" applyAlignment="1">
      <alignment horizontal="center" vertical="top"/>
    </xf>
    <xf numFmtId="0" fontId="9" fillId="0" borderId="29" xfId="0" applyFont="1" applyFill="1" applyBorder="1" applyAlignment="1">
      <alignment horizontal="center" vertical="center" wrapText="1"/>
    </xf>
    <xf numFmtId="0" fontId="3" fillId="0" borderId="102"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1" xfId="0" applyFont="1" applyFill="1" applyBorder="1" applyAlignment="1">
      <alignment horizontal="left" vertical="top" wrapText="1"/>
    </xf>
    <xf numFmtId="0" fontId="3" fillId="0" borderId="30" xfId="0" applyFont="1" applyBorder="1" applyAlignment="1">
      <alignment vertical="top" wrapText="1"/>
    </xf>
    <xf numFmtId="3" fontId="3" fillId="7" borderId="21" xfId="0" applyNumberFormat="1" applyFont="1" applyFill="1" applyBorder="1" applyAlignment="1">
      <alignment horizontal="center" vertical="top" wrapText="1"/>
    </xf>
    <xf numFmtId="0" fontId="3" fillId="7" borderId="98" xfId="0" applyFont="1" applyFill="1" applyBorder="1" applyAlignment="1">
      <alignment horizontal="left" vertical="top" wrapText="1"/>
    </xf>
    <xf numFmtId="3" fontId="3" fillId="3" borderId="18" xfId="0" applyNumberFormat="1" applyFont="1" applyFill="1" applyBorder="1" applyAlignment="1">
      <alignment horizontal="center"/>
    </xf>
    <xf numFmtId="0" fontId="3" fillId="0" borderId="109"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2" xfId="0" applyNumberFormat="1" applyFont="1" applyFill="1" applyBorder="1" applyAlignment="1">
      <alignment horizontal="center" vertical="top"/>
    </xf>
    <xf numFmtId="3" fontId="3" fillId="3" borderId="84" xfId="0" applyNumberFormat="1" applyFont="1" applyFill="1" applyBorder="1" applyAlignment="1">
      <alignment horizontal="center" vertical="top"/>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3" fillId="0" borderId="109" xfId="0" applyFont="1" applyFill="1" applyBorder="1" applyAlignment="1">
      <alignment horizontal="center" vertical="top"/>
    </xf>
    <xf numFmtId="0" fontId="3" fillId="7" borderId="55" xfId="0" applyFont="1" applyFill="1" applyBorder="1" applyAlignment="1">
      <alignment horizontal="center" vertical="top"/>
    </xf>
    <xf numFmtId="0" fontId="3" fillId="0" borderId="35" xfId="0" applyFont="1" applyFill="1" applyBorder="1" applyAlignment="1">
      <alignment horizontal="center" vertical="top"/>
    </xf>
    <xf numFmtId="0" fontId="3" fillId="0" borderId="112" xfId="0" applyFont="1" applyFill="1" applyBorder="1" applyAlignment="1">
      <alignment horizontal="center" vertical="top"/>
    </xf>
    <xf numFmtId="3" fontId="3" fillId="0" borderId="93"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0" fontId="3" fillId="0" borderId="106" xfId="0" applyFont="1" applyFill="1" applyBorder="1" applyAlignment="1">
      <alignment horizontal="left" vertical="top" wrapText="1"/>
    </xf>
    <xf numFmtId="0" fontId="3" fillId="3" borderId="94" xfId="0" applyFont="1" applyFill="1" applyBorder="1" applyAlignment="1">
      <alignment vertical="top" wrapText="1"/>
    </xf>
    <xf numFmtId="49" fontId="5" fillId="7" borderId="50" xfId="0" applyNumberFormat="1" applyFont="1" applyFill="1" applyBorder="1" applyAlignment="1">
      <alignment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49" fontId="5" fillId="7" borderId="32" xfId="0" applyNumberFormat="1" applyFont="1" applyFill="1" applyBorder="1" applyAlignment="1">
      <alignment vertical="top"/>
    </xf>
    <xf numFmtId="0" fontId="3" fillId="0" borderId="67" xfId="0" applyFont="1" applyFill="1" applyBorder="1" applyAlignment="1">
      <alignment horizontal="center" vertical="top" wrapText="1"/>
    </xf>
    <xf numFmtId="0" fontId="3" fillId="0" borderId="11" xfId="0" applyFont="1" applyFill="1" applyBorder="1" applyAlignment="1">
      <alignment horizontal="center" vertical="center" wrapText="1"/>
    </xf>
    <xf numFmtId="3" fontId="18" fillId="0" borderId="29" xfId="0" applyNumberFormat="1" applyFont="1" applyFill="1" applyBorder="1" applyAlignment="1">
      <alignment horizontal="center" vertical="top"/>
    </xf>
    <xf numFmtId="0" fontId="3" fillId="0" borderId="92" xfId="0" applyFont="1" applyFill="1" applyBorder="1" applyAlignment="1">
      <alignment vertical="top" wrapText="1"/>
    </xf>
    <xf numFmtId="3" fontId="3" fillId="0" borderId="93" xfId="0" applyNumberFormat="1" applyFont="1" applyFill="1" applyBorder="1" applyAlignment="1">
      <alignment horizontal="center" vertical="center"/>
    </xf>
    <xf numFmtId="3" fontId="3" fillId="0" borderId="94" xfId="0" applyNumberFormat="1" applyFont="1" applyFill="1" applyBorder="1" applyAlignment="1">
      <alignment horizontal="center" vertical="center"/>
    </xf>
    <xf numFmtId="0" fontId="3" fillId="7" borderId="6" xfId="0" applyFont="1" applyFill="1" applyBorder="1" applyAlignment="1">
      <alignment horizontal="center" vertical="top"/>
    </xf>
    <xf numFmtId="0" fontId="5" fillId="0" borderId="112" xfId="0" applyFont="1" applyFill="1" applyBorder="1" applyAlignment="1">
      <alignment horizontal="center" vertical="top" wrapText="1"/>
    </xf>
    <xf numFmtId="0" fontId="3" fillId="0" borderId="86" xfId="0" applyFont="1" applyFill="1" applyBorder="1" applyAlignment="1">
      <alignment horizontal="left" vertical="top" wrapText="1"/>
    </xf>
    <xf numFmtId="3" fontId="3" fillId="0" borderId="82"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wrapText="1"/>
    </xf>
    <xf numFmtId="0" fontId="3" fillId="0" borderId="82" xfId="0" applyFont="1" applyFill="1" applyBorder="1" applyAlignment="1">
      <alignment horizontal="center" vertical="center" wrapText="1"/>
    </xf>
    <xf numFmtId="0" fontId="3" fillId="0" borderId="109" xfId="0" applyFont="1" applyBorder="1" applyAlignment="1">
      <alignment horizontal="center" vertical="top"/>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92" xfId="0" applyFont="1" applyFill="1" applyBorder="1" applyAlignment="1">
      <alignment horizontal="left" vertical="top" wrapText="1"/>
    </xf>
    <xf numFmtId="3" fontId="3" fillId="3" borderId="93" xfId="0" applyNumberFormat="1" applyFont="1" applyFill="1" applyBorder="1" applyAlignment="1">
      <alignment horizontal="center" vertical="top"/>
    </xf>
    <xf numFmtId="49" fontId="3" fillId="3" borderId="93" xfId="0" applyNumberFormat="1" applyFont="1" applyFill="1" applyBorder="1" applyAlignment="1">
      <alignment horizontal="center" vertical="top"/>
    </xf>
    <xf numFmtId="3" fontId="3" fillId="3" borderId="94"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18" fillId="0" borderId="36" xfId="0" applyFont="1" applyFill="1" applyBorder="1" applyAlignment="1">
      <alignment horizontal="center" vertical="top" wrapText="1"/>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10" fillId="7" borderId="45" xfId="0" applyFont="1" applyFill="1" applyBorder="1" applyAlignment="1">
      <alignment vertical="top" wrapText="1"/>
    </xf>
    <xf numFmtId="0" fontId="3" fillId="7" borderId="94" xfId="0" applyFont="1" applyFill="1" applyBorder="1" applyAlignment="1">
      <alignment horizontal="left" vertical="top" wrapText="1"/>
    </xf>
    <xf numFmtId="0" fontId="10" fillId="3" borderId="43" xfId="0" applyFont="1" applyFill="1" applyBorder="1" applyAlignment="1">
      <alignment horizontal="left" vertical="top" wrapText="1"/>
    </xf>
    <xf numFmtId="0" fontId="21"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0" fontId="3" fillId="7" borderId="116" xfId="0" applyFont="1" applyFill="1" applyBorder="1" applyAlignment="1">
      <alignment vertical="top" wrapText="1"/>
    </xf>
    <xf numFmtId="165" fontId="3" fillId="7" borderId="0" xfId="0" applyNumberFormat="1" applyFont="1" applyFill="1" applyBorder="1" applyAlignment="1">
      <alignment horizontal="right" vertical="top"/>
    </xf>
    <xf numFmtId="0" fontId="3" fillId="0" borderId="23" xfId="0" applyFont="1" applyBorder="1" applyAlignment="1">
      <alignment horizontal="center" vertical="top"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5" fillId="8" borderId="69"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0" fontId="3" fillId="3" borderId="86" xfId="0" applyFont="1" applyFill="1" applyBorder="1" applyAlignment="1">
      <alignment horizontal="left" vertical="top" wrapText="1"/>
    </xf>
    <xf numFmtId="3" fontId="3" fillId="3" borderId="87" xfId="0" applyNumberFormat="1" applyFont="1" applyFill="1" applyBorder="1" applyAlignment="1">
      <alignment horizontal="center" vertical="top"/>
    </xf>
    <xf numFmtId="3" fontId="3" fillId="3" borderId="88"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0" fontId="3" fillId="0" borderId="55" xfId="0" applyFont="1" applyBorder="1" applyAlignment="1">
      <alignment vertical="top"/>
    </xf>
    <xf numFmtId="3" fontId="3" fillId="3" borderId="109" xfId="0" applyNumberFormat="1" applyFont="1" applyFill="1" applyBorder="1" applyAlignment="1">
      <alignment horizontal="right" vertical="top" wrapText="1"/>
    </xf>
    <xf numFmtId="3" fontId="3" fillId="3" borderId="114" xfId="0" applyNumberFormat="1" applyFont="1" applyFill="1" applyBorder="1" applyAlignment="1">
      <alignment horizontal="right" vertical="top" wrapText="1"/>
    </xf>
    <xf numFmtId="3" fontId="3" fillId="3" borderId="102" xfId="0" applyNumberFormat="1" applyFont="1" applyFill="1" applyBorder="1" applyAlignment="1">
      <alignment horizontal="right" vertical="top" wrapText="1"/>
    </xf>
    <xf numFmtId="3" fontId="3" fillId="3" borderId="105" xfId="0" applyNumberFormat="1" applyFont="1" applyFill="1" applyBorder="1" applyAlignment="1">
      <alignment horizontal="right" vertical="top" wrapText="1"/>
    </xf>
    <xf numFmtId="3" fontId="3" fillId="3" borderId="78"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xf>
    <xf numFmtId="3" fontId="3" fillId="3" borderId="80" xfId="0" applyNumberFormat="1" applyFont="1" applyFill="1" applyBorder="1" applyAlignment="1">
      <alignment horizontal="right" vertical="top" wrapText="1"/>
    </xf>
    <xf numFmtId="3" fontId="3" fillId="3" borderId="101" xfId="0" applyNumberFormat="1" applyFont="1" applyFill="1" applyBorder="1" applyAlignment="1">
      <alignment horizontal="right" vertical="top" wrapText="1"/>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7" xfId="0" applyNumberFormat="1" applyFont="1" applyFill="1" applyBorder="1" applyAlignment="1">
      <alignment horizontal="right" vertical="top"/>
    </xf>
    <xf numFmtId="3" fontId="3" fillId="0" borderId="102"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7" xfId="0" applyNumberFormat="1" applyFont="1" applyFill="1" applyBorder="1" applyAlignment="1">
      <alignment horizontal="right" vertical="top" wrapText="1"/>
    </xf>
    <xf numFmtId="3" fontId="3" fillId="3" borderId="108" xfId="0" applyNumberFormat="1" applyFont="1" applyFill="1" applyBorder="1" applyAlignment="1">
      <alignment horizontal="right" vertical="top" wrapText="1"/>
    </xf>
    <xf numFmtId="3" fontId="5" fillId="3" borderId="72"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24"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3" borderId="1" xfId="0" applyNumberFormat="1" applyFont="1" applyFill="1" applyBorder="1" applyAlignment="1">
      <alignment horizontal="center" wrapText="1"/>
    </xf>
    <xf numFmtId="3" fontId="3" fillId="3" borderId="109" xfId="0" applyNumberFormat="1" applyFont="1" applyFill="1" applyBorder="1" applyAlignment="1">
      <alignment horizontal="right" vertical="top"/>
    </xf>
    <xf numFmtId="0" fontId="3" fillId="0" borderId="42" xfId="0" applyFont="1" applyFill="1" applyBorder="1" applyAlignment="1">
      <alignment horizontal="left" vertical="top" wrapText="1"/>
    </xf>
    <xf numFmtId="3" fontId="3" fillId="0" borderId="82" xfId="0" applyNumberFormat="1" applyFont="1" applyFill="1" applyBorder="1" applyAlignment="1">
      <alignment horizontal="center" vertical="top"/>
    </xf>
    <xf numFmtId="3" fontId="3" fillId="0" borderId="84" xfId="0" applyNumberFormat="1" applyFont="1" applyFill="1" applyBorder="1" applyAlignment="1">
      <alignment horizontal="center" vertical="top"/>
    </xf>
    <xf numFmtId="0" fontId="3" fillId="7" borderId="118" xfId="0" applyFont="1" applyFill="1" applyBorder="1" applyAlignment="1">
      <alignment horizontal="center" vertical="top"/>
    </xf>
    <xf numFmtId="3" fontId="3" fillId="0" borderId="117" xfId="0" applyNumberFormat="1" applyFont="1" applyFill="1" applyBorder="1" applyAlignment="1">
      <alignment horizontal="center" vertical="top"/>
    </xf>
    <xf numFmtId="3" fontId="3" fillId="0" borderId="120" xfId="0" applyNumberFormat="1" applyFont="1" applyFill="1" applyBorder="1" applyAlignment="1">
      <alignment horizontal="center" vertical="top"/>
    </xf>
    <xf numFmtId="3" fontId="3" fillId="7" borderId="8"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5" xfId="0" applyNumberFormat="1" applyFont="1" applyFill="1" applyBorder="1" applyAlignment="1">
      <alignment horizontal="center" vertical="top"/>
    </xf>
    <xf numFmtId="3" fontId="3" fillId="7" borderId="85"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7" borderId="81"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4" xfId="0" applyNumberFormat="1" applyFont="1" applyBorder="1" applyAlignment="1">
      <alignment horizontal="right" vertical="top"/>
    </xf>
    <xf numFmtId="3" fontId="3" fillId="7" borderId="106" xfId="0" applyNumberFormat="1" applyFont="1" applyFill="1" applyBorder="1" applyAlignment="1">
      <alignment horizontal="right" vertical="top"/>
    </xf>
    <xf numFmtId="3" fontId="3" fillId="7" borderId="86" xfId="0" applyNumberFormat="1" applyFont="1" applyFill="1" applyBorder="1" applyAlignment="1">
      <alignment horizontal="right" vertical="top"/>
    </xf>
    <xf numFmtId="3" fontId="3" fillId="0" borderId="87" xfId="0" applyNumberFormat="1" applyFont="1" applyBorder="1" applyAlignment="1">
      <alignment horizontal="right" vertical="top"/>
    </xf>
    <xf numFmtId="3" fontId="3" fillId="0" borderId="88" xfId="0" applyNumberFormat="1" applyFont="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4" xfId="0" applyNumberFormat="1" applyFont="1" applyFill="1" applyBorder="1" applyAlignment="1">
      <alignment horizontal="right" vertical="top"/>
    </xf>
    <xf numFmtId="3" fontId="3" fillId="7" borderId="80"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3" fillId="7" borderId="93" xfId="0" applyNumberFormat="1" applyFont="1" applyFill="1" applyBorder="1" applyAlignment="1">
      <alignment horizontal="right" vertical="top"/>
    </xf>
    <xf numFmtId="3" fontId="3" fillId="7" borderId="94" xfId="0" applyNumberFormat="1" applyFont="1" applyFill="1" applyBorder="1" applyAlignment="1">
      <alignment horizontal="right" vertical="top"/>
    </xf>
    <xf numFmtId="3" fontId="3" fillId="7" borderId="102" xfId="0" applyNumberFormat="1" applyFont="1" applyFill="1" applyBorder="1" applyAlignment="1">
      <alignment horizontal="right" vertical="top" wrapText="1"/>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3" fillId="0" borderId="82" xfId="0" applyNumberFormat="1" applyFont="1" applyFill="1" applyBorder="1" applyAlignment="1">
      <alignment horizontal="right" vertical="top"/>
    </xf>
    <xf numFmtId="3" fontId="3" fillId="3" borderId="84"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3" fillId="3" borderId="78" xfId="0" applyNumberFormat="1" applyFont="1" applyFill="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3" fillId="0" borderId="93"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8"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5" xfId="0" applyNumberFormat="1" applyFont="1" applyBorder="1" applyAlignment="1">
      <alignment horizontal="right" vertical="top"/>
    </xf>
    <xf numFmtId="3" fontId="3" fillId="0" borderId="106" xfId="0" applyNumberFormat="1" applyFont="1" applyBorder="1" applyAlignment="1">
      <alignment horizontal="right" vertical="top"/>
    </xf>
    <xf numFmtId="3" fontId="3" fillId="3" borderId="110"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4" xfId="0" applyNumberFormat="1" applyFont="1" applyBorder="1" applyAlignment="1">
      <alignment horizontal="right" vertical="top"/>
    </xf>
    <xf numFmtId="3" fontId="3" fillId="0" borderId="87" xfId="0" applyNumberFormat="1" applyFont="1" applyFill="1" applyBorder="1" applyAlignment="1">
      <alignment horizontal="right" vertical="top"/>
    </xf>
    <xf numFmtId="3" fontId="3" fillId="0" borderId="88" xfId="0" applyNumberFormat="1" applyFont="1" applyFill="1" applyBorder="1" applyAlignment="1">
      <alignment horizontal="right" vertical="top"/>
    </xf>
    <xf numFmtId="3" fontId="3" fillId="3" borderId="114"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5"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8"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0" borderId="18" xfId="0" applyNumberFormat="1" applyFont="1" applyBorder="1" applyAlignment="1">
      <alignment horizontal="right" vertical="top"/>
    </xf>
    <xf numFmtId="3" fontId="5" fillId="8" borderId="2"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3" fontId="3" fillId="0" borderId="5" xfId="0" applyNumberFormat="1" applyFont="1" applyBorder="1" applyAlignment="1">
      <alignment vertical="top"/>
    </xf>
    <xf numFmtId="3" fontId="3" fillId="0" borderId="78"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0" borderId="98" xfId="0" applyNumberFormat="1" applyFont="1" applyBorder="1" applyAlignment="1">
      <alignment horizontal="right" vertical="top"/>
    </xf>
    <xf numFmtId="3" fontId="3" fillId="0" borderId="111" xfId="0" applyNumberFormat="1" applyFont="1" applyBorder="1" applyAlignment="1">
      <alignment horizontal="right" vertical="top"/>
    </xf>
    <xf numFmtId="3" fontId="3" fillId="3" borderId="96"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3"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3" fillId="3" borderId="113"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0"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7"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96" xfId="0" applyNumberFormat="1" applyFont="1" applyFill="1" applyBorder="1" applyAlignment="1">
      <alignment horizontal="right" vertical="top" wrapText="1"/>
    </xf>
    <xf numFmtId="3" fontId="3" fillId="7" borderId="78" xfId="0" applyNumberFormat="1" applyFont="1" applyFill="1" applyBorder="1" applyAlignment="1">
      <alignment horizontal="right" vertical="top" wrapText="1"/>
    </xf>
    <xf numFmtId="3" fontId="5" fillId="10" borderId="69" xfId="0" applyNumberFormat="1" applyFont="1" applyFill="1" applyBorder="1" applyAlignment="1">
      <alignment horizontal="right" vertical="top"/>
    </xf>
    <xf numFmtId="3" fontId="3" fillId="0" borderId="49" xfId="0" applyNumberFormat="1" applyFont="1" applyBorder="1" applyAlignment="1">
      <alignment horizontal="right" vertical="top"/>
    </xf>
    <xf numFmtId="0" fontId="15" fillId="0" borderId="71"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08" xfId="0" applyNumberFormat="1" applyFont="1" applyFill="1" applyBorder="1" applyAlignment="1">
      <alignment horizontal="right" vertical="top"/>
    </xf>
    <xf numFmtId="3" fontId="3" fillId="7" borderId="78" xfId="0" applyNumberFormat="1" applyFont="1" applyFill="1" applyBorder="1" applyAlignment="1">
      <alignment horizontal="right" vertical="top"/>
    </xf>
    <xf numFmtId="3" fontId="3" fillId="7" borderId="112"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7" xfId="0" applyNumberFormat="1" applyFont="1" applyFill="1" applyBorder="1" applyAlignment="1">
      <alignment horizontal="right" vertical="top"/>
    </xf>
    <xf numFmtId="3" fontId="5" fillId="7" borderId="71" xfId="0" applyNumberFormat="1" applyFont="1" applyFill="1" applyBorder="1" applyAlignment="1">
      <alignment horizontal="right" vertical="top"/>
    </xf>
    <xf numFmtId="3" fontId="3" fillId="7" borderId="95"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3" fillId="7" borderId="70"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7" borderId="107"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104" xfId="0" applyNumberFormat="1" applyFont="1" applyBorder="1" applyAlignment="1">
      <alignment horizontal="right" vertical="top"/>
    </xf>
    <xf numFmtId="3" fontId="3" fillId="7" borderId="109" xfId="0" applyNumberFormat="1" applyFont="1" applyFill="1" applyBorder="1" applyAlignment="1">
      <alignment horizontal="right" vertical="top"/>
    </xf>
    <xf numFmtId="3" fontId="3" fillId="7" borderId="102"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5" fontId="3" fillId="7" borderId="6" xfId="0" applyNumberFormat="1" applyFont="1" applyFill="1" applyBorder="1" applyAlignment="1">
      <alignment horizontal="right" vertical="top"/>
    </xf>
    <xf numFmtId="3" fontId="3" fillId="3" borderId="100" xfId="0" applyNumberFormat="1" applyFont="1" applyFill="1" applyBorder="1" applyAlignment="1">
      <alignment horizontal="right" vertical="top" wrapText="1"/>
    </xf>
    <xf numFmtId="3" fontId="5" fillId="3" borderId="71" xfId="0" applyNumberFormat="1" applyFont="1" applyFill="1" applyBorder="1" applyAlignment="1">
      <alignment horizontal="right" vertical="top"/>
    </xf>
    <xf numFmtId="3" fontId="5" fillId="3" borderId="46"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3" fillId="7" borderId="95" xfId="0" applyNumberFormat="1" applyFont="1" applyFill="1" applyBorder="1" applyAlignment="1">
      <alignment vertical="top"/>
    </xf>
    <xf numFmtId="3" fontId="3" fillId="7" borderId="113" xfId="0" applyNumberFormat="1" applyFont="1" applyFill="1" applyBorder="1" applyAlignment="1">
      <alignment vertical="top"/>
    </xf>
    <xf numFmtId="3" fontId="3" fillId="0" borderId="78"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97" xfId="0" applyNumberFormat="1" applyFont="1" applyFill="1" applyBorder="1" applyAlignment="1">
      <alignment vertical="top"/>
    </xf>
    <xf numFmtId="3" fontId="3" fillId="7" borderId="117" xfId="0" applyNumberFormat="1" applyFont="1" applyFill="1" applyBorder="1" applyAlignment="1">
      <alignment horizontal="right" vertical="top"/>
    </xf>
    <xf numFmtId="3" fontId="3" fillId="7" borderId="120" xfId="0" applyNumberFormat="1" applyFont="1" applyFill="1" applyBorder="1" applyAlignment="1">
      <alignment horizontal="right" vertical="top"/>
    </xf>
    <xf numFmtId="3" fontId="3" fillId="7" borderId="117" xfId="0" applyNumberFormat="1" applyFont="1" applyFill="1" applyBorder="1" applyAlignment="1">
      <alignment horizontal="center" vertical="top"/>
    </xf>
    <xf numFmtId="0" fontId="3" fillId="0" borderId="96" xfId="0" applyFont="1" applyFill="1" applyBorder="1" applyAlignment="1">
      <alignment horizontal="center" vertical="top"/>
    </xf>
    <xf numFmtId="3" fontId="3" fillId="0" borderId="7" xfId="0" applyNumberFormat="1" applyFont="1" applyFill="1" applyBorder="1" applyAlignment="1">
      <alignment horizontal="right" vertical="top"/>
    </xf>
    <xf numFmtId="0" fontId="3" fillId="3" borderId="17" xfId="0" applyFont="1" applyFill="1" applyBorder="1" applyAlignment="1">
      <alignment horizontal="left" vertical="top" wrapText="1"/>
    </xf>
    <xf numFmtId="3" fontId="3" fillId="0" borderId="86" xfId="0" applyNumberFormat="1" applyFont="1" applyBorder="1" applyAlignment="1">
      <alignment horizontal="righ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0" fontId="3" fillId="7" borderId="40" xfId="0" applyFont="1" applyFill="1" applyBorder="1" applyAlignment="1">
      <alignment horizontal="center"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7" borderId="121" xfId="0" applyNumberFormat="1" applyFont="1" applyFill="1" applyBorder="1" applyAlignment="1">
      <alignment horizontal="right" vertical="top"/>
    </xf>
    <xf numFmtId="3" fontId="5" fillId="9" borderId="73"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35" xfId="0" applyFont="1" applyFill="1" applyBorder="1" applyAlignment="1">
      <alignment horizontal="left" vertical="top" wrapText="1"/>
    </xf>
    <xf numFmtId="166" fontId="3" fillId="7" borderId="50"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6"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7" borderId="63" xfId="0" applyNumberFormat="1" applyFont="1" applyFill="1" applyBorder="1" applyAlignment="1">
      <alignment vertical="top"/>
    </xf>
    <xf numFmtId="3" fontId="3" fillId="7" borderId="114" xfId="0" applyNumberFormat="1" applyFont="1" applyFill="1" applyBorder="1" applyAlignment="1">
      <alignment horizontal="right" vertical="top"/>
    </xf>
    <xf numFmtId="49" fontId="5" fillId="10" borderId="11" xfId="0" applyNumberFormat="1" applyFont="1" applyFill="1" applyBorder="1" applyAlignment="1">
      <alignment vertical="top"/>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124" xfId="0" applyNumberFormat="1" applyFont="1" applyFill="1" applyBorder="1" applyAlignment="1">
      <alignment horizontal="right" vertical="top"/>
    </xf>
    <xf numFmtId="0" fontId="3" fillId="3" borderId="109" xfId="0" applyFont="1" applyFill="1" applyBorder="1" applyAlignment="1">
      <alignment horizontal="center" vertical="top"/>
    </xf>
    <xf numFmtId="3" fontId="3" fillId="7" borderId="122" xfId="0" applyNumberFormat="1" applyFont="1" applyFill="1" applyBorder="1" applyAlignment="1">
      <alignment horizontal="right" vertical="top"/>
    </xf>
    <xf numFmtId="49" fontId="3" fillId="7" borderId="24" xfId="0" applyNumberFormat="1" applyFont="1" applyFill="1" applyBorder="1" applyAlignment="1">
      <alignment horizontal="center" vertical="top" wrapText="1"/>
    </xf>
    <xf numFmtId="0" fontId="5" fillId="0" borderId="70" xfId="0" applyFont="1" applyFill="1" applyBorder="1" applyAlignment="1">
      <alignment horizontal="center" vertical="top" wrapText="1"/>
    </xf>
    <xf numFmtId="49" fontId="5" fillId="10" borderId="0" xfId="0" applyNumberFormat="1" applyFont="1" applyFill="1" applyBorder="1" applyAlignment="1">
      <alignment horizontal="center" vertical="top"/>
    </xf>
    <xf numFmtId="3" fontId="5" fillId="5" borderId="4" xfId="0" applyNumberFormat="1" applyFont="1" applyFill="1" applyBorder="1" applyAlignment="1">
      <alignment horizontal="right" vertical="top"/>
    </xf>
    <xf numFmtId="49" fontId="3" fillId="3" borderId="11" xfId="0" applyNumberFormat="1" applyFont="1" applyFill="1" applyBorder="1" applyAlignment="1">
      <alignment horizontal="center" vertical="top"/>
    </xf>
    <xf numFmtId="3" fontId="3" fillId="3" borderId="117" xfId="0" applyNumberFormat="1" applyFont="1" applyFill="1" applyBorder="1" applyAlignment="1">
      <alignment horizontal="center" vertical="top"/>
    </xf>
    <xf numFmtId="49" fontId="3" fillId="3" borderId="117" xfId="0" applyNumberFormat="1" applyFont="1" applyFill="1" applyBorder="1" applyAlignment="1">
      <alignment horizontal="center" vertical="top"/>
    </xf>
    <xf numFmtId="3" fontId="3" fillId="3" borderId="120" xfId="0" applyNumberFormat="1" applyFont="1" applyFill="1" applyBorder="1" applyAlignment="1">
      <alignment horizontal="center" vertical="top"/>
    </xf>
    <xf numFmtId="49" fontId="3" fillId="3" borderId="87"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09" xfId="0" applyNumberFormat="1" applyFont="1" applyFill="1" applyBorder="1" applyAlignment="1">
      <alignment horizontal="right" vertical="top" wrapText="1"/>
    </xf>
    <xf numFmtId="3" fontId="3" fillId="7" borderId="48" xfId="0" applyNumberFormat="1" applyFont="1" applyFill="1" applyBorder="1" applyAlignment="1">
      <alignment horizontal="right" vertical="top"/>
    </xf>
    <xf numFmtId="3" fontId="3" fillId="7" borderId="106"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6" xfId="0" applyFont="1" applyFill="1" applyBorder="1" applyAlignment="1">
      <alignment horizontal="left" vertical="top" wrapText="1"/>
    </xf>
    <xf numFmtId="0" fontId="24" fillId="7" borderId="39" xfId="0" applyFont="1" applyFill="1" applyBorder="1" applyAlignment="1">
      <alignment vertical="top" wrapText="1"/>
    </xf>
    <xf numFmtId="0" fontId="3" fillId="0" borderId="30" xfId="0" applyFont="1" applyBorder="1" applyAlignment="1">
      <alignment vertical="top"/>
    </xf>
    <xf numFmtId="3" fontId="3" fillId="7" borderId="45" xfId="0" applyNumberFormat="1" applyFont="1" applyFill="1" applyBorder="1" applyAlignment="1">
      <alignment horizontal="center" vertical="top"/>
    </xf>
    <xf numFmtId="3" fontId="3" fillId="7" borderId="45" xfId="0" applyNumberFormat="1" applyFont="1" applyFill="1" applyBorder="1" applyAlignment="1">
      <alignment horizontal="right" vertical="top"/>
    </xf>
    <xf numFmtId="3" fontId="3" fillId="7" borderId="0" xfId="0" applyNumberFormat="1" applyFont="1" applyFill="1" applyBorder="1" applyAlignment="1">
      <alignment horizontal="right" vertical="top" wrapText="1"/>
    </xf>
    <xf numFmtId="0" fontId="3" fillId="0" borderId="45" xfId="0" applyFont="1" applyBorder="1" applyAlignment="1">
      <alignment vertical="top"/>
    </xf>
    <xf numFmtId="3" fontId="3" fillId="7" borderId="40" xfId="0" applyNumberFormat="1" applyFont="1" applyFill="1" applyBorder="1" applyAlignment="1">
      <alignment horizontal="right" vertical="top" wrapText="1"/>
    </xf>
    <xf numFmtId="3" fontId="3" fillId="7" borderId="45" xfId="0" applyNumberFormat="1" applyFont="1" applyFill="1" applyBorder="1" applyAlignment="1">
      <alignment horizontal="right" vertical="top" wrapText="1"/>
    </xf>
    <xf numFmtId="0" fontId="3" fillId="7" borderId="109" xfId="0" applyFont="1" applyFill="1" applyBorder="1" applyAlignment="1">
      <alignment horizontal="center" vertical="top"/>
    </xf>
    <xf numFmtId="3" fontId="3" fillId="7" borderId="87" xfId="0" applyNumberFormat="1" applyFont="1" applyFill="1" applyBorder="1" applyAlignment="1">
      <alignment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0" fontId="3" fillId="7" borderId="87" xfId="0" applyNumberFormat="1" applyFont="1" applyFill="1" applyBorder="1" applyAlignment="1">
      <alignment horizontal="center" vertical="top"/>
    </xf>
    <xf numFmtId="0" fontId="3" fillId="7" borderId="87" xfId="0" applyNumberFormat="1" applyFont="1" applyFill="1" applyBorder="1" applyAlignment="1">
      <alignment vertical="center" textRotation="90"/>
    </xf>
    <xf numFmtId="0" fontId="3" fillId="7" borderId="88" xfId="0" applyNumberFormat="1" applyFont="1" applyFill="1" applyBorder="1" applyAlignment="1">
      <alignment vertical="center" textRotation="90"/>
    </xf>
    <xf numFmtId="0" fontId="3" fillId="7" borderId="114" xfId="0" applyFont="1" applyFill="1" applyBorder="1" applyAlignment="1">
      <alignment horizontal="center" vertical="top"/>
    </xf>
    <xf numFmtId="0" fontId="3" fillId="0" borderId="87" xfId="0" applyNumberFormat="1" applyFont="1" applyFill="1" applyBorder="1" applyAlignment="1">
      <alignment horizontal="center" vertical="top"/>
    </xf>
    <xf numFmtId="0" fontId="3" fillId="7" borderId="118" xfId="0" applyFont="1" applyFill="1" applyBorder="1" applyAlignment="1">
      <alignment horizontal="center" vertical="top" wrapText="1"/>
    </xf>
    <xf numFmtId="0" fontId="21" fillId="7" borderId="7" xfId="0" applyFont="1" applyFill="1" applyBorder="1" applyAlignment="1">
      <alignment horizontal="center" vertical="top" wrapText="1"/>
    </xf>
    <xf numFmtId="3" fontId="3" fillId="7" borderId="93" xfId="0" applyNumberFormat="1" applyFont="1" applyFill="1" applyBorder="1" applyAlignment="1">
      <alignment vertical="top"/>
    </xf>
    <xf numFmtId="0" fontId="3" fillId="0" borderId="98" xfId="0" applyFont="1" applyFill="1" applyBorder="1" applyAlignment="1">
      <alignment vertical="top" wrapText="1"/>
    </xf>
    <xf numFmtId="49" fontId="5" fillId="10" borderId="0" xfId="0" applyNumberFormat="1" applyFont="1" applyFill="1" applyBorder="1" applyAlignment="1">
      <alignment vertical="top"/>
    </xf>
    <xf numFmtId="3" fontId="3" fillId="0" borderId="99" xfId="0" applyNumberFormat="1" applyFont="1" applyFill="1" applyBorder="1" applyAlignment="1">
      <alignment horizontal="center" vertical="center"/>
    </xf>
    <xf numFmtId="3" fontId="3" fillId="0" borderId="111" xfId="0" applyNumberFormat="1" applyFont="1" applyFill="1" applyBorder="1" applyAlignment="1">
      <alignment horizontal="center" vertical="center"/>
    </xf>
    <xf numFmtId="0" fontId="3" fillId="7" borderId="45" xfId="0" applyFont="1" applyFill="1" applyBorder="1" applyAlignment="1">
      <alignment horizontal="center" vertical="top"/>
    </xf>
    <xf numFmtId="0" fontId="21" fillId="7" borderId="30" xfId="0" applyFont="1" applyFill="1" applyBorder="1" applyAlignment="1">
      <alignment horizontal="center" vertical="top" wrapText="1"/>
    </xf>
    <xf numFmtId="165" fontId="3" fillId="7" borderId="7"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88"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0" fontId="3" fillId="7" borderId="35" xfId="0" applyFont="1" applyFill="1" applyBorder="1" applyAlignment="1">
      <alignment horizontal="center" vertical="top" wrapText="1"/>
    </xf>
    <xf numFmtId="166" fontId="3" fillId="7" borderId="55" xfId="0" applyNumberFormat="1" applyFont="1" applyFill="1" applyBorder="1" applyAlignment="1">
      <alignment horizontal="right" vertical="top"/>
    </xf>
    <xf numFmtId="3" fontId="3" fillId="0" borderId="0" xfId="0" applyNumberFormat="1" applyFont="1" applyAlignment="1">
      <alignment vertical="top"/>
    </xf>
    <xf numFmtId="166" fontId="3" fillId="7" borderId="29" xfId="0" applyNumberFormat="1" applyFont="1" applyFill="1" applyBorder="1" applyAlignment="1">
      <alignment horizontal="right" vertical="top"/>
    </xf>
    <xf numFmtId="3" fontId="5" fillId="10" borderId="31" xfId="0" applyNumberFormat="1" applyFont="1" applyFill="1" applyBorder="1" applyAlignment="1">
      <alignment horizontal="right" vertical="top"/>
    </xf>
    <xf numFmtId="49" fontId="3" fillId="0" borderId="0" xfId="0" applyNumberFormat="1" applyFont="1" applyBorder="1" applyAlignment="1">
      <alignment horizontal="center" vertical="top" wrapText="1"/>
    </xf>
    <xf numFmtId="49" fontId="5" fillId="0" borderId="48" xfId="0" applyNumberFormat="1" applyFont="1" applyBorder="1" applyAlignment="1">
      <alignment horizontal="center" vertical="top"/>
    </xf>
    <xf numFmtId="49" fontId="3" fillId="0" borderId="87" xfId="0" applyNumberFormat="1" applyFont="1" applyFill="1" applyBorder="1" applyAlignment="1">
      <alignment horizontal="center" vertical="center"/>
    </xf>
    <xf numFmtId="49" fontId="3" fillId="0" borderId="88"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5" fillId="7" borderId="67" xfId="0" applyFont="1" applyFill="1" applyBorder="1" applyAlignment="1">
      <alignment horizontal="center" vertical="top" wrapText="1"/>
    </xf>
    <xf numFmtId="0" fontId="5" fillId="7" borderId="51" xfId="0" applyFont="1" applyFill="1" applyBorder="1" applyAlignment="1">
      <alignment horizontal="center" vertical="top"/>
    </xf>
    <xf numFmtId="0" fontId="3" fillId="7" borderId="70"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3" fillId="0" borderId="23" xfId="0" applyNumberFormat="1" applyFont="1" applyFill="1" applyBorder="1" applyAlignment="1">
      <alignment horizontal="center"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5" fillId="5" borderId="79" xfId="0" applyNumberFormat="1" applyFont="1" applyFill="1" applyBorder="1" applyAlignment="1">
      <alignment horizontal="right" vertical="top"/>
    </xf>
    <xf numFmtId="3" fontId="3" fillId="0" borderId="93" xfId="0" applyNumberFormat="1" applyFont="1" applyBorder="1" applyAlignment="1">
      <alignment horizontal="center" vertical="top"/>
    </xf>
    <xf numFmtId="3" fontId="3" fillId="0" borderId="94" xfId="0" applyNumberFormat="1" applyFont="1" applyBorder="1" applyAlignment="1">
      <alignment horizontal="center" vertical="top"/>
    </xf>
    <xf numFmtId="3" fontId="3" fillId="7" borderId="11" xfId="0" applyNumberFormat="1" applyFont="1" applyFill="1" applyBorder="1" applyAlignment="1">
      <alignment horizontal="center" vertical="top" wrapText="1"/>
    </xf>
    <xf numFmtId="0" fontId="3" fillId="3" borderId="38" xfId="0" applyFont="1" applyFill="1" applyBorder="1" applyAlignment="1">
      <alignment horizontal="center" vertical="top" wrapText="1"/>
    </xf>
    <xf numFmtId="3" fontId="3" fillId="0" borderId="47" xfId="0" applyNumberFormat="1" applyFont="1" applyFill="1" applyBorder="1" applyAlignment="1">
      <alignment horizontal="right" vertical="top"/>
    </xf>
    <xf numFmtId="0" fontId="3" fillId="3" borderId="30" xfId="0" applyFont="1" applyFill="1" applyBorder="1" applyAlignment="1">
      <alignment horizontal="center" vertical="top" wrapText="1"/>
    </xf>
    <xf numFmtId="0" fontId="5" fillId="7" borderId="7" xfId="0" applyFont="1" applyFill="1" applyBorder="1" applyAlignment="1">
      <alignment horizontal="center" vertical="center"/>
    </xf>
    <xf numFmtId="49" fontId="3" fillId="3" borderId="13" xfId="0" applyNumberFormat="1" applyFont="1" applyFill="1" applyBorder="1" applyAlignment="1">
      <alignment horizontal="center" vertical="top"/>
    </xf>
    <xf numFmtId="0" fontId="7" fillId="0" borderId="71" xfId="0" applyFont="1" applyFill="1" applyBorder="1" applyAlignment="1">
      <alignment horizontal="center" vertical="center" textRotation="90" shrinkToFit="1"/>
    </xf>
    <xf numFmtId="3" fontId="5" fillId="7" borderId="64" xfId="0" applyNumberFormat="1" applyFont="1" applyFill="1" applyBorder="1" applyAlignment="1">
      <alignment horizontal="right" vertical="top"/>
    </xf>
    <xf numFmtId="49" fontId="5" fillId="3" borderId="27" xfId="0" applyNumberFormat="1" applyFont="1" applyFill="1" applyBorder="1" applyAlignment="1">
      <alignment horizontal="center" vertical="top"/>
    </xf>
    <xf numFmtId="0" fontId="3" fillId="3" borderId="10" xfId="0" applyFont="1" applyFill="1" applyBorder="1" applyAlignment="1">
      <alignment horizontal="center" vertical="top"/>
    </xf>
    <xf numFmtId="165" fontId="5" fillId="7" borderId="38" xfId="0" applyNumberFormat="1" applyFont="1" applyFill="1" applyBorder="1" applyAlignment="1">
      <alignment horizontal="center" vertical="center" wrapText="1"/>
    </xf>
    <xf numFmtId="165" fontId="3" fillId="7" borderId="7" xfId="0" applyNumberFormat="1" applyFont="1" applyFill="1" applyBorder="1" applyAlignment="1">
      <alignment horizontal="left" vertical="center" textRotation="90" wrapText="1"/>
    </xf>
    <xf numFmtId="3" fontId="5" fillId="10" borderId="3" xfId="0" applyNumberFormat="1" applyFont="1" applyFill="1" applyBorder="1" applyAlignment="1">
      <alignment horizontal="right"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11" fillId="7" borderId="18" xfId="0" applyFont="1" applyFill="1" applyBorder="1" applyAlignment="1">
      <alignment vertical="top" wrapText="1"/>
    </xf>
    <xf numFmtId="3" fontId="3" fillId="7" borderId="38" xfId="0" applyNumberFormat="1" applyFont="1" applyFill="1" applyBorder="1" applyAlignment="1">
      <alignment horizontal="right" vertical="top"/>
    </xf>
    <xf numFmtId="0" fontId="3" fillId="7" borderId="51" xfId="0" applyFont="1" applyFill="1" applyBorder="1" applyAlignment="1">
      <alignment horizontal="center" vertical="top"/>
    </xf>
    <xf numFmtId="0" fontId="3" fillId="7" borderId="67" xfId="0" applyFont="1" applyFill="1" applyBorder="1" applyAlignment="1">
      <alignment horizontal="center" vertical="top"/>
    </xf>
    <xf numFmtId="3" fontId="3" fillId="7" borderId="86" xfId="0" applyNumberFormat="1" applyFont="1" applyFill="1" applyBorder="1" applyAlignment="1">
      <alignment vertical="top"/>
    </xf>
    <xf numFmtId="3" fontId="3" fillId="7" borderId="92" xfId="0" applyNumberFormat="1" applyFont="1" applyFill="1" applyBorder="1" applyAlignment="1">
      <alignment vertical="top"/>
    </xf>
    <xf numFmtId="3" fontId="3" fillId="0" borderId="38" xfId="0" applyNumberFormat="1" applyFont="1" applyFill="1" applyBorder="1" applyAlignment="1">
      <alignment horizontal="right" vertical="top"/>
    </xf>
    <xf numFmtId="3" fontId="3" fillId="0" borderId="30"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3" fillId="7" borderId="46" xfId="0" applyNumberFormat="1" applyFont="1" applyFill="1" applyBorder="1" applyAlignment="1">
      <alignment horizontal="right" vertical="top"/>
    </xf>
    <xf numFmtId="3" fontId="3" fillId="7" borderId="52" xfId="0" applyNumberFormat="1" applyFont="1" applyFill="1" applyBorder="1" applyAlignment="1">
      <alignment horizontal="right" vertical="top"/>
    </xf>
    <xf numFmtId="49" fontId="3" fillId="7" borderId="0" xfId="0" applyNumberFormat="1" applyFont="1" applyFill="1" applyBorder="1" applyAlignment="1">
      <alignment horizontal="center" vertical="top" wrapText="1"/>
    </xf>
    <xf numFmtId="0" fontId="5" fillId="7" borderId="9" xfId="0" applyFont="1" applyFill="1" applyBorder="1" applyAlignment="1">
      <alignment horizontal="center" vertical="top" wrapText="1"/>
    </xf>
    <xf numFmtId="0" fontId="3" fillId="3" borderId="36" xfId="0" applyFont="1" applyFill="1" applyBorder="1" applyAlignment="1">
      <alignment vertical="top" wrapText="1"/>
    </xf>
    <xf numFmtId="3" fontId="3" fillId="7" borderId="78" xfId="1" applyNumberFormat="1" applyFont="1" applyFill="1" applyBorder="1" applyAlignment="1">
      <alignment horizontal="right" vertical="top"/>
    </xf>
    <xf numFmtId="3" fontId="3" fillId="7" borderId="24" xfId="1" applyNumberFormat="1" applyFont="1" applyFill="1" applyBorder="1" applyAlignment="1">
      <alignment horizontal="right" vertical="top"/>
    </xf>
    <xf numFmtId="3" fontId="3" fillId="3" borderId="29" xfId="1" applyNumberFormat="1" applyFont="1" applyFill="1" applyBorder="1" applyAlignment="1">
      <alignment horizontal="right" vertical="top"/>
    </xf>
    <xf numFmtId="3" fontId="3" fillId="3" borderId="24" xfId="1" applyNumberFormat="1" applyFont="1" applyFill="1" applyBorder="1" applyAlignment="1">
      <alignment horizontal="right" vertical="top" wrapText="1"/>
    </xf>
    <xf numFmtId="3" fontId="3" fillId="3" borderId="55" xfId="1" applyNumberFormat="1" applyFont="1" applyFill="1" applyBorder="1" applyAlignment="1">
      <alignment horizontal="right" vertical="top" wrapText="1"/>
    </xf>
    <xf numFmtId="164" fontId="3" fillId="0" borderId="23" xfId="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5" fillId="10" borderId="26" xfId="0" applyNumberFormat="1" applyFont="1" applyFill="1" applyBorder="1" applyAlignment="1">
      <alignment vertical="top"/>
    </xf>
    <xf numFmtId="0" fontId="3" fillId="3" borderId="30" xfId="0" applyFont="1" applyFill="1" applyBorder="1" applyAlignment="1">
      <alignment horizontal="center" vertical="center" textRotation="90" wrapText="1"/>
    </xf>
    <xf numFmtId="49" fontId="5" fillId="7" borderId="34" xfId="0" applyNumberFormat="1" applyFont="1" applyFill="1" applyBorder="1" applyAlignment="1">
      <alignment horizontal="center" vertical="top"/>
    </xf>
    <xf numFmtId="3" fontId="3" fillId="7" borderId="66" xfId="1" applyNumberFormat="1" applyFont="1" applyFill="1" applyBorder="1" applyAlignment="1">
      <alignment horizontal="right" vertical="top"/>
    </xf>
    <xf numFmtId="3" fontId="3" fillId="0" borderId="66" xfId="0" applyNumberFormat="1" applyFont="1" applyBorder="1" applyAlignment="1">
      <alignment horizontal="right" vertical="top"/>
    </xf>
    <xf numFmtId="3" fontId="3" fillId="3" borderId="78" xfId="1" applyNumberFormat="1" applyFont="1" applyFill="1" applyBorder="1" applyAlignment="1">
      <alignment horizontal="right" vertical="top"/>
    </xf>
    <xf numFmtId="3" fontId="3" fillId="7" borderId="18" xfId="0" applyNumberFormat="1" applyFont="1" applyFill="1" applyBorder="1" applyAlignment="1">
      <alignment horizontal="center" vertical="top" wrapText="1"/>
    </xf>
    <xf numFmtId="0" fontId="3" fillId="0" borderId="6" xfId="0" applyFont="1" applyBorder="1" applyAlignment="1">
      <alignment vertical="top"/>
    </xf>
    <xf numFmtId="3" fontId="3" fillId="7" borderId="55" xfId="0" applyNumberFormat="1" applyFont="1" applyFill="1" applyBorder="1" applyAlignment="1">
      <alignment horizontal="right" vertical="top" wrapText="1"/>
    </xf>
    <xf numFmtId="3" fontId="3" fillId="7" borderId="118" xfId="0" applyNumberFormat="1" applyFont="1" applyFill="1" applyBorder="1" applyAlignment="1">
      <alignment horizontal="right" vertical="top" wrapText="1"/>
    </xf>
    <xf numFmtId="3" fontId="3" fillId="7" borderId="51" xfId="0" applyNumberFormat="1" applyFont="1" applyFill="1" applyBorder="1" applyAlignment="1">
      <alignment vertical="top"/>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3" fontId="3" fillId="7" borderId="78" xfId="0" applyNumberFormat="1" applyFont="1" applyFill="1" applyBorder="1" applyAlignment="1">
      <alignment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3" fontId="3" fillId="7" borderId="63" xfId="0" applyNumberFormat="1" applyFont="1" applyFill="1" applyBorder="1" applyAlignment="1">
      <alignment horizontal="right" vertical="top" wrapText="1"/>
    </xf>
    <xf numFmtId="3" fontId="3" fillId="3" borderId="119"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xf>
    <xf numFmtId="3" fontId="3" fillId="7" borderId="35" xfId="0" applyNumberFormat="1" applyFont="1" applyFill="1" applyBorder="1" applyAlignment="1">
      <alignment horizontal="center" vertical="top"/>
    </xf>
    <xf numFmtId="3" fontId="3" fillId="7" borderId="35" xfId="0" applyNumberFormat="1" applyFont="1" applyFill="1" applyBorder="1" applyAlignment="1">
      <alignment vertical="top"/>
    </xf>
    <xf numFmtId="3" fontId="3" fillId="7" borderId="67" xfId="0" applyNumberFormat="1" applyFont="1" applyFill="1" applyBorder="1" applyAlignment="1">
      <alignment vertical="top"/>
    </xf>
    <xf numFmtId="166" fontId="9" fillId="7" borderId="93" xfId="0" applyNumberFormat="1" applyFont="1" applyFill="1" applyBorder="1" applyAlignment="1">
      <alignment horizontal="center" vertical="center" wrapText="1"/>
    </xf>
    <xf numFmtId="0" fontId="14" fillId="7" borderId="30" xfId="0" applyFont="1" applyFill="1" applyBorder="1" applyAlignment="1">
      <alignment horizontal="center" vertical="center" textRotation="90" wrapText="1"/>
    </xf>
    <xf numFmtId="0" fontId="15" fillId="7" borderId="38" xfId="0" applyFont="1" applyFill="1" applyBorder="1" applyAlignment="1">
      <alignment horizontal="center" vertical="top" wrapText="1"/>
    </xf>
    <xf numFmtId="0" fontId="14" fillId="7" borderId="7" xfId="0" applyFont="1" applyFill="1" applyBorder="1" applyAlignment="1">
      <alignment horizontal="center" vertical="center" textRotation="90" wrapText="1"/>
    </xf>
    <xf numFmtId="3" fontId="3" fillId="7" borderId="20" xfId="0" applyNumberFormat="1" applyFont="1" applyFill="1" applyBorder="1" applyAlignment="1">
      <alignment horizontal="center" wrapText="1"/>
    </xf>
    <xf numFmtId="0" fontId="3" fillId="7" borderId="11" xfId="0" applyFont="1" applyFill="1" applyBorder="1" applyAlignment="1">
      <alignment vertical="top"/>
    </xf>
    <xf numFmtId="3" fontId="3" fillId="3" borderId="66" xfId="0" applyNumberFormat="1" applyFont="1" applyFill="1" applyBorder="1" applyAlignment="1">
      <alignment horizontal="right" vertical="top"/>
    </xf>
    <xf numFmtId="0" fontId="3" fillId="0" borderId="50" xfId="0" applyFont="1" applyBorder="1" applyAlignment="1">
      <alignment vertical="top"/>
    </xf>
    <xf numFmtId="49" fontId="5" fillId="7" borderId="28" xfId="0" applyNumberFormat="1" applyFont="1" applyFill="1" applyBorder="1" applyAlignment="1">
      <alignment horizontal="center" vertical="top" wrapText="1"/>
    </xf>
    <xf numFmtId="49" fontId="5" fillId="7" borderId="36" xfId="0" applyNumberFormat="1" applyFont="1" applyFill="1" applyBorder="1" applyAlignment="1">
      <alignment vertical="top"/>
    </xf>
    <xf numFmtId="3" fontId="3" fillId="7" borderId="107" xfId="0" applyNumberFormat="1" applyFont="1" applyFill="1" applyBorder="1" applyAlignment="1">
      <alignment horizontal="right" vertical="top" wrapText="1"/>
    </xf>
    <xf numFmtId="3" fontId="3" fillId="7" borderId="93" xfId="0" applyNumberFormat="1" applyFont="1" applyFill="1" applyBorder="1" applyAlignment="1">
      <alignment horizontal="left" vertical="top" wrapText="1"/>
    </xf>
    <xf numFmtId="3" fontId="3" fillId="7" borderId="94" xfId="0" applyNumberFormat="1" applyFont="1" applyFill="1" applyBorder="1" applyAlignment="1">
      <alignment horizontal="left" vertical="top" wrapText="1"/>
    </xf>
    <xf numFmtId="49" fontId="3" fillId="7" borderId="55" xfId="0" applyNumberFormat="1" applyFont="1" applyFill="1" applyBorder="1" applyAlignment="1">
      <alignment horizontal="center" vertical="top" wrapText="1"/>
    </xf>
    <xf numFmtId="0" fontId="5" fillId="3" borderId="36" xfId="0" applyFont="1" applyFill="1" applyBorder="1" applyAlignment="1">
      <alignment vertical="top" wrapText="1"/>
    </xf>
    <xf numFmtId="0" fontId="3" fillId="7" borderId="35" xfId="0" applyFont="1" applyFill="1" applyBorder="1" applyAlignment="1">
      <alignment horizontal="center" vertical="top"/>
    </xf>
    <xf numFmtId="3" fontId="3" fillId="0" borderId="92" xfId="0" applyNumberFormat="1" applyFont="1" applyFill="1" applyBorder="1" applyAlignment="1">
      <alignment horizontal="right" vertical="top"/>
    </xf>
    <xf numFmtId="3" fontId="3" fillId="0" borderId="104" xfId="0" applyNumberFormat="1" applyFont="1" applyFill="1" applyBorder="1" applyAlignment="1">
      <alignment horizontal="right" vertical="top"/>
    </xf>
    <xf numFmtId="3" fontId="3" fillId="0" borderId="105" xfId="0" applyNumberFormat="1" applyFont="1" applyFill="1" applyBorder="1" applyAlignment="1">
      <alignment horizontal="right" vertical="top"/>
    </xf>
    <xf numFmtId="3" fontId="9" fillId="0" borderId="93" xfId="0" applyNumberFormat="1" applyFont="1" applyFill="1" applyBorder="1" applyAlignment="1">
      <alignment horizontal="center" vertical="center"/>
    </xf>
    <xf numFmtId="49" fontId="5" fillId="7" borderId="20" xfId="0" applyNumberFormat="1" applyFont="1" applyFill="1" applyBorder="1" applyAlignment="1">
      <alignment vertical="top"/>
    </xf>
    <xf numFmtId="49" fontId="5" fillId="7" borderId="11" xfId="0" applyNumberFormat="1" applyFont="1" applyFill="1" applyBorder="1" applyAlignment="1">
      <alignment vertical="top"/>
    </xf>
    <xf numFmtId="49" fontId="5" fillId="7" borderId="29" xfId="0" applyNumberFormat="1" applyFont="1" applyFill="1" applyBorder="1" applyAlignment="1">
      <alignment vertical="top"/>
    </xf>
    <xf numFmtId="0" fontId="3" fillId="7" borderId="18" xfId="0" applyNumberFormat="1" applyFont="1" applyFill="1" applyBorder="1" applyAlignment="1">
      <alignment horizontal="center" vertical="top"/>
    </xf>
    <xf numFmtId="49" fontId="5" fillId="7" borderId="33" xfId="0" applyNumberFormat="1" applyFont="1" applyFill="1" applyBorder="1" applyAlignment="1">
      <alignment vertical="top"/>
    </xf>
    <xf numFmtId="49" fontId="5" fillId="7" borderId="31" xfId="0" applyNumberFormat="1" applyFont="1" applyFill="1" applyBorder="1" applyAlignment="1">
      <alignment vertical="top"/>
    </xf>
    <xf numFmtId="0" fontId="9" fillId="7" borderId="9" xfId="0" applyFont="1" applyFill="1" applyBorder="1" applyAlignment="1">
      <alignment horizontal="left" vertical="top" wrapText="1"/>
    </xf>
    <xf numFmtId="0" fontId="9" fillId="7" borderId="31" xfId="0" applyFont="1" applyFill="1" applyBorder="1" applyAlignment="1">
      <alignment horizontal="center" vertical="top" wrapText="1"/>
    </xf>
    <xf numFmtId="3" fontId="5" fillId="9" borderId="75" xfId="0" applyNumberFormat="1" applyFont="1" applyFill="1" applyBorder="1" applyAlignment="1">
      <alignment horizontal="right" vertical="top"/>
    </xf>
    <xf numFmtId="3" fontId="5" fillId="9" borderId="32" xfId="0" applyNumberFormat="1" applyFont="1" applyFill="1" applyBorder="1" applyAlignment="1">
      <alignment horizontal="right" vertical="top"/>
    </xf>
    <xf numFmtId="3" fontId="3" fillId="7" borderId="36" xfId="0" applyNumberFormat="1" applyFont="1" applyFill="1" applyBorder="1" applyAlignment="1">
      <alignment horizontal="center" vertical="top"/>
    </xf>
    <xf numFmtId="0" fontId="3" fillId="7" borderId="81" xfId="0" applyFont="1" applyFill="1" applyBorder="1" applyAlignment="1">
      <alignment vertical="top" wrapText="1"/>
    </xf>
    <xf numFmtId="49" fontId="3" fillId="0" borderId="82" xfId="0" applyNumberFormat="1" applyFont="1" applyFill="1" applyBorder="1" applyAlignment="1">
      <alignment horizontal="center" vertical="top"/>
    </xf>
    <xf numFmtId="49" fontId="3" fillId="0" borderId="84"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19" xfId="0" applyNumberFormat="1" applyFont="1" applyFill="1" applyBorder="1" applyAlignment="1">
      <alignment horizontal="right" vertical="top" wrapText="1"/>
    </xf>
    <xf numFmtId="3" fontId="3" fillId="7" borderId="99" xfId="0" applyNumberFormat="1" applyFont="1" applyFill="1" applyBorder="1" applyAlignment="1">
      <alignment vertical="top"/>
    </xf>
    <xf numFmtId="3" fontId="3" fillId="7" borderId="99" xfId="0" applyNumberFormat="1" applyFont="1" applyFill="1" applyBorder="1" applyAlignment="1">
      <alignment horizontal="center" vertical="top"/>
    </xf>
    <xf numFmtId="3" fontId="3" fillId="7" borderId="111" xfId="0" applyNumberFormat="1" applyFont="1" applyFill="1" applyBorder="1" applyAlignment="1">
      <alignment horizontal="center" vertical="top"/>
    </xf>
    <xf numFmtId="3" fontId="3" fillId="7" borderId="115" xfId="0" applyNumberFormat="1" applyFont="1" applyFill="1" applyBorder="1" applyAlignment="1">
      <alignment horizontal="right" vertical="top" wrapText="1"/>
    </xf>
    <xf numFmtId="3" fontId="3" fillId="7" borderId="99" xfId="0" applyNumberFormat="1" applyFont="1" applyFill="1" applyBorder="1" applyAlignment="1">
      <alignment horizontal="left" vertical="top" wrapText="1"/>
    </xf>
    <xf numFmtId="3" fontId="3" fillId="7" borderId="111" xfId="0" applyNumberFormat="1" applyFont="1" applyFill="1" applyBorder="1" applyAlignment="1">
      <alignment horizontal="left" vertical="top" wrapText="1"/>
    </xf>
    <xf numFmtId="3" fontId="3" fillId="7" borderId="93" xfId="0" applyNumberFormat="1" applyFont="1" applyFill="1" applyBorder="1" applyAlignment="1">
      <alignment horizontal="center" vertical="top" wrapText="1"/>
    </xf>
    <xf numFmtId="3" fontId="3" fillId="7" borderId="99"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20" xfId="0" applyNumberFormat="1" applyFont="1" applyFill="1" applyBorder="1" applyAlignment="1">
      <alignment horizontal="center" vertical="top"/>
    </xf>
    <xf numFmtId="166" fontId="3" fillId="7" borderId="21" xfId="0" applyNumberFormat="1" applyFont="1" applyFill="1" applyBorder="1" applyAlignment="1">
      <alignment horizontal="center" vertical="top"/>
    </xf>
    <xf numFmtId="0" fontId="3" fillId="0" borderId="24" xfId="0" applyFont="1" applyBorder="1" applyAlignment="1">
      <alignment horizontal="center" vertical="center" wrapText="1"/>
    </xf>
    <xf numFmtId="3" fontId="3" fillId="0" borderId="0" xfId="0" applyNumberFormat="1" applyFont="1" applyFill="1" applyBorder="1" applyAlignment="1">
      <alignment horizontal="right" vertical="top"/>
    </xf>
    <xf numFmtId="3" fontId="9" fillId="0" borderId="11" xfId="0" applyNumberFormat="1" applyFont="1" applyFill="1" applyBorder="1" applyAlignment="1">
      <alignment horizontal="center" vertical="center"/>
    </xf>
    <xf numFmtId="49" fontId="5" fillId="7" borderId="17" xfId="0" applyNumberFormat="1" applyFont="1" applyFill="1" applyBorder="1" applyAlignment="1">
      <alignment horizontal="center" vertical="top"/>
    </xf>
    <xf numFmtId="3" fontId="3" fillId="7" borderId="49" xfId="0" applyNumberFormat="1" applyFont="1" applyFill="1" applyBorder="1" applyAlignment="1">
      <alignment horizontal="center" wrapText="1"/>
    </xf>
    <xf numFmtId="3" fontId="3" fillId="0" borderId="110" xfId="0" applyNumberFormat="1" applyFont="1" applyBorder="1" applyAlignment="1">
      <alignment horizontal="right" vertical="top"/>
    </xf>
    <xf numFmtId="0" fontId="3" fillId="0" borderId="45" xfId="0" applyFont="1" applyBorder="1" applyAlignment="1">
      <alignment horizontal="center" vertical="top"/>
    </xf>
    <xf numFmtId="3" fontId="3" fillId="7" borderId="50" xfId="0" applyNumberFormat="1" applyFont="1" applyFill="1" applyBorder="1" applyAlignment="1">
      <alignment vertical="top"/>
    </xf>
    <xf numFmtId="3" fontId="9" fillId="7" borderId="45" xfId="0" applyNumberFormat="1" applyFont="1" applyFill="1" applyBorder="1" applyAlignment="1">
      <alignment vertical="top" wrapText="1"/>
    </xf>
    <xf numFmtId="3" fontId="9" fillId="7" borderId="55" xfId="0" applyNumberFormat="1" applyFont="1" applyFill="1" applyBorder="1" applyAlignment="1">
      <alignment vertical="top" wrapText="1"/>
    </xf>
    <xf numFmtId="3" fontId="9" fillId="7" borderId="40" xfId="0" applyNumberFormat="1" applyFont="1" applyFill="1" applyBorder="1" applyAlignment="1">
      <alignment vertical="top" wrapText="1"/>
    </xf>
    <xf numFmtId="3" fontId="3" fillId="3" borderId="44" xfId="0" applyNumberFormat="1" applyFont="1" applyFill="1" applyBorder="1" applyAlignment="1">
      <alignment horizontal="right"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0" fontId="3" fillId="0" borderId="36" xfId="0" applyFont="1" applyBorder="1" applyAlignment="1">
      <alignment vertical="top"/>
    </xf>
    <xf numFmtId="166" fontId="3" fillId="7" borderId="6" xfId="0" applyNumberFormat="1" applyFont="1" applyFill="1" applyBorder="1" applyAlignment="1">
      <alignment horizontal="right" vertical="top"/>
    </xf>
    <xf numFmtId="166" fontId="3" fillId="7" borderId="6" xfId="0" applyNumberFormat="1" applyFont="1" applyFill="1" applyBorder="1" applyAlignment="1">
      <alignment horizontal="right" vertical="top" wrapText="1"/>
    </xf>
    <xf numFmtId="166" fontId="3" fillId="7" borderId="45" xfId="0" applyNumberFormat="1" applyFont="1" applyFill="1" applyBorder="1" applyAlignment="1">
      <alignment horizontal="right" vertical="top" wrapText="1"/>
    </xf>
    <xf numFmtId="166" fontId="3" fillId="3" borderId="6" xfId="0" applyNumberFormat="1" applyFont="1" applyFill="1" applyBorder="1" applyAlignment="1">
      <alignment horizontal="right" vertical="top" wrapText="1"/>
    </xf>
    <xf numFmtId="166" fontId="3" fillId="3" borderId="45" xfId="0" applyNumberFormat="1" applyFont="1" applyFill="1" applyBorder="1" applyAlignment="1">
      <alignment horizontal="right" vertical="top" wrapText="1"/>
    </xf>
    <xf numFmtId="166" fontId="3" fillId="3" borderId="102" xfId="0" applyNumberFormat="1" applyFont="1" applyFill="1" applyBorder="1" applyAlignment="1">
      <alignment horizontal="right" vertical="top" wrapText="1"/>
    </xf>
    <xf numFmtId="166" fontId="3" fillId="0" borderId="0" xfId="0" applyNumberFormat="1" applyFont="1" applyBorder="1" applyAlignment="1">
      <alignment vertical="top"/>
    </xf>
    <xf numFmtId="166" fontId="3" fillId="7" borderId="24" xfId="0" applyNumberFormat="1" applyFont="1" applyFill="1" applyBorder="1" applyAlignment="1">
      <alignment horizontal="right" vertical="top"/>
    </xf>
    <xf numFmtId="166" fontId="3" fillId="3" borderId="24"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wrapText="1"/>
    </xf>
    <xf numFmtId="166" fontId="3" fillId="7" borderId="8" xfId="0" applyNumberFormat="1" applyFont="1" applyFill="1" applyBorder="1" applyAlignment="1">
      <alignment horizontal="right" vertical="top"/>
    </xf>
    <xf numFmtId="166" fontId="3" fillId="7" borderId="8" xfId="0" applyNumberFormat="1" applyFont="1" applyFill="1" applyBorder="1" applyAlignment="1">
      <alignment horizontal="right" vertical="top" wrapText="1"/>
    </xf>
    <xf numFmtId="166" fontId="3" fillId="3" borderId="40" xfId="0" applyNumberFormat="1" applyFont="1" applyFill="1" applyBorder="1" applyAlignment="1">
      <alignment horizontal="right" vertical="top" wrapText="1"/>
    </xf>
    <xf numFmtId="166" fontId="3" fillId="0" borderId="24" xfId="0" applyNumberFormat="1" applyFont="1" applyBorder="1" applyAlignment="1">
      <alignment horizontal="right" vertical="top"/>
    </xf>
    <xf numFmtId="166" fontId="3" fillId="3" borderId="8" xfId="0" applyNumberFormat="1" applyFont="1" applyFill="1" applyBorder="1" applyAlignment="1">
      <alignment horizontal="right" vertical="top" wrapText="1"/>
    </xf>
    <xf numFmtId="166" fontId="3" fillId="0" borderId="24" xfId="0" applyNumberFormat="1" applyFont="1" applyFill="1" applyBorder="1" applyAlignment="1">
      <alignment horizontal="right" vertical="top"/>
    </xf>
    <xf numFmtId="166" fontId="3" fillId="3" borderId="55" xfId="0" applyNumberFormat="1" applyFont="1" applyFill="1" applyBorder="1" applyAlignment="1">
      <alignment horizontal="right" vertical="top"/>
    </xf>
    <xf numFmtId="166" fontId="3" fillId="7" borderId="24" xfId="0" applyNumberFormat="1" applyFont="1" applyFill="1" applyBorder="1" applyAlignment="1">
      <alignment horizontal="right" vertical="top" wrapText="1"/>
    </xf>
    <xf numFmtId="166" fontId="3" fillId="7" borderId="55" xfId="0" applyNumberFormat="1" applyFont="1" applyFill="1" applyBorder="1" applyAlignment="1">
      <alignment horizontal="right" vertical="top" wrapText="1"/>
    </xf>
    <xf numFmtId="166" fontId="3" fillId="7" borderId="40" xfId="0" applyNumberFormat="1" applyFont="1" applyFill="1" applyBorder="1" applyAlignment="1">
      <alignment horizontal="right" vertical="top"/>
    </xf>
    <xf numFmtId="166" fontId="3" fillId="0" borderId="6" xfId="0" applyNumberFormat="1" applyFont="1" applyBorder="1" applyAlignment="1">
      <alignment vertical="top"/>
    </xf>
    <xf numFmtId="166" fontId="3" fillId="0" borderId="45" xfId="0" applyNumberFormat="1" applyFont="1" applyBorder="1" applyAlignment="1">
      <alignment vertical="top"/>
    </xf>
    <xf numFmtId="0" fontId="3" fillId="3" borderId="41" xfId="0" applyFont="1" applyFill="1" applyBorder="1" applyAlignment="1">
      <alignment horizontal="center" vertical="top"/>
    </xf>
    <xf numFmtId="166" fontId="3" fillId="7" borderId="41" xfId="0" applyNumberFormat="1" applyFont="1" applyFill="1" applyBorder="1" applyAlignment="1">
      <alignment horizontal="right" vertical="top"/>
    </xf>
    <xf numFmtId="166" fontId="3" fillId="7" borderId="52" xfId="0" applyNumberFormat="1" applyFont="1" applyFill="1" applyBorder="1" applyAlignment="1">
      <alignment horizontal="right" vertical="top"/>
    </xf>
    <xf numFmtId="166" fontId="3" fillId="7" borderId="40"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xf>
    <xf numFmtId="166"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6" fontId="3" fillId="3" borderId="42" xfId="0" applyNumberFormat="1" applyFont="1" applyFill="1" applyBorder="1" applyAlignment="1">
      <alignment horizontal="right" vertical="top"/>
    </xf>
    <xf numFmtId="166" fontId="3" fillId="3" borderId="24" xfId="0" applyNumberFormat="1" applyFont="1" applyFill="1" applyBorder="1" applyAlignment="1">
      <alignment horizontal="right" vertical="top"/>
    </xf>
    <xf numFmtId="166" fontId="3" fillId="3" borderId="10" xfId="0" applyNumberFormat="1" applyFont="1" applyFill="1" applyBorder="1" applyAlignment="1">
      <alignment horizontal="right" vertical="top"/>
    </xf>
    <xf numFmtId="166" fontId="3" fillId="3" borderId="72" xfId="0" applyNumberFormat="1" applyFont="1" applyFill="1" applyBorder="1" applyAlignment="1">
      <alignment horizontal="right" vertical="top"/>
    </xf>
    <xf numFmtId="0" fontId="3" fillId="3" borderId="67" xfId="0" applyFont="1" applyFill="1" applyBorder="1" applyAlignment="1">
      <alignment horizontal="center" vertical="top"/>
    </xf>
    <xf numFmtId="166" fontId="3" fillId="0" borderId="55" xfId="0" applyNumberFormat="1" applyFont="1" applyFill="1" applyBorder="1" applyAlignment="1">
      <alignment horizontal="right" vertical="top"/>
    </xf>
    <xf numFmtId="166" fontId="5" fillId="3" borderId="41" xfId="0" applyNumberFormat="1" applyFont="1" applyFill="1" applyBorder="1" applyAlignment="1">
      <alignment horizontal="right" vertical="top"/>
    </xf>
    <xf numFmtId="166" fontId="3" fillId="7" borderId="51" xfId="0" applyNumberFormat="1" applyFont="1" applyFill="1" applyBorder="1" applyAlignment="1">
      <alignment horizontal="right" vertical="top" wrapText="1"/>
    </xf>
    <xf numFmtId="166" fontId="3" fillId="7" borderId="35" xfId="0" applyNumberFormat="1" applyFont="1" applyFill="1" applyBorder="1" applyAlignment="1">
      <alignment horizontal="right" vertical="top" wrapText="1"/>
    </xf>
    <xf numFmtId="166" fontId="3" fillId="3" borderId="67" xfId="0" applyNumberFormat="1" applyFont="1" applyFill="1" applyBorder="1" applyAlignment="1">
      <alignment horizontal="right" vertical="top" wrapText="1"/>
    </xf>
    <xf numFmtId="166" fontId="3" fillId="3" borderId="109" xfId="0" applyNumberFormat="1" applyFont="1" applyFill="1" applyBorder="1" applyAlignment="1">
      <alignment horizontal="right" vertical="top" wrapText="1"/>
    </xf>
    <xf numFmtId="166" fontId="3" fillId="7" borderId="118"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166" fontId="5" fillId="3" borderId="67" xfId="0" applyNumberFormat="1" applyFont="1" applyFill="1" applyBorder="1" applyAlignment="1">
      <alignment horizontal="right" vertical="top"/>
    </xf>
    <xf numFmtId="166" fontId="5" fillId="3" borderId="24" xfId="0" applyNumberFormat="1" applyFont="1" applyFill="1" applyBorder="1" applyAlignment="1">
      <alignment horizontal="right" vertical="top"/>
    </xf>
    <xf numFmtId="166" fontId="9" fillId="7" borderId="67" xfId="0" applyNumberFormat="1" applyFont="1" applyFill="1" applyBorder="1" applyAlignment="1">
      <alignment vertical="top" wrapText="1"/>
    </xf>
    <xf numFmtId="0" fontId="3" fillId="7" borderId="29" xfId="0" applyFont="1" applyFill="1" applyBorder="1" applyAlignment="1">
      <alignment vertical="top"/>
    </xf>
    <xf numFmtId="166" fontId="9" fillId="7" borderId="35" xfId="0" applyNumberFormat="1" applyFont="1" applyFill="1" applyBorder="1" applyAlignment="1">
      <alignment vertical="top" wrapText="1"/>
    </xf>
    <xf numFmtId="0" fontId="3" fillId="0" borderId="7" xfId="0" applyFont="1" applyBorder="1" applyAlignment="1">
      <alignment vertical="top" wrapText="1"/>
    </xf>
    <xf numFmtId="0" fontId="3" fillId="0" borderId="38" xfId="0" applyFont="1" applyBorder="1" applyAlignment="1">
      <alignment vertical="top" wrapText="1"/>
    </xf>
    <xf numFmtId="166" fontId="3" fillId="3" borderId="70" xfId="0" applyNumberFormat="1" applyFont="1" applyFill="1" applyBorder="1" applyAlignment="1">
      <alignment horizontal="right" vertical="top"/>
    </xf>
    <xf numFmtId="166" fontId="3" fillId="3" borderId="23" xfId="0" applyNumberFormat="1" applyFont="1" applyFill="1" applyBorder="1" applyAlignment="1">
      <alignment horizontal="right" vertical="top"/>
    </xf>
    <xf numFmtId="3" fontId="3" fillId="7" borderId="1" xfId="0" applyNumberFormat="1" applyFont="1" applyFill="1" applyBorder="1" applyAlignment="1">
      <alignment horizontal="center" vertical="top" wrapText="1" shrinkToFit="1"/>
    </xf>
    <xf numFmtId="166" fontId="3" fillId="3" borderId="10" xfId="0" applyNumberFormat="1" applyFont="1" applyFill="1" applyBorder="1" applyAlignment="1">
      <alignment horizontal="right" vertical="top" wrapText="1"/>
    </xf>
    <xf numFmtId="166" fontId="3" fillId="3" borderId="44" xfId="0" applyNumberFormat="1" applyFont="1" applyFill="1" applyBorder="1" applyAlignment="1">
      <alignment horizontal="right" vertical="top" wrapText="1"/>
    </xf>
    <xf numFmtId="166" fontId="3" fillId="3" borderId="23" xfId="0" applyNumberFormat="1" applyFont="1" applyFill="1" applyBorder="1" applyAlignment="1">
      <alignment horizontal="right" vertical="top" wrapText="1"/>
    </xf>
    <xf numFmtId="166" fontId="3" fillId="3" borderId="24" xfId="1" applyNumberFormat="1" applyFont="1" applyFill="1" applyBorder="1" applyAlignment="1">
      <alignment horizontal="right" vertical="top" wrapText="1"/>
    </xf>
    <xf numFmtId="166" fontId="3" fillId="3" borderId="55" xfId="1" applyNumberFormat="1" applyFont="1" applyFill="1" applyBorder="1" applyAlignment="1">
      <alignment horizontal="right" vertical="top" wrapText="1"/>
    </xf>
    <xf numFmtId="166" fontId="5" fillId="2" borderId="73" xfId="0" applyNumberFormat="1" applyFont="1" applyFill="1" applyBorder="1" applyAlignment="1">
      <alignment horizontal="right" vertical="top"/>
    </xf>
    <xf numFmtId="166"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6" fontId="3" fillId="0" borderId="5" xfId="0" applyNumberFormat="1" applyFont="1" applyBorder="1" applyAlignment="1">
      <alignment vertical="top"/>
    </xf>
    <xf numFmtId="0" fontId="3" fillId="7" borderId="112" xfId="0" applyFont="1" applyFill="1" applyBorder="1" applyAlignment="1">
      <alignment horizontal="center" vertical="top"/>
    </xf>
    <xf numFmtId="166" fontId="3" fillId="0" borderId="92" xfId="0" applyNumberFormat="1" applyFont="1" applyBorder="1" applyAlignment="1">
      <alignment vertical="top"/>
    </xf>
    <xf numFmtId="166" fontId="3" fillId="0" borderId="102" xfId="0" applyNumberFormat="1" applyFont="1" applyBorder="1" applyAlignment="1">
      <alignment vertical="top"/>
    </xf>
    <xf numFmtId="166" fontId="3" fillId="0" borderId="30" xfId="0" applyNumberFormat="1" applyFont="1" applyBorder="1" applyAlignment="1">
      <alignment vertical="top"/>
    </xf>
    <xf numFmtId="0" fontId="5" fillId="7" borderId="35" xfId="0" applyFont="1" applyFill="1" applyBorder="1" applyAlignment="1">
      <alignment horizontal="center" vertical="top" wrapText="1"/>
    </xf>
    <xf numFmtId="166" fontId="3" fillId="7" borderId="78" xfId="0" applyNumberFormat="1" applyFont="1" applyFill="1" applyBorder="1" applyAlignment="1">
      <alignment horizontal="right" vertical="top" wrapText="1"/>
    </xf>
    <xf numFmtId="166" fontId="5" fillId="8" borderId="59" xfId="0" applyNumberFormat="1" applyFont="1" applyFill="1" applyBorder="1" applyAlignment="1">
      <alignment horizontal="right" vertical="top"/>
    </xf>
    <xf numFmtId="166" fontId="5" fillId="8" borderId="61" xfId="0" applyNumberFormat="1" applyFont="1" applyFill="1" applyBorder="1" applyAlignment="1">
      <alignment horizontal="right" vertical="top"/>
    </xf>
    <xf numFmtId="166" fontId="5" fillId="8" borderId="65" xfId="0" applyNumberFormat="1" applyFont="1" applyFill="1" applyBorder="1" applyAlignment="1">
      <alignment horizontal="right" vertical="top"/>
    </xf>
    <xf numFmtId="166"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6" fontId="3" fillId="0" borderId="5" xfId="0" applyNumberFormat="1" applyFont="1" applyBorder="1" applyAlignment="1">
      <alignment horizontal="right" vertical="top"/>
    </xf>
    <xf numFmtId="166" fontId="3" fillId="0" borderId="102" xfId="0" applyNumberFormat="1" applyFont="1" applyBorder="1" applyAlignment="1">
      <alignment horizontal="right" vertical="top"/>
    </xf>
    <xf numFmtId="166" fontId="3" fillId="0" borderId="67" xfId="0" applyNumberFormat="1" applyFont="1" applyBorder="1" applyAlignment="1">
      <alignment horizontal="right" vertical="top"/>
    </xf>
    <xf numFmtId="166"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12" xfId="0" applyFont="1" applyBorder="1" applyAlignment="1">
      <alignment vertical="top" wrapText="1"/>
    </xf>
    <xf numFmtId="0" fontId="11" fillId="7" borderId="50" xfId="0" applyFont="1" applyFill="1" applyBorder="1" applyAlignment="1">
      <alignment vertical="top" wrapText="1"/>
    </xf>
    <xf numFmtId="166" fontId="9" fillId="7" borderId="94" xfId="0" applyNumberFormat="1" applyFont="1" applyFill="1" applyBorder="1" applyAlignment="1">
      <alignment horizontal="center" vertical="center" wrapText="1"/>
    </xf>
    <xf numFmtId="166" fontId="5" fillId="8" borderId="68" xfId="0" applyNumberFormat="1" applyFont="1" applyFill="1" applyBorder="1" applyAlignment="1">
      <alignment horizontal="right" vertical="top"/>
    </xf>
    <xf numFmtId="166" fontId="3" fillId="3" borderId="41" xfId="0" applyNumberFormat="1" applyFont="1" applyFill="1" applyBorder="1" applyAlignment="1">
      <alignment horizontal="right" vertical="top" wrapText="1"/>
    </xf>
    <xf numFmtId="0" fontId="3" fillId="7" borderId="10" xfId="0" applyFont="1" applyFill="1" applyBorder="1" applyAlignment="1">
      <alignment horizontal="center" vertical="top"/>
    </xf>
    <xf numFmtId="166" fontId="3" fillId="0" borderId="71" xfId="0" applyNumberFormat="1" applyFont="1" applyBorder="1" applyAlignment="1">
      <alignment horizontal="right" vertical="top"/>
    </xf>
    <xf numFmtId="3" fontId="3" fillId="10" borderId="33"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166" fontId="5" fillId="8" borderId="35" xfId="0" applyNumberFormat="1" applyFont="1" applyFill="1" applyBorder="1" applyAlignment="1">
      <alignment horizontal="right" vertical="top"/>
    </xf>
    <xf numFmtId="166" fontId="5" fillId="2" borderId="57"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166" fontId="5" fillId="9" borderId="25" xfId="0" applyNumberFormat="1" applyFont="1" applyFill="1" applyBorder="1" applyAlignment="1">
      <alignment horizontal="right" vertical="top"/>
    </xf>
    <xf numFmtId="166" fontId="5" fillId="9" borderId="74" xfId="0" applyNumberFormat="1" applyFont="1" applyFill="1" applyBorder="1" applyAlignment="1">
      <alignment horizontal="right" vertical="top"/>
    </xf>
    <xf numFmtId="166" fontId="5" fillId="5" borderId="57" xfId="0" applyNumberFormat="1" applyFont="1" applyFill="1" applyBorder="1" applyAlignment="1">
      <alignment horizontal="right" vertical="top"/>
    </xf>
    <xf numFmtId="166" fontId="5" fillId="5" borderId="25" xfId="0" applyNumberFormat="1" applyFont="1" applyFill="1" applyBorder="1" applyAlignment="1">
      <alignment horizontal="right" vertical="top"/>
    </xf>
    <xf numFmtId="166" fontId="5" fillId="5" borderId="74" xfId="0" applyNumberFormat="1" applyFont="1" applyFill="1" applyBorder="1" applyAlignment="1">
      <alignment horizontal="right" vertical="top"/>
    </xf>
    <xf numFmtId="166" fontId="5" fillId="8" borderId="70" xfId="0" applyNumberFormat="1" applyFont="1" applyFill="1" applyBorder="1" applyAlignment="1">
      <alignment horizontal="center" vertical="top" wrapText="1"/>
    </xf>
    <xf numFmtId="166" fontId="3" fillId="7" borderId="70" xfId="0" applyNumberFormat="1" applyFont="1" applyFill="1" applyBorder="1" applyAlignment="1">
      <alignment horizontal="center" vertical="top" wrapText="1"/>
    </xf>
    <xf numFmtId="166" fontId="3" fillId="0" borderId="70" xfId="0" applyNumberFormat="1" applyFont="1" applyBorder="1" applyAlignment="1">
      <alignment horizontal="center" vertical="top" wrapText="1"/>
    </xf>
    <xf numFmtId="166" fontId="3" fillId="8" borderId="70" xfId="0" applyNumberFormat="1" applyFont="1" applyFill="1" applyBorder="1" applyAlignment="1">
      <alignment horizontal="center" vertical="top" wrapText="1"/>
    </xf>
    <xf numFmtId="166" fontId="5" fillId="5" borderId="70" xfId="0" applyNumberFormat="1" applyFont="1" applyFill="1" applyBorder="1" applyAlignment="1">
      <alignment horizontal="center" vertical="top" wrapText="1"/>
    </xf>
    <xf numFmtId="166" fontId="5" fillId="4" borderId="75"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110" xfId="0" applyNumberFormat="1" applyFont="1" applyFill="1" applyBorder="1" applyAlignment="1">
      <alignment horizontal="center" vertical="top"/>
    </xf>
    <xf numFmtId="3" fontId="3" fillId="7" borderId="123"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3" fillId="10" borderId="33" xfId="0" applyFont="1" applyFill="1" applyBorder="1" applyAlignment="1">
      <alignment vertical="top" wrapText="1"/>
    </xf>
    <xf numFmtId="0" fontId="3" fillId="10" borderId="33" xfId="0" applyFont="1" applyFill="1" applyBorder="1" applyAlignment="1">
      <alignment horizontal="center" vertical="center" textRotation="90" wrapText="1"/>
    </xf>
    <xf numFmtId="0" fontId="3" fillId="10" borderId="54" xfId="0" applyFont="1" applyFill="1" applyBorder="1" applyAlignment="1">
      <alignment horizontal="left" vertical="top" wrapText="1"/>
    </xf>
    <xf numFmtId="3" fontId="3" fillId="7" borderId="26" xfId="0" applyNumberFormat="1" applyFont="1" applyFill="1" applyBorder="1" applyAlignment="1">
      <alignment horizontal="right" vertical="top"/>
    </xf>
    <xf numFmtId="3" fontId="5" fillId="9"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3" fontId="5" fillId="5" borderId="73" xfId="0" applyNumberFormat="1" applyFont="1" applyFill="1" applyBorder="1" applyAlignment="1">
      <alignment horizontal="right" vertical="top"/>
    </xf>
    <xf numFmtId="3" fontId="3" fillId="7" borderId="41" xfId="0" applyNumberFormat="1" applyFont="1" applyFill="1" applyBorder="1" applyAlignment="1">
      <alignment horizontal="right" vertical="top" wrapText="1"/>
    </xf>
    <xf numFmtId="3" fontId="5" fillId="10" borderId="33" xfId="0" applyNumberFormat="1" applyFont="1" applyFill="1" applyBorder="1" applyAlignment="1">
      <alignment vertical="top"/>
    </xf>
    <xf numFmtId="3" fontId="5" fillId="10" borderId="75" xfId="0" applyNumberFormat="1" applyFont="1" applyFill="1" applyBorder="1" applyAlignment="1">
      <alignment vertical="top"/>
    </xf>
    <xf numFmtId="3" fontId="5" fillId="10" borderId="34" xfId="0" applyNumberFormat="1" applyFont="1" applyFill="1" applyBorder="1" applyAlignment="1">
      <alignment vertical="top"/>
    </xf>
    <xf numFmtId="0" fontId="5" fillId="0" borderId="25" xfId="0" applyFont="1" applyBorder="1" applyAlignment="1">
      <alignment horizontal="center" vertical="center" wrapText="1"/>
    </xf>
    <xf numFmtId="0" fontId="3" fillId="7" borderId="0" xfId="0" applyFont="1" applyFill="1" applyBorder="1" applyAlignment="1">
      <alignment horizontal="center" vertical="top"/>
    </xf>
    <xf numFmtId="0" fontId="3" fillId="7" borderId="55" xfId="0" applyFont="1" applyFill="1" applyBorder="1" applyAlignment="1">
      <alignment horizontal="center" vertical="top" wrapText="1"/>
    </xf>
    <xf numFmtId="0" fontId="3" fillId="0" borderId="45" xfId="0" applyFont="1" applyFill="1" applyBorder="1" applyAlignment="1">
      <alignment horizontal="center" vertical="top"/>
    </xf>
    <xf numFmtId="0" fontId="3" fillId="7" borderId="0" xfId="0" applyFont="1" applyFill="1" applyBorder="1" applyAlignment="1">
      <alignment horizontal="center" vertical="top" wrapText="1"/>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7" xfId="0" applyFont="1" applyFill="1" applyBorder="1" applyAlignment="1">
      <alignment horizontal="center" vertical="top" wrapText="1"/>
    </xf>
    <xf numFmtId="0" fontId="25" fillId="3" borderId="71" xfId="0" applyFont="1" applyFill="1" applyBorder="1" applyAlignment="1">
      <alignment horizontal="center" vertical="center" textRotation="90" wrapText="1"/>
    </xf>
    <xf numFmtId="165" fontId="5" fillId="7" borderId="51" xfId="0" applyNumberFormat="1" applyFont="1" applyFill="1" applyBorder="1" applyAlignment="1">
      <alignment horizontal="center" vertical="center" wrapText="1"/>
    </xf>
    <xf numFmtId="165" fontId="5" fillId="7" borderId="70" xfId="0" applyNumberFormat="1" applyFont="1" applyFill="1" applyBorder="1" applyAlignment="1">
      <alignment horizontal="center" vertical="center" wrapText="1"/>
    </xf>
    <xf numFmtId="165" fontId="19" fillId="7" borderId="35" xfId="0" applyNumberFormat="1" applyFont="1" applyFill="1" applyBorder="1" applyAlignment="1">
      <alignment horizontal="left" vertical="center" textRotation="90" wrapText="1"/>
    </xf>
    <xf numFmtId="166" fontId="5" fillId="8" borderId="69" xfId="0" applyNumberFormat="1" applyFont="1" applyFill="1" applyBorder="1" applyAlignment="1">
      <alignment horizontal="right" vertical="top"/>
    </xf>
    <xf numFmtId="166" fontId="5" fillId="8" borderId="54" xfId="0" applyNumberFormat="1" applyFont="1" applyFill="1" applyBorder="1" applyAlignment="1">
      <alignment horizontal="right" vertical="top"/>
    </xf>
    <xf numFmtId="166" fontId="5" fillId="8" borderId="75" xfId="0" applyNumberFormat="1" applyFont="1" applyFill="1" applyBorder="1" applyAlignment="1">
      <alignment horizontal="right" vertical="top"/>
    </xf>
    <xf numFmtId="164" fontId="3" fillId="0" borderId="44" xfId="1" applyFont="1" applyFill="1" applyBorder="1" applyAlignment="1">
      <alignment horizontal="center" vertical="top" wrapText="1"/>
    </xf>
    <xf numFmtId="166" fontId="5" fillId="8" borderId="33" xfId="0" applyNumberFormat="1" applyFont="1" applyFill="1" applyBorder="1" applyAlignment="1">
      <alignment horizontal="right" vertical="top"/>
    </xf>
    <xf numFmtId="166" fontId="5" fillId="8" borderId="60" xfId="0" applyNumberFormat="1" applyFont="1" applyFill="1" applyBorder="1" applyAlignment="1">
      <alignment horizontal="right" vertical="top"/>
    </xf>
    <xf numFmtId="166" fontId="3" fillId="7" borderId="102" xfId="0" applyNumberFormat="1" applyFont="1" applyFill="1" applyBorder="1" applyAlignment="1">
      <alignment horizontal="right" vertical="top" wrapText="1"/>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6" fontId="5" fillId="8" borderId="75" xfId="0" applyNumberFormat="1" applyFont="1" applyFill="1" applyBorder="1" applyAlignment="1">
      <alignment vertical="top"/>
    </xf>
    <xf numFmtId="0" fontId="3" fillId="7" borderId="24" xfId="0" applyFont="1" applyFill="1" applyBorder="1" applyAlignment="1">
      <alignment vertical="top"/>
    </xf>
    <xf numFmtId="0" fontId="10" fillId="7" borderId="50" xfId="0" applyFont="1" applyFill="1" applyBorder="1" applyAlignment="1">
      <alignment vertical="top" wrapText="1"/>
    </xf>
    <xf numFmtId="166" fontId="3" fillId="0" borderId="55" xfId="0" applyNumberFormat="1" applyFont="1" applyBorder="1" applyAlignment="1">
      <alignment horizontal="right" vertical="top"/>
    </xf>
    <xf numFmtId="0" fontId="5" fillId="8" borderId="69" xfId="0" applyFont="1" applyFill="1" applyBorder="1" applyAlignment="1">
      <alignment horizontal="center" vertical="top"/>
    </xf>
    <xf numFmtId="0" fontId="5" fillId="7" borderId="18" xfId="0" applyFont="1" applyFill="1" applyBorder="1" applyAlignment="1">
      <alignment vertical="top" wrapText="1"/>
    </xf>
    <xf numFmtId="3" fontId="3" fillId="3" borderId="27" xfId="0" applyNumberFormat="1" applyFont="1" applyFill="1" applyBorder="1" applyAlignment="1">
      <alignment horizontal="right" vertical="top"/>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3" fontId="3" fillId="0" borderId="51"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3" borderId="113" xfId="0" applyNumberFormat="1" applyFont="1" applyFill="1" applyBorder="1" applyAlignment="1">
      <alignment horizontal="right" vertical="top"/>
    </xf>
    <xf numFmtId="3" fontId="5" fillId="10" borderId="58" xfId="0" applyNumberFormat="1" applyFont="1" applyFill="1" applyBorder="1" applyAlignment="1">
      <alignment vertical="top"/>
    </xf>
    <xf numFmtId="3" fontId="3" fillId="0" borderId="48" xfId="0" applyNumberFormat="1" applyFont="1" applyBorder="1" applyAlignment="1">
      <alignment horizontal="right" vertical="top"/>
    </xf>
    <xf numFmtId="3" fontId="3" fillId="0" borderId="50" xfId="0" applyNumberFormat="1" applyFont="1" applyBorder="1" applyAlignment="1">
      <alignment horizontal="right" vertical="top"/>
    </xf>
    <xf numFmtId="166" fontId="3" fillId="7" borderId="36" xfId="0" applyNumberFormat="1" applyFont="1" applyFill="1" applyBorder="1" applyAlignment="1">
      <alignment horizontal="right" vertical="top"/>
    </xf>
    <xf numFmtId="0" fontId="5" fillId="7" borderId="9" xfId="0" applyFont="1" applyFill="1" applyBorder="1" applyAlignment="1">
      <alignment horizontal="center" vertical="top"/>
    </xf>
    <xf numFmtId="3" fontId="3" fillId="0" borderId="31"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0" fontId="3" fillId="7" borderId="49"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0" borderId="35" xfId="0" applyFont="1" applyBorder="1" applyAlignment="1">
      <alignment horizontal="justify" vertical="top"/>
    </xf>
    <xf numFmtId="0" fontId="3" fillId="7" borderId="104" xfId="0" applyFont="1" applyFill="1" applyBorder="1" applyAlignment="1">
      <alignment vertical="top" wrapText="1"/>
    </xf>
    <xf numFmtId="0" fontId="3" fillId="0" borderId="104" xfId="0" applyFont="1" applyFill="1" applyBorder="1" applyAlignment="1">
      <alignment horizontal="left" vertical="top" wrapText="1"/>
    </xf>
    <xf numFmtId="3" fontId="3" fillId="7" borderId="46" xfId="0" applyNumberFormat="1" applyFont="1" applyFill="1" applyBorder="1" applyAlignment="1">
      <alignment vertical="top"/>
    </xf>
    <xf numFmtId="3" fontId="3" fillId="7" borderId="53" xfId="0" applyNumberFormat="1" applyFont="1" applyFill="1" applyBorder="1" applyAlignment="1">
      <alignment horizontal="right" vertical="top" wrapText="1"/>
    </xf>
    <xf numFmtId="3" fontId="5" fillId="8" borderId="75"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0" fontId="7" fillId="0" borderId="35" xfId="0" applyFont="1" applyFill="1" applyBorder="1" applyAlignment="1">
      <alignment horizontal="center" vertical="center" textRotation="90" wrapText="1"/>
    </xf>
    <xf numFmtId="165" fontId="3" fillId="0" borderId="67" xfId="0" applyNumberFormat="1" applyFont="1" applyFill="1" applyBorder="1" applyAlignment="1">
      <alignment horizontal="center" vertical="top" wrapText="1"/>
    </xf>
    <xf numFmtId="0" fontId="15" fillId="0" borderId="12" xfId="0" applyFont="1" applyFill="1" applyBorder="1" applyAlignment="1">
      <alignment horizontal="center" vertical="center" textRotation="90" shrinkToFit="1"/>
    </xf>
    <xf numFmtId="0" fontId="7" fillId="3" borderId="71" xfId="0" applyFont="1" applyFill="1" applyBorder="1" applyAlignment="1">
      <alignment horizontal="center" vertical="center" textRotation="90" wrapText="1"/>
    </xf>
    <xf numFmtId="0" fontId="3" fillId="7" borderId="106" xfId="0" applyFont="1" applyFill="1" applyBorder="1" applyAlignment="1">
      <alignment vertical="top" wrapText="1"/>
    </xf>
    <xf numFmtId="0" fontId="3" fillId="0" borderId="90" xfId="0" applyFont="1" applyFill="1" applyBorder="1" applyAlignment="1">
      <alignment horizontal="left" vertical="top" wrapText="1"/>
    </xf>
    <xf numFmtId="3" fontId="3" fillId="0" borderId="91" xfId="0" applyNumberFormat="1" applyFont="1" applyFill="1" applyBorder="1" applyAlignment="1">
      <alignment horizontal="center" vertical="top"/>
    </xf>
    <xf numFmtId="165" fontId="5" fillId="0" borderId="16" xfId="0" applyNumberFormat="1" applyFont="1" applyFill="1" applyBorder="1" applyAlignment="1">
      <alignment horizontal="center" vertical="top" wrapText="1"/>
    </xf>
    <xf numFmtId="3" fontId="3" fillId="3" borderId="50" xfId="0" applyNumberFormat="1" applyFont="1" applyFill="1" applyBorder="1" applyAlignment="1">
      <alignment horizontal="right" vertical="top"/>
    </xf>
    <xf numFmtId="3" fontId="3" fillId="7" borderId="118" xfId="0" applyNumberFormat="1" applyFont="1" applyFill="1" applyBorder="1" applyAlignment="1">
      <alignment horizontal="right" vertical="top"/>
    </xf>
    <xf numFmtId="0" fontId="7" fillId="3" borderId="30" xfId="0" applyFont="1" applyFill="1" applyBorder="1" applyAlignment="1">
      <alignment horizontal="center" vertical="center" textRotation="90" wrapText="1"/>
    </xf>
    <xf numFmtId="49" fontId="5" fillId="0" borderId="78" xfId="0" applyNumberFormat="1" applyFont="1" applyFill="1" applyBorder="1" applyAlignment="1">
      <alignment horizontal="center" vertical="top" wrapText="1"/>
    </xf>
    <xf numFmtId="3" fontId="5" fillId="3" borderId="24" xfId="0" applyNumberFormat="1" applyFont="1" applyFill="1" applyBorder="1" applyAlignment="1">
      <alignment horizontal="right" vertical="top"/>
    </xf>
    <xf numFmtId="3" fontId="5" fillId="3" borderId="67"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55" xfId="0" applyNumberFormat="1" applyFont="1" applyFill="1" applyBorder="1" applyAlignment="1">
      <alignment horizontal="right" vertical="top"/>
    </xf>
    <xf numFmtId="3" fontId="5" fillId="3" borderId="78" xfId="0" applyNumberFormat="1" applyFont="1" applyFill="1" applyBorder="1" applyAlignment="1">
      <alignment horizontal="right" vertical="top"/>
    </xf>
    <xf numFmtId="3" fontId="5" fillId="10" borderId="32" xfId="0" applyNumberFormat="1" applyFont="1" applyFill="1" applyBorder="1" applyAlignment="1">
      <alignment horizontal="right" vertical="top"/>
    </xf>
    <xf numFmtId="49" fontId="5" fillId="10" borderId="62" xfId="0" applyNumberFormat="1" applyFont="1" applyFill="1" applyBorder="1" applyAlignment="1">
      <alignment horizontal="center" vertical="top"/>
    </xf>
    <xf numFmtId="0" fontId="3" fillId="10" borderId="62" xfId="0" applyFont="1" applyFill="1" applyBorder="1" applyAlignment="1">
      <alignment horizontal="left" vertical="top" wrapText="1"/>
    </xf>
    <xf numFmtId="0" fontId="3" fillId="10" borderId="62"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3" fontId="3" fillId="0" borderId="35" xfId="0" applyNumberFormat="1" applyFont="1" applyBorder="1" applyAlignment="1">
      <alignment vertical="top"/>
    </xf>
    <xf numFmtId="3" fontId="3" fillId="0" borderId="7" xfId="0" applyNumberFormat="1" applyFont="1" applyBorder="1" applyAlignment="1">
      <alignment vertical="top"/>
    </xf>
    <xf numFmtId="3" fontId="3" fillId="0" borderId="11" xfId="0" applyNumberFormat="1" applyFont="1" applyBorder="1" applyAlignment="1">
      <alignment vertical="top"/>
    </xf>
    <xf numFmtId="3" fontId="3" fillId="0" borderId="18" xfId="0" applyNumberFormat="1" applyFont="1" applyBorder="1" applyAlignment="1">
      <alignment vertical="top"/>
    </xf>
    <xf numFmtId="3" fontId="3" fillId="0" borderId="45" xfId="0" applyNumberFormat="1" applyFont="1" applyBorder="1" applyAlignment="1">
      <alignment vertical="top"/>
    </xf>
    <xf numFmtId="0" fontId="3" fillId="7" borderId="71" xfId="0" applyFont="1" applyFill="1" applyBorder="1" applyAlignment="1">
      <alignment horizontal="center" vertical="top"/>
    </xf>
    <xf numFmtId="3" fontId="3" fillId="0" borderId="71" xfId="0" applyNumberFormat="1" applyFont="1" applyBorder="1" applyAlignment="1">
      <alignment vertical="top"/>
    </xf>
    <xf numFmtId="0" fontId="3" fillId="0" borderId="71" xfId="0" applyFont="1" applyBorder="1" applyAlignment="1">
      <alignment vertical="top"/>
    </xf>
    <xf numFmtId="0" fontId="3" fillId="0" borderId="13" xfId="0" applyFont="1" applyBorder="1" applyAlignment="1">
      <alignment vertical="top"/>
    </xf>
    <xf numFmtId="0" fontId="3" fillId="0" borderId="76" xfId="0" applyFont="1" applyBorder="1" applyAlignment="1">
      <alignment vertical="top"/>
    </xf>
    <xf numFmtId="0" fontId="3" fillId="0" borderId="15" xfId="0" applyFont="1" applyBorder="1" applyAlignment="1">
      <alignment vertical="top"/>
    </xf>
    <xf numFmtId="0" fontId="3" fillId="0" borderId="51" xfId="0" applyFont="1" applyBorder="1" applyAlignment="1">
      <alignment vertical="top"/>
    </xf>
    <xf numFmtId="0" fontId="3" fillId="0" borderId="20" xfId="0" applyFont="1" applyBorder="1" applyAlignment="1">
      <alignment vertical="top"/>
    </xf>
    <xf numFmtId="0" fontId="3" fillId="0" borderId="63" xfId="0" applyFont="1" applyBorder="1" applyAlignment="1">
      <alignment vertical="top"/>
    </xf>
    <xf numFmtId="0" fontId="3" fillId="0" borderId="21" xfId="0" applyFont="1" applyBorder="1" applyAlignment="1">
      <alignment vertical="top"/>
    </xf>
    <xf numFmtId="3" fontId="3" fillId="7" borderId="92" xfId="0" applyNumberFormat="1" applyFont="1" applyFill="1" applyBorder="1" applyAlignment="1">
      <alignment horizontal="right"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15" xfId="0" applyNumberFormat="1" applyFont="1" applyFill="1" applyBorder="1" applyAlignment="1">
      <alignment horizontal="center" vertical="top"/>
    </xf>
    <xf numFmtId="49" fontId="5" fillId="7" borderId="55"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5" fillId="7" borderId="15" xfId="0" applyFont="1" applyFill="1" applyBorder="1" applyAlignment="1">
      <alignment vertical="top" wrapText="1"/>
    </xf>
    <xf numFmtId="166" fontId="3" fillId="7" borderId="78" xfId="0" applyNumberFormat="1" applyFont="1" applyFill="1" applyBorder="1" applyAlignment="1">
      <alignment horizontal="right" vertical="top"/>
    </xf>
    <xf numFmtId="3" fontId="5" fillId="10" borderId="69" xfId="0" applyNumberFormat="1" applyFont="1" applyFill="1" applyBorder="1" applyAlignment="1">
      <alignment vertical="top"/>
    </xf>
    <xf numFmtId="3" fontId="5" fillId="9" borderId="58" xfId="0" applyNumberFormat="1" applyFont="1" applyFill="1" applyBorder="1" applyAlignment="1">
      <alignment horizontal="right" vertical="top"/>
    </xf>
    <xf numFmtId="3" fontId="5" fillId="2" borderId="77"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0" fontId="3" fillId="7" borderId="88" xfId="0" applyNumberFormat="1" applyFont="1" applyFill="1" applyBorder="1" applyAlignment="1">
      <alignment horizontal="center" vertical="top"/>
    </xf>
    <xf numFmtId="3" fontId="5" fillId="2" borderId="57" xfId="0" applyNumberFormat="1" applyFont="1" applyFill="1" applyBorder="1" applyAlignment="1">
      <alignment horizontal="right" vertical="top"/>
    </xf>
    <xf numFmtId="3" fontId="5" fillId="2" borderId="79" xfId="0" applyNumberFormat="1" applyFont="1" applyFill="1" applyBorder="1" applyAlignment="1">
      <alignment horizontal="right" vertical="top"/>
    </xf>
    <xf numFmtId="49" fontId="5" fillId="7" borderId="58" xfId="0" applyNumberFormat="1" applyFont="1" applyFill="1" applyBorder="1" applyAlignment="1">
      <alignment horizontal="center" vertical="top"/>
    </xf>
    <xf numFmtId="3" fontId="5" fillId="2" borderId="4"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49" fontId="5" fillId="7" borderId="24" xfId="0" applyNumberFormat="1" applyFont="1" applyFill="1" applyBorder="1" applyAlignment="1">
      <alignment horizontal="center" vertical="top"/>
    </xf>
    <xf numFmtId="0" fontId="3" fillId="7" borderId="24" xfId="0" applyFont="1" applyFill="1" applyBorder="1" applyAlignment="1">
      <alignment horizontal="center" vertical="center" wrapText="1"/>
    </xf>
    <xf numFmtId="166" fontId="3" fillId="7" borderId="50" xfId="0" applyNumberFormat="1" applyFont="1" applyFill="1" applyBorder="1" applyAlignment="1">
      <alignment horizontal="right" vertical="top"/>
    </xf>
    <xf numFmtId="0" fontId="3" fillId="7" borderId="50" xfId="0" applyNumberFormat="1" applyFont="1" applyFill="1" applyBorder="1" applyAlignment="1">
      <alignment horizontal="center" vertical="top"/>
    </xf>
    <xf numFmtId="3" fontId="3" fillId="7" borderId="41" xfId="0" applyNumberFormat="1" applyFont="1" applyFill="1" applyBorder="1" applyAlignment="1">
      <alignment vertical="top"/>
    </xf>
    <xf numFmtId="3" fontId="3" fillId="7" borderId="12" xfId="0" applyNumberFormat="1" applyFont="1" applyFill="1" applyBorder="1" applyAlignment="1">
      <alignment vertical="top"/>
    </xf>
    <xf numFmtId="3" fontId="3" fillId="7" borderId="112" xfId="0" applyNumberFormat="1" applyFont="1" applyFill="1" applyBorder="1" applyAlignment="1">
      <alignment vertical="top"/>
    </xf>
    <xf numFmtId="3" fontId="3" fillId="0" borderId="78" xfId="0" applyNumberFormat="1" applyFont="1" applyFill="1" applyBorder="1" applyAlignment="1">
      <alignment horizontal="right" vertical="top"/>
    </xf>
    <xf numFmtId="3" fontId="3" fillId="0" borderId="43" xfId="0" applyNumberFormat="1" applyFont="1" applyFill="1" applyBorder="1" applyAlignment="1">
      <alignment vertical="top"/>
    </xf>
    <xf numFmtId="3" fontId="5" fillId="10" borderId="58"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3" borderId="116" xfId="0" applyFont="1" applyFill="1" applyBorder="1" applyAlignment="1">
      <alignment horizontal="left" vertical="top" wrapText="1"/>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11" xfId="0" applyNumberFormat="1" applyFont="1" applyFill="1" applyBorder="1" applyAlignment="1">
      <alignment horizontal="center"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3" fillId="3" borderId="50"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16" xfId="0" applyFont="1" applyFill="1" applyBorder="1" applyAlignment="1">
      <alignment horizontal="left" vertical="top" wrapText="1"/>
    </xf>
    <xf numFmtId="0" fontId="3" fillId="7" borderId="6" xfId="0" applyFont="1" applyFill="1" applyBorder="1" applyAlignment="1">
      <alignment horizontal="center" vertical="top" wrapText="1"/>
    </xf>
    <xf numFmtId="0" fontId="11" fillId="0" borderId="35" xfId="0" applyFont="1" applyBorder="1" applyAlignment="1">
      <alignment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8" xfId="0" applyFont="1" applyFill="1" applyBorder="1" applyAlignment="1">
      <alignment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5" fillId="3" borderId="27" xfId="0" applyFont="1" applyFill="1" applyBorder="1" applyAlignment="1">
      <alignment vertical="top" wrapText="1"/>
    </xf>
    <xf numFmtId="0" fontId="3" fillId="3" borderId="18"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38" xfId="0" applyFont="1" applyFill="1" applyBorder="1" applyAlignment="1">
      <alignment vertical="top" wrapText="1"/>
    </xf>
    <xf numFmtId="0" fontId="5" fillId="0"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11" fillId="0" borderId="18" xfId="0" applyFont="1" applyBorder="1" applyAlignment="1">
      <alignment vertical="top" wrapText="1"/>
    </xf>
    <xf numFmtId="0" fontId="3" fillId="0" borderId="7" xfId="0" applyFont="1" applyFill="1" applyBorder="1" applyAlignment="1">
      <alignment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1" fillId="0" borderId="0" xfId="0" applyFont="1" applyAlignment="1">
      <alignment vertical="top" wrapText="1"/>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xf>
    <xf numFmtId="0" fontId="3" fillId="7" borderId="116" xfId="0" applyFont="1" applyFill="1" applyBorder="1" applyAlignment="1">
      <alignment horizontal="left"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49" fontId="5" fillId="10"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26" xfId="0" applyNumberFormat="1" applyFont="1" applyFill="1" applyBorder="1" applyAlignment="1">
      <alignment horizontal="center" vertical="top"/>
    </xf>
    <xf numFmtId="0" fontId="3" fillId="7" borderId="28" xfId="0" applyFont="1" applyFill="1" applyBorder="1" applyAlignment="1">
      <alignment horizontal="left" vertical="top" wrapText="1"/>
    </xf>
    <xf numFmtId="49" fontId="5" fillId="0" borderId="11" xfId="0" applyNumberFormat="1" applyFont="1" applyBorder="1" applyAlignment="1">
      <alignment horizontal="center" vertical="top"/>
    </xf>
    <xf numFmtId="49" fontId="3" fillId="7" borderId="45"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8" fillId="0" borderId="7" xfId="0" applyFont="1" applyFill="1" applyBorder="1" applyAlignment="1">
      <alignment horizontal="left" vertical="top" wrapText="1"/>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0" fillId="7" borderId="7" xfId="0" applyFont="1" applyFill="1" applyBorder="1" applyAlignment="1">
      <alignment horizontal="center" vertical="top" wrapText="1"/>
    </xf>
    <xf numFmtId="49" fontId="3" fillId="0" borderId="67" xfId="0" applyNumberFormat="1" applyFont="1" applyBorder="1" applyAlignment="1">
      <alignment horizontal="center" vertical="top" wrapText="1"/>
    </xf>
    <xf numFmtId="165"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3" fillId="7" borderId="0" xfId="0" applyNumberFormat="1" applyFont="1" applyFill="1" applyAlignment="1">
      <alignment vertical="top"/>
    </xf>
    <xf numFmtId="3" fontId="3" fillId="7" borderId="70" xfId="0" applyNumberFormat="1" applyFont="1" applyFill="1" applyBorder="1" applyAlignment="1">
      <alignment horizontal="center" vertical="top" wrapText="1"/>
    </xf>
    <xf numFmtId="0" fontId="3" fillId="7" borderId="67" xfId="0" applyFont="1" applyFill="1" applyBorder="1" applyAlignment="1">
      <alignment horizontal="center" vertical="center" textRotation="90" wrapText="1"/>
    </xf>
    <xf numFmtId="3" fontId="5" fillId="4" borderId="75"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8" xfId="0" applyFont="1" applyFill="1" applyBorder="1" applyAlignment="1">
      <alignment horizontal="left" vertical="top" wrapText="1"/>
    </xf>
    <xf numFmtId="0" fontId="5" fillId="3" borderId="38" xfId="0"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0" fontId="5" fillId="3" borderId="30" xfId="0" applyFont="1" applyFill="1" applyBorder="1" applyAlignment="1">
      <alignment horizontal="center" vertical="top" wrapText="1"/>
    </xf>
    <xf numFmtId="49" fontId="5" fillId="0" borderId="27" xfId="0" applyNumberFormat="1" applyFont="1" applyBorder="1" applyAlignment="1">
      <alignment horizontal="center" vertical="top"/>
    </xf>
    <xf numFmtId="49" fontId="3" fillId="0" borderId="41" xfId="0" applyNumberFormat="1" applyFont="1" applyBorder="1" applyAlignment="1">
      <alignment horizontal="center" vertical="top" wrapText="1"/>
    </xf>
    <xf numFmtId="49" fontId="5" fillId="10" borderId="58" xfId="0" applyNumberFormat="1" applyFont="1" applyFill="1" applyBorder="1" applyAlignment="1">
      <alignment horizontal="center" vertical="top"/>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7" borderId="35" xfId="0" applyFont="1" applyFill="1" applyBorder="1" applyAlignment="1">
      <alignment vertical="top" wrapText="1"/>
    </xf>
    <xf numFmtId="0" fontId="18" fillId="7" borderId="50" xfId="0" applyFont="1" applyFill="1" applyBorder="1" applyAlignment="1">
      <alignment horizontal="center" vertical="top" wrapText="1"/>
    </xf>
    <xf numFmtId="3" fontId="18" fillId="7" borderId="11" xfId="0" applyNumberFormat="1" applyFont="1" applyFill="1" applyBorder="1" applyAlignment="1">
      <alignment horizontal="center" vertical="top"/>
    </xf>
    <xf numFmtId="3" fontId="3" fillId="7" borderId="11" xfId="0" applyNumberFormat="1" applyFont="1" applyFill="1" applyBorder="1" applyAlignment="1">
      <alignment horizontal="center" wrapText="1"/>
    </xf>
    <xf numFmtId="3" fontId="3" fillId="7" borderId="18" xfId="0" applyNumberFormat="1" applyFont="1" applyFill="1" applyBorder="1" applyAlignment="1">
      <alignment horizontal="center" wrapText="1"/>
    </xf>
    <xf numFmtId="0" fontId="18" fillId="0" borderId="67" xfId="0" applyFont="1" applyFill="1" applyBorder="1" applyAlignment="1">
      <alignment vertical="top" wrapText="1"/>
    </xf>
    <xf numFmtId="0" fontId="11" fillId="0" borderId="0" xfId="0" applyFont="1" applyAlignment="1">
      <alignment vertical="top"/>
    </xf>
    <xf numFmtId="0" fontId="11" fillId="7" borderId="24" xfId="0" applyFont="1" applyFill="1" applyBorder="1" applyAlignment="1">
      <alignment horizontal="center" vertical="top" wrapText="1"/>
    </xf>
    <xf numFmtId="0" fontId="11" fillId="7" borderId="7" xfId="0" applyFont="1" applyFill="1" applyBorder="1" applyAlignment="1">
      <alignment vertical="top"/>
    </xf>
    <xf numFmtId="0" fontId="11" fillId="7" borderId="78" xfId="0" applyFont="1" applyFill="1" applyBorder="1" applyAlignment="1">
      <alignment horizontal="center" vertical="center" wrapText="1"/>
    </xf>
    <xf numFmtId="0" fontId="11" fillId="10" borderId="9" xfId="0" applyFont="1" applyFill="1" applyBorder="1" applyAlignment="1"/>
    <xf numFmtId="3" fontId="3" fillId="7" borderId="13" xfId="0" applyNumberFormat="1" applyFont="1" applyFill="1" applyBorder="1" applyAlignment="1">
      <alignment vertical="top"/>
    </xf>
    <xf numFmtId="3" fontId="3" fillId="7" borderId="15" xfId="0" applyNumberFormat="1" applyFont="1" applyFill="1" applyBorder="1" applyAlignment="1">
      <alignment vertical="top"/>
    </xf>
    <xf numFmtId="3" fontId="3" fillId="7" borderId="71" xfId="0" applyNumberFormat="1" applyFont="1" applyFill="1" applyBorder="1" applyAlignment="1">
      <alignment vertical="top"/>
    </xf>
    <xf numFmtId="0" fontId="11" fillId="7" borderId="16" xfId="0" applyFont="1" applyFill="1" applyBorder="1" applyAlignment="1">
      <alignment horizontal="center" vertical="center" textRotation="90" wrapText="1"/>
    </xf>
    <xf numFmtId="0" fontId="3" fillId="0" borderId="88" xfId="0" applyNumberFormat="1" applyFont="1" applyFill="1" applyBorder="1" applyAlignment="1">
      <alignment horizontal="center" vertical="top"/>
    </xf>
    <xf numFmtId="0" fontId="9" fillId="7" borderId="29" xfId="0" applyFont="1" applyFill="1" applyBorder="1" applyAlignment="1">
      <alignment horizontal="center" vertical="top" wrapText="1"/>
    </xf>
    <xf numFmtId="3" fontId="3" fillId="7" borderId="14" xfId="0" applyNumberFormat="1" applyFont="1" applyFill="1" applyBorder="1" applyAlignment="1">
      <alignment horizontal="right" vertical="top"/>
    </xf>
    <xf numFmtId="3" fontId="3" fillId="7" borderId="76" xfId="0" applyNumberFormat="1" applyFont="1" applyFill="1" applyBorder="1" applyAlignment="1">
      <alignment horizontal="right" vertical="top"/>
    </xf>
    <xf numFmtId="0" fontId="11" fillId="0" borderId="6" xfId="0" applyFont="1" applyBorder="1" applyAlignment="1">
      <alignment horizontal="center" vertical="top" wrapText="1"/>
    </xf>
    <xf numFmtId="0" fontId="18" fillId="0" borderId="0" xfId="0" applyFont="1" applyFill="1" applyBorder="1" applyAlignment="1">
      <alignment vertical="top" wrapText="1"/>
    </xf>
    <xf numFmtId="0" fontId="18" fillId="0" borderId="50" xfId="0" applyFont="1" applyFill="1" applyBorder="1" applyAlignment="1">
      <alignment horizontal="center" vertical="top" wrapText="1"/>
    </xf>
    <xf numFmtId="0" fontId="18" fillId="0" borderId="78" xfId="0" applyFont="1" applyFill="1" applyBorder="1" applyAlignment="1">
      <alignment vertical="top" wrapText="1"/>
    </xf>
    <xf numFmtId="166" fontId="3" fillId="7" borderId="11" xfId="0" applyNumberFormat="1" applyFont="1" applyFill="1" applyBorder="1" applyAlignment="1">
      <alignment horizontal="right" vertical="top"/>
    </xf>
    <xf numFmtId="0" fontId="18" fillId="7" borderId="32" xfId="0" applyFont="1" applyFill="1" applyBorder="1" applyAlignment="1">
      <alignment horizontal="left" vertical="top" wrapText="1"/>
    </xf>
    <xf numFmtId="0" fontId="11" fillId="0" borderId="54" xfId="0" applyFont="1" applyBorder="1" applyAlignment="1"/>
    <xf numFmtId="166" fontId="3" fillId="7" borderId="0" xfId="0" applyNumberFormat="1" applyFont="1" applyFill="1" applyBorder="1" applyAlignment="1">
      <alignment horizontal="right" vertical="top" wrapText="1"/>
    </xf>
    <xf numFmtId="3" fontId="3" fillId="7" borderId="51" xfId="0" applyNumberFormat="1" applyFont="1" applyFill="1" applyBorder="1" applyAlignment="1">
      <alignment horizontal="right" vertical="top" wrapText="1"/>
    </xf>
    <xf numFmtId="3" fontId="3" fillId="3" borderId="67" xfId="0" applyNumberFormat="1" applyFont="1" applyFill="1" applyBorder="1" applyAlignment="1">
      <alignment horizontal="right" vertical="top" wrapText="1"/>
    </xf>
    <xf numFmtId="3" fontId="3" fillId="7" borderId="124" xfId="0" applyNumberFormat="1" applyFont="1" applyFill="1" applyBorder="1" applyAlignment="1">
      <alignment horizontal="right" vertical="top" wrapText="1"/>
    </xf>
    <xf numFmtId="3" fontId="3" fillId="3" borderId="35" xfId="0" applyNumberFormat="1" applyFont="1" applyFill="1" applyBorder="1" applyAlignment="1">
      <alignment horizontal="right" vertical="top" wrapText="1"/>
    </xf>
    <xf numFmtId="166" fontId="3" fillId="7" borderId="51" xfId="0" applyNumberFormat="1" applyFont="1" applyFill="1" applyBorder="1" applyAlignment="1">
      <alignment horizontal="right" vertical="top"/>
    </xf>
    <xf numFmtId="166" fontId="3" fillId="7" borderId="67" xfId="0" applyNumberFormat="1" applyFont="1" applyFill="1" applyBorder="1" applyAlignment="1">
      <alignment horizontal="right" vertical="top"/>
    </xf>
    <xf numFmtId="166" fontId="3" fillId="7" borderId="35" xfId="0" applyNumberFormat="1" applyFont="1" applyFill="1" applyBorder="1" applyAlignment="1">
      <alignment horizontal="right" vertical="top"/>
    </xf>
    <xf numFmtId="166" fontId="3" fillId="7" borderId="67" xfId="0" applyNumberFormat="1" applyFont="1" applyFill="1" applyBorder="1" applyAlignment="1">
      <alignment vertical="top"/>
    </xf>
    <xf numFmtId="166" fontId="3" fillId="7" borderId="46" xfId="0" applyNumberFormat="1" applyFont="1" applyFill="1" applyBorder="1" applyAlignment="1">
      <alignment horizontal="right" vertical="top"/>
    </xf>
    <xf numFmtId="166" fontId="3" fillId="7" borderId="19" xfId="0" applyNumberFormat="1" applyFont="1" applyFill="1" applyBorder="1" applyAlignment="1">
      <alignment horizontal="right" vertical="top"/>
    </xf>
    <xf numFmtId="166" fontId="5" fillId="8" borderId="6" xfId="0" applyNumberFormat="1" applyFont="1" applyFill="1" applyBorder="1" applyAlignment="1">
      <alignment horizontal="right" vertical="top"/>
    </xf>
    <xf numFmtId="166" fontId="3" fillId="7" borderId="10" xfId="0" applyNumberFormat="1" applyFont="1" applyFill="1" applyBorder="1" applyAlignment="1">
      <alignment horizontal="right" vertical="top"/>
    </xf>
    <xf numFmtId="166" fontId="3" fillId="7" borderId="5" xfId="0" applyNumberFormat="1" applyFont="1" applyFill="1" applyBorder="1" applyAlignment="1">
      <alignment vertical="top"/>
    </xf>
    <xf numFmtId="166" fontId="3" fillId="7" borderId="92" xfId="0" applyNumberFormat="1" applyFont="1" applyFill="1" applyBorder="1" applyAlignment="1">
      <alignment vertical="top"/>
    </xf>
    <xf numFmtId="166" fontId="3" fillId="7" borderId="30" xfId="0" applyNumberFormat="1" applyFont="1" applyFill="1" applyBorder="1" applyAlignment="1">
      <alignment vertical="top"/>
    </xf>
    <xf numFmtId="166" fontId="3" fillId="7" borderId="104" xfId="0" applyNumberFormat="1" applyFont="1" applyFill="1" applyBorder="1" applyAlignment="1">
      <alignment horizontal="right" vertical="top"/>
    </xf>
    <xf numFmtId="166" fontId="3" fillId="7" borderId="112" xfId="0" applyNumberFormat="1" applyFont="1" applyFill="1" applyBorder="1" applyAlignment="1">
      <alignment horizontal="right" vertical="top"/>
    </xf>
    <xf numFmtId="0" fontId="3" fillId="0" borderId="7" xfId="0" applyFont="1" applyBorder="1" applyAlignment="1">
      <alignment vertical="top"/>
    </xf>
    <xf numFmtId="0" fontId="5" fillId="7" borderId="30" xfId="0" applyFont="1" applyFill="1" applyBorder="1" applyAlignment="1">
      <alignment horizontal="center" vertical="center"/>
    </xf>
    <xf numFmtId="3" fontId="3" fillId="7" borderId="37" xfId="0" applyNumberFormat="1" applyFont="1" applyFill="1" applyBorder="1" applyAlignment="1">
      <alignment horizontal="center" vertical="center" wrapText="1"/>
    </xf>
    <xf numFmtId="3" fontId="3" fillId="7" borderId="1" xfId="0" applyNumberFormat="1" applyFont="1" applyFill="1" applyBorder="1" applyAlignment="1">
      <alignment horizontal="center" wrapText="1"/>
    </xf>
    <xf numFmtId="49" fontId="3" fillId="7" borderId="93" xfId="0" applyNumberFormat="1" applyFont="1" applyFill="1" applyBorder="1" applyAlignment="1">
      <alignment horizontal="center" vertical="top"/>
    </xf>
    <xf numFmtId="49" fontId="3" fillId="7" borderId="94" xfId="0" applyNumberFormat="1" applyFont="1" applyFill="1" applyBorder="1" applyAlignment="1">
      <alignment horizontal="center" vertical="top"/>
    </xf>
    <xf numFmtId="0" fontId="3" fillId="7" borderId="9" xfId="0" applyFont="1" applyFill="1" applyBorder="1" applyAlignment="1">
      <alignment horizontal="left" vertical="top" wrapText="1"/>
    </xf>
    <xf numFmtId="166" fontId="5" fillId="7" borderId="18" xfId="0" applyNumberFormat="1" applyFont="1" applyFill="1" applyBorder="1" applyAlignment="1">
      <alignment horizontal="left" vertical="top" wrapText="1"/>
    </xf>
    <xf numFmtId="166" fontId="3" fillId="7" borderId="109" xfId="0" applyNumberFormat="1" applyFont="1" applyFill="1" applyBorder="1" applyAlignment="1">
      <alignment horizontal="right" vertical="top" wrapText="1"/>
    </xf>
    <xf numFmtId="0" fontId="3" fillId="7" borderId="46" xfId="0" applyFont="1" applyFill="1" applyBorder="1" applyAlignment="1">
      <alignment vertical="top"/>
    </xf>
    <xf numFmtId="0" fontId="3" fillId="7" borderId="26" xfId="0" applyFont="1" applyFill="1" applyBorder="1" applyAlignment="1">
      <alignment vertical="top"/>
    </xf>
    <xf numFmtId="0" fontId="3" fillId="7" borderId="53" xfId="0" applyFont="1" applyFill="1" applyBorder="1" applyAlignment="1">
      <alignment vertical="top"/>
    </xf>
    <xf numFmtId="0" fontId="3" fillId="7" borderId="35" xfId="0" applyFont="1" applyFill="1" applyBorder="1" applyAlignment="1">
      <alignment vertical="top"/>
    </xf>
    <xf numFmtId="0" fontId="3" fillId="7" borderId="0" xfId="0" applyFont="1" applyFill="1" applyBorder="1" applyAlignment="1">
      <alignment vertical="top"/>
    </xf>
    <xf numFmtId="49" fontId="5" fillId="7" borderId="43" xfId="0" applyNumberFormat="1" applyFont="1" applyFill="1" applyBorder="1" applyAlignment="1">
      <alignment vertical="top"/>
    </xf>
    <xf numFmtId="0" fontId="3" fillId="3" borderId="84" xfId="0" applyFont="1" applyFill="1" applyBorder="1" applyAlignment="1">
      <alignment vertical="top" wrapText="1"/>
    </xf>
    <xf numFmtId="0" fontId="3" fillId="0" borderId="116" xfId="0" applyFont="1" applyFill="1" applyBorder="1" applyAlignment="1">
      <alignment vertical="top" wrapText="1"/>
    </xf>
    <xf numFmtId="3" fontId="3" fillId="0" borderId="117" xfId="0" applyNumberFormat="1" applyFont="1" applyFill="1" applyBorder="1" applyAlignment="1">
      <alignment horizontal="center" vertical="center"/>
    </xf>
    <xf numFmtId="3" fontId="3" fillId="0" borderId="120" xfId="0" applyNumberFormat="1" applyFont="1" applyFill="1" applyBorder="1" applyAlignment="1">
      <alignment horizontal="center" vertical="center"/>
    </xf>
    <xf numFmtId="0" fontId="3" fillId="0" borderId="98" xfId="0" applyFont="1" applyBorder="1" applyAlignment="1">
      <alignment vertical="top" wrapText="1"/>
    </xf>
    <xf numFmtId="0" fontId="3" fillId="0" borderId="99" xfId="0" applyFont="1" applyBorder="1" applyAlignment="1">
      <alignment vertical="top"/>
    </xf>
    <xf numFmtId="0" fontId="3" fillId="0" borderId="99" xfId="0" applyFont="1" applyBorder="1" applyAlignment="1">
      <alignment horizontal="center" vertical="center"/>
    </xf>
    <xf numFmtId="0" fontId="3" fillId="0" borderId="9" xfId="0" applyFont="1" applyBorder="1" applyAlignment="1">
      <alignment vertical="top" wrapText="1"/>
    </xf>
    <xf numFmtId="3" fontId="3" fillId="0" borderId="32" xfId="0" applyNumberFormat="1" applyFont="1" applyFill="1" applyBorder="1" applyAlignment="1">
      <alignment horizontal="center" vertical="top"/>
    </xf>
    <xf numFmtId="3" fontId="3" fillId="7" borderId="103" xfId="0" applyNumberFormat="1" applyFont="1" applyFill="1" applyBorder="1" applyAlignment="1">
      <alignment horizontal="center" vertical="top"/>
    </xf>
    <xf numFmtId="166" fontId="3" fillId="7" borderId="70" xfId="0" applyNumberFormat="1" applyFont="1" applyFill="1" applyBorder="1" applyAlignment="1">
      <alignment horizontal="right" vertical="top"/>
    </xf>
    <xf numFmtId="0" fontId="3" fillId="7" borderId="113" xfId="0" applyFont="1" applyFill="1" applyBorder="1" applyAlignment="1">
      <alignment horizontal="center" vertical="top"/>
    </xf>
    <xf numFmtId="166" fontId="3" fillId="7" borderId="114" xfId="0" applyNumberFormat="1" applyFont="1" applyFill="1" applyBorder="1" applyAlignment="1">
      <alignment horizontal="right" vertical="top" wrapText="1"/>
    </xf>
    <xf numFmtId="49" fontId="3" fillId="7" borderId="50" xfId="0" applyNumberFormat="1" applyFont="1" applyFill="1" applyBorder="1" applyAlignment="1">
      <alignment horizontal="center" vertical="top"/>
    </xf>
    <xf numFmtId="166" fontId="3" fillId="7" borderId="82" xfId="0" applyNumberFormat="1" applyFont="1" applyFill="1" applyBorder="1" applyAlignment="1">
      <alignment horizontal="center" vertical="top"/>
    </xf>
    <xf numFmtId="166" fontId="3" fillId="7" borderId="84" xfId="0" applyNumberFormat="1" applyFont="1" applyFill="1" applyBorder="1" applyAlignment="1">
      <alignment horizontal="center" vertical="top"/>
    </xf>
    <xf numFmtId="166" fontId="3" fillId="0" borderId="78" xfId="0" applyNumberFormat="1" applyFont="1" applyBorder="1" applyAlignment="1">
      <alignment horizontal="right" vertical="top"/>
    </xf>
    <xf numFmtId="166" fontId="3" fillId="7" borderId="63" xfId="0" applyNumberFormat="1" applyFont="1" applyFill="1" applyBorder="1" applyAlignment="1">
      <alignment horizontal="right" vertical="top" wrapText="1"/>
    </xf>
    <xf numFmtId="166" fontId="3" fillId="3" borderId="78" xfId="0" applyNumberFormat="1" applyFont="1" applyFill="1" applyBorder="1" applyAlignment="1">
      <alignment horizontal="right" vertical="top"/>
    </xf>
    <xf numFmtId="166" fontId="3" fillId="7" borderId="63" xfId="0" applyNumberFormat="1" applyFont="1" applyFill="1" applyBorder="1" applyAlignment="1">
      <alignment horizontal="right" vertical="top"/>
    </xf>
    <xf numFmtId="166" fontId="3" fillId="3" borderId="0" xfId="0" applyNumberFormat="1" applyFont="1" applyFill="1" applyBorder="1" applyAlignment="1">
      <alignment horizontal="right" vertical="top" wrapText="1"/>
    </xf>
    <xf numFmtId="166" fontId="3" fillId="7" borderId="67" xfId="0" applyNumberFormat="1" applyFont="1" applyFill="1" applyBorder="1" applyAlignment="1">
      <alignment horizontal="right" vertical="top" wrapText="1"/>
    </xf>
    <xf numFmtId="166" fontId="3" fillId="3" borderId="35" xfId="0" applyNumberFormat="1" applyFont="1" applyFill="1" applyBorder="1" applyAlignment="1">
      <alignment horizontal="right" vertical="top" wrapText="1"/>
    </xf>
    <xf numFmtId="166" fontId="3" fillId="3" borderId="78" xfId="0" applyNumberFormat="1" applyFont="1" applyFill="1" applyBorder="1" applyAlignment="1">
      <alignment horizontal="right" vertical="top" wrapText="1"/>
    </xf>
    <xf numFmtId="166" fontId="3" fillId="3" borderId="76" xfId="0" applyNumberFormat="1" applyFont="1" applyFill="1" applyBorder="1" applyAlignment="1">
      <alignment horizontal="right" vertical="top"/>
    </xf>
    <xf numFmtId="166" fontId="3" fillId="7" borderId="0" xfId="0" applyNumberFormat="1" applyFont="1" applyFill="1" applyBorder="1" applyAlignment="1">
      <alignment horizontal="right" vertical="top"/>
    </xf>
    <xf numFmtId="166" fontId="3" fillId="0" borderId="0" xfId="0" applyNumberFormat="1" applyFont="1" applyFill="1" applyBorder="1" applyAlignment="1">
      <alignment horizontal="right" vertical="top"/>
    </xf>
    <xf numFmtId="166" fontId="5" fillId="3" borderId="53" xfId="0" applyNumberFormat="1" applyFont="1" applyFill="1" applyBorder="1" applyAlignment="1">
      <alignment horizontal="right" vertical="top"/>
    </xf>
    <xf numFmtId="166" fontId="3" fillId="7" borderId="121" xfId="0" applyNumberFormat="1" applyFont="1" applyFill="1" applyBorder="1" applyAlignment="1">
      <alignment horizontal="right" vertical="top" wrapText="1"/>
    </xf>
    <xf numFmtId="49" fontId="5" fillId="0" borderId="0" xfId="0" applyNumberFormat="1" applyFont="1" applyFill="1" applyBorder="1" applyAlignment="1">
      <alignment horizontal="center" vertical="top" wrapText="1"/>
    </xf>
    <xf numFmtId="166" fontId="3" fillId="0" borderId="55" xfId="0" applyNumberFormat="1" applyFont="1" applyBorder="1" applyAlignment="1">
      <alignment vertical="top"/>
    </xf>
    <xf numFmtId="166" fontId="5" fillId="8" borderId="34" xfId="0" applyNumberFormat="1" applyFont="1" applyFill="1" applyBorder="1" applyAlignment="1">
      <alignment horizontal="right" vertical="top"/>
    </xf>
    <xf numFmtId="166" fontId="5" fillId="8" borderId="69" xfId="0" applyNumberFormat="1" applyFont="1" applyFill="1" applyBorder="1" applyAlignment="1">
      <alignment vertical="top"/>
    </xf>
    <xf numFmtId="166" fontId="5" fillId="0" borderId="0" xfId="0" applyNumberFormat="1" applyFont="1" applyFill="1" applyBorder="1" applyAlignment="1">
      <alignment horizontal="right" vertical="top"/>
    </xf>
    <xf numFmtId="166" fontId="3" fillId="7" borderId="89" xfId="0" applyNumberFormat="1" applyFont="1" applyFill="1" applyBorder="1" applyAlignment="1">
      <alignment horizontal="right" vertical="top" wrapText="1"/>
    </xf>
    <xf numFmtId="166" fontId="3" fillId="7" borderId="7" xfId="0" applyNumberFormat="1" applyFont="1" applyFill="1" applyBorder="1" applyAlignment="1">
      <alignment vertical="top" wrapText="1"/>
    </xf>
    <xf numFmtId="3" fontId="9" fillId="7" borderId="50" xfId="0" applyNumberFormat="1" applyFont="1" applyFill="1" applyBorder="1" applyAlignment="1">
      <alignment horizontal="center" vertical="top" wrapText="1"/>
    </xf>
    <xf numFmtId="0" fontId="9" fillId="7" borderId="11" xfId="0" applyFont="1" applyFill="1" applyBorder="1" applyAlignment="1">
      <alignment horizontal="center" vertical="top" wrapText="1"/>
    </xf>
    <xf numFmtId="166" fontId="3" fillId="7" borderId="92" xfId="0" applyNumberFormat="1" applyFont="1" applyFill="1" applyBorder="1" applyAlignment="1">
      <alignment vertical="top" wrapText="1"/>
    </xf>
    <xf numFmtId="3" fontId="9" fillId="7" borderId="103" xfId="0" applyNumberFormat="1" applyFont="1" applyFill="1" applyBorder="1" applyAlignment="1">
      <alignment horizontal="center" vertical="top" wrapText="1"/>
    </xf>
    <xf numFmtId="0" fontId="9" fillId="7" borderId="93" xfId="0" applyFont="1" applyFill="1" applyBorder="1" applyAlignment="1">
      <alignment horizontal="center" vertical="top" wrapText="1"/>
    </xf>
    <xf numFmtId="166" fontId="5" fillId="8" borderId="23" xfId="0" applyNumberFormat="1" applyFont="1" applyFill="1" applyBorder="1" applyAlignment="1">
      <alignment horizontal="center" vertical="top" wrapText="1"/>
    </xf>
    <xf numFmtId="166" fontId="5" fillId="8" borderId="70" xfId="0" applyNumberFormat="1" applyFont="1" applyFill="1" applyBorder="1" applyAlignment="1">
      <alignment horizontal="right" vertical="top" wrapText="1"/>
    </xf>
    <xf numFmtId="166" fontId="5" fillId="5" borderId="71" xfId="0" applyNumberFormat="1" applyFont="1" applyFill="1" applyBorder="1" applyAlignment="1">
      <alignment horizontal="right" vertical="top" wrapText="1"/>
    </xf>
    <xf numFmtId="166" fontId="3" fillId="7" borderId="70" xfId="0" applyNumberFormat="1" applyFont="1" applyFill="1" applyBorder="1" applyAlignment="1">
      <alignment horizontal="right" vertical="top" wrapText="1"/>
    </xf>
    <xf numFmtId="166" fontId="3" fillId="0" borderId="70" xfId="0" applyNumberFormat="1" applyFont="1" applyBorder="1" applyAlignment="1">
      <alignment horizontal="right" vertical="top" wrapText="1"/>
    </xf>
    <xf numFmtId="166" fontId="3" fillId="8" borderId="70" xfId="0" applyNumberFormat="1" applyFont="1" applyFill="1" applyBorder="1" applyAlignment="1">
      <alignment horizontal="right" vertical="top" wrapText="1"/>
    </xf>
    <xf numFmtId="166" fontId="5" fillId="5" borderId="70" xfId="0" applyNumberFormat="1" applyFont="1" applyFill="1" applyBorder="1" applyAlignment="1">
      <alignment horizontal="right" vertical="top" wrapText="1"/>
    </xf>
    <xf numFmtId="166" fontId="5" fillId="4" borderId="75" xfId="0" applyNumberFormat="1" applyFont="1" applyFill="1" applyBorder="1" applyAlignment="1">
      <alignment horizontal="right" vertical="top" wrapText="1"/>
    </xf>
    <xf numFmtId="166" fontId="5" fillId="5" borderId="10" xfId="0" applyNumberFormat="1" applyFont="1" applyFill="1" applyBorder="1" applyAlignment="1">
      <alignment horizontal="center" vertical="top"/>
    </xf>
    <xf numFmtId="166" fontId="3" fillId="7" borderId="24" xfId="0" applyNumberFormat="1" applyFont="1" applyFill="1" applyBorder="1" applyAlignment="1">
      <alignment horizontal="center" vertical="top"/>
    </xf>
    <xf numFmtId="166" fontId="3" fillId="0" borderId="24" xfId="0" applyNumberFormat="1" applyFont="1" applyBorder="1" applyAlignment="1">
      <alignment horizontal="center" vertical="top"/>
    </xf>
    <xf numFmtId="166" fontId="3" fillId="8" borderId="24" xfId="0" applyNumberFormat="1" applyFont="1" applyFill="1" applyBorder="1" applyAlignment="1">
      <alignment horizontal="center" vertical="top"/>
    </xf>
    <xf numFmtId="166" fontId="5" fillId="5" borderId="24" xfId="0" applyNumberFormat="1" applyFont="1" applyFill="1" applyBorder="1" applyAlignment="1">
      <alignment horizontal="center" vertical="top"/>
    </xf>
    <xf numFmtId="166" fontId="5" fillId="4" borderId="69" xfId="0" applyNumberFormat="1" applyFont="1" applyFill="1" applyBorder="1" applyAlignment="1">
      <alignment horizontal="center" vertical="top"/>
    </xf>
    <xf numFmtId="0" fontId="11" fillId="0" borderId="31" xfId="0" applyFont="1" applyBorder="1" applyAlignment="1"/>
    <xf numFmtId="0" fontId="11" fillId="0" borderId="32" xfId="0" applyFont="1" applyBorder="1" applyAlignment="1"/>
    <xf numFmtId="3" fontId="3" fillId="7" borderId="11" xfId="0" applyNumberFormat="1" applyFont="1" applyFill="1" applyBorder="1" applyAlignment="1">
      <alignment horizontal="center" vertical="top"/>
    </xf>
    <xf numFmtId="0" fontId="3" fillId="3" borderId="18" xfId="0" applyFont="1" applyFill="1" applyBorder="1" applyAlignment="1">
      <alignment vertical="top" wrapText="1"/>
    </xf>
    <xf numFmtId="49" fontId="5" fillId="7" borderId="18" xfId="0" applyNumberFormat="1" applyFont="1" applyFill="1" applyBorder="1" applyAlignment="1">
      <alignment horizontal="center"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3" borderId="21" xfId="0" applyFont="1" applyFill="1" applyBorder="1" applyAlignment="1">
      <alignment vertical="top" wrapText="1"/>
    </xf>
    <xf numFmtId="49" fontId="5" fillId="7" borderId="50" xfId="0" applyNumberFormat="1" applyFont="1" applyFill="1" applyBorder="1" applyAlignment="1">
      <alignment horizontal="center" vertical="top"/>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49" fontId="5" fillId="7" borderId="0"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49" fontId="5" fillId="9" borderId="16" xfId="0" applyNumberFormat="1" applyFont="1" applyFill="1" applyBorder="1" applyAlignment="1">
      <alignment horizontal="center" vertical="top"/>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3" borderId="38" xfId="0" applyFont="1" applyFill="1" applyBorder="1" applyAlignment="1">
      <alignment horizontal="center" vertical="top" wrapText="1"/>
    </xf>
    <xf numFmtId="3" fontId="3" fillId="7" borderId="0" xfId="0" applyNumberFormat="1" applyFont="1" applyFill="1" applyAlignment="1">
      <alignment vertical="top"/>
    </xf>
    <xf numFmtId="49" fontId="5" fillId="7" borderId="28" xfId="0" applyNumberFormat="1" applyFont="1" applyFill="1" applyBorder="1" applyAlignment="1">
      <alignment horizontal="center" vertical="top"/>
    </xf>
    <xf numFmtId="166" fontId="3" fillId="7" borderId="102" xfId="0" applyNumberFormat="1" applyFont="1" applyFill="1" applyBorder="1" applyAlignment="1">
      <alignment horizontal="right" vertical="top"/>
    </xf>
    <xf numFmtId="166" fontId="3" fillId="7" borderId="49"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49" fontId="5" fillId="7" borderId="11" xfId="0" applyNumberFormat="1" applyFont="1" applyFill="1" applyBorder="1" applyAlignment="1">
      <alignment horizontal="center" vertical="top"/>
    </xf>
    <xf numFmtId="0" fontId="3" fillId="3" borderId="30" xfId="0" applyFont="1" applyFill="1" applyBorder="1" applyAlignment="1">
      <alignment horizontal="left"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7" borderId="86" xfId="0" applyFont="1" applyFill="1" applyBorder="1" applyAlignment="1">
      <alignment horizontal="left" vertical="top" wrapText="1"/>
    </xf>
    <xf numFmtId="3" fontId="3" fillId="7" borderId="18" xfId="0" applyNumberFormat="1" applyFont="1" applyFill="1" applyBorder="1" applyAlignment="1">
      <alignment horizontal="center" vertical="top"/>
    </xf>
    <xf numFmtId="0" fontId="11" fillId="0" borderId="32" xfId="0" applyFont="1" applyBorder="1" applyAlignment="1">
      <alignment vertical="top"/>
    </xf>
    <xf numFmtId="0" fontId="11" fillId="0" borderId="31" xfId="0" applyFont="1" applyBorder="1" applyAlignment="1">
      <alignment vertical="top"/>
    </xf>
    <xf numFmtId="3" fontId="3" fillId="7" borderId="20"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6" fontId="3" fillId="7" borderId="6" xfId="0" applyNumberFormat="1" applyFont="1" applyFill="1" applyBorder="1" applyAlignment="1">
      <alignment horizontal="center" vertical="top"/>
    </xf>
    <xf numFmtId="3" fontId="3" fillId="7" borderId="50" xfId="0" applyNumberFormat="1" applyFont="1" applyFill="1" applyBorder="1" applyAlignment="1">
      <alignment horizontal="center" vertical="top"/>
    </xf>
    <xf numFmtId="166" fontId="3" fillId="7" borderId="70" xfId="0" applyNumberFormat="1" applyFont="1" applyFill="1" applyBorder="1" applyAlignment="1">
      <alignment vertical="top"/>
    </xf>
    <xf numFmtId="166" fontId="3" fillId="7" borderId="53" xfId="0" applyNumberFormat="1" applyFont="1" applyFill="1" applyBorder="1" applyAlignment="1">
      <alignment horizontal="right" vertical="top"/>
    </xf>
    <xf numFmtId="166" fontId="5" fillId="7" borderId="30" xfId="0" applyNumberFormat="1" applyFont="1" applyFill="1" applyBorder="1" applyAlignment="1">
      <alignment horizontal="right" vertical="top"/>
    </xf>
    <xf numFmtId="166" fontId="3" fillId="7" borderId="7" xfId="0" applyNumberFormat="1" applyFont="1" applyFill="1" applyBorder="1" applyAlignment="1">
      <alignment vertical="top"/>
    </xf>
    <xf numFmtId="166" fontId="3" fillId="7" borderId="7" xfId="0" applyNumberFormat="1" applyFont="1" applyFill="1" applyBorder="1" applyAlignment="1">
      <alignment horizontal="right" vertical="top"/>
    </xf>
    <xf numFmtId="166" fontId="3" fillId="7" borderId="66" xfId="0" applyNumberFormat="1" applyFont="1" applyFill="1" applyBorder="1" applyAlignment="1">
      <alignment horizontal="right" vertical="top"/>
    </xf>
    <xf numFmtId="166" fontId="3" fillId="7" borderId="78" xfId="1" applyNumberFormat="1" applyFont="1" applyFill="1" applyBorder="1" applyAlignment="1">
      <alignment horizontal="right" vertical="top"/>
    </xf>
    <xf numFmtId="166" fontId="3" fillId="7" borderId="86" xfId="0" applyNumberFormat="1" applyFont="1" applyFill="1" applyBorder="1" applyAlignment="1">
      <alignment horizontal="right" vertical="top"/>
    </xf>
    <xf numFmtId="166" fontId="3" fillId="7" borderId="35" xfId="0" applyNumberFormat="1" applyFont="1" applyFill="1" applyBorder="1" applyAlignment="1">
      <alignment vertical="top"/>
    </xf>
    <xf numFmtId="166" fontId="3" fillId="7" borderId="71" xfId="0" applyNumberFormat="1" applyFont="1" applyFill="1" applyBorder="1" applyAlignment="1">
      <alignment horizontal="right" vertical="top"/>
    </xf>
    <xf numFmtId="49" fontId="3" fillId="7" borderId="36" xfId="0" applyNumberFormat="1" applyFont="1" applyFill="1" applyBorder="1" applyAlignment="1">
      <alignment horizontal="center" vertical="top"/>
    </xf>
    <xf numFmtId="3" fontId="3" fillId="7" borderId="50" xfId="0" applyNumberFormat="1" applyFont="1" applyFill="1" applyBorder="1" applyAlignment="1">
      <alignment horizontal="left" vertical="top" wrapText="1"/>
    </xf>
    <xf numFmtId="3" fontId="3" fillId="7" borderId="103" xfId="0" applyNumberFormat="1" applyFont="1" applyFill="1" applyBorder="1" applyAlignment="1">
      <alignment horizontal="left" vertical="top" wrapText="1"/>
    </xf>
    <xf numFmtId="3" fontId="3" fillId="7" borderId="125" xfId="0" applyNumberFormat="1" applyFont="1" applyFill="1" applyBorder="1" applyAlignment="1">
      <alignment horizontal="left" vertical="top" wrapText="1"/>
    </xf>
    <xf numFmtId="166" fontId="9" fillId="7" borderId="103" xfId="0" applyNumberFormat="1" applyFont="1" applyFill="1" applyBorder="1" applyAlignment="1">
      <alignment horizontal="center" vertical="center" wrapText="1"/>
    </xf>
    <xf numFmtId="49" fontId="3" fillId="7" borderId="103" xfId="0" applyNumberFormat="1" applyFont="1" applyFill="1" applyBorder="1" applyAlignment="1">
      <alignment horizontal="center" vertical="top"/>
    </xf>
    <xf numFmtId="3" fontId="3" fillId="7" borderId="58" xfId="0" applyNumberFormat="1" applyFont="1" applyFill="1" applyBorder="1" applyAlignment="1">
      <alignment horizontal="center" vertical="top"/>
    </xf>
    <xf numFmtId="3" fontId="3" fillId="7" borderId="50" xfId="0" applyNumberFormat="1" applyFont="1" applyFill="1" applyBorder="1" applyAlignment="1">
      <alignment horizontal="left" vertical="top"/>
    </xf>
    <xf numFmtId="166" fontId="3" fillId="3" borderId="78" xfId="1" applyNumberFormat="1" applyFont="1" applyFill="1" applyBorder="1" applyAlignment="1">
      <alignment horizontal="right" vertical="top" wrapText="1"/>
    </xf>
    <xf numFmtId="166" fontId="3" fillId="0" borderId="1" xfId="0" applyNumberFormat="1" applyFont="1" applyBorder="1" applyAlignment="1">
      <alignment horizontal="right" vertical="top"/>
    </xf>
    <xf numFmtId="166" fontId="3" fillId="7" borderId="93" xfId="0" applyNumberFormat="1" applyFont="1" applyFill="1" applyBorder="1" applyAlignment="1">
      <alignment horizontal="right" vertical="top"/>
    </xf>
    <xf numFmtId="166" fontId="3" fillId="7" borderId="20" xfId="0" applyNumberFormat="1" applyFont="1" applyFill="1" applyBorder="1" applyAlignment="1">
      <alignment horizontal="right" vertical="top"/>
    </xf>
    <xf numFmtId="166" fontId="3" fillId="7" borderId="11" xfId="0" applyNumberFormat="1" applyFont="1" applyFill="1" applyBorder="1" applyAlignment="1">
      <alignment horizontal="right" vertical="top" wrapText="1"/>
    </xf>
    <xf numFmtId="166" fontId="3" fillId="0" borderId="11" xfId="0" applyNumberFormat="1" applyFont="1" applyBorder="1" applyAlignment="1">
      <alignment vertical="top"/>
    </xf>
    <xf numFmtId="166" fontId="5" fillId="8" borderId="2" xfId="0" applyNumberFormat="1" applyFont="1" applyFill="1" applyBorder="1" applyAlignment="1">
      <alignment horizontal="right" vertical="top"/>
    </xf>
    <xf numFmtId="166" fontId="3" fillId="7" borderId="26" xfId="0" applyNumberFormat="1" applyFont="1" applyFill="1" applyBorder="1" applyAlignment="1">
      <alignment horizontal="right" vertical="top"/>
    </xf>
    <xf numFmtId="166" fontId="3" fillId="7" borderId="29" xfId="0" applyNumberFormat="1" applyFont="1" applyFill="1" applyBorder="1" applyAlignment="1">
      <alignment vertical="top"/>
    </xf>
    <xf numFmtId="166" fontId="3" fillId="3" borderId="26" xfId="0" applyNumberFormat="1" applyFont="1" applyFill="1" applyBorder="1" applyAlignment="1">
      <alignment horizontal="right" vertical="top"/>
    </xf>
    <xf numFmtId="166" fontId="3" fillId="3" borderId="29" xfId="0" applyNumberFormat="1" applyFont="1" applyFill="1" applyBorder="1" applyAlignment="1">
      <alignment horizontal="right" vertical="top"/>
    </xf>
    <xf numFmtId="166" fontId="3" fillId="7" borderId="20" xfId="0" applyNumberFormat="1" applyFont="1" applyFill="1" applyBorder="1" applyAlignment="1">
      <alignment horizontal="right" vertical="top" wrapText="1"/>
    </xf>
    <xf numFmtId="166" fontId="3" fillId="0" borderId="29" xfId="0" applyNumberFormat="1" applyFont="1" applyFill="1" applyBorder="1" applyAlignment="1">
      <alignment horizontal="right" vertical="top"/>
    </xf>
    <xf numFmtId="166" fontId="5" fillId="8" borderId="31" xfId="0" applyNumberFormat="1" applyFont="1" applyFill="1" applyBorder="1" applyAlignment="1">
      <alignment horizontal="right" vertical="top"/>
    </xf>
    <xf numFmtId="166" fontId="3" fillId="3" borderId="13" xfId="0" applyNumberFormat="1" applyFont="1" applyFill="1" applyBorder="1" applyAlignment="1">
      <alignment horizontal="right" vertical="top"/>
    </xf>
    <xf numFmtId="166" fontId="5" fillId="7" borderId="26" xfId="0" applyNumberFormat="1" applyFont="1" applyFill="1" applyBorder="1" applyAlignment="1">
      <alignment horizontal="right" vertical="top"/>
    </xf>
    <xf numFmtId="166" fontId="3" fillId="7" borderId="87" xfId="0" applyNumberFormat="1" applyFont="1" applyFill="1" applyBorder="1" applyAlignment="1">
      <alignment horizontal="right" vertical="top"/>
    </xf>
    <xf numFmtId="166" fontId="3" fillId="7" borderId="117" xfId="0" applyNumberFormat="1" applyFont="1" applyFill="1" applyBorder="1" applyAlignment="1">
      <alignment horizontal="right" vertical="top"/>
    </xf>
    <xf numFmtId="166" fontId="3" fillId="7" borderId="11" xfId="0" applyNumberFormat="1" applyFont="1" applyFill="1" applyBorder="1" applyAlignment="1">
      <alignment vertical="top"/>
    </xf>
    <xf numFmtId="166" fontId="3" fillId="7" borderId="1" xfId="0" applyNumberFormat="1" applyFont="1" applyFill="1" applyBorder="1" applyAlignment="1">
      <alignment horizontal="right" vertical="top"/>
    </xf>
    <xf numFmtId="166" fontId="5" fillId="8" borderId="11" xfId="0" applyNumberFormat="1" applyFont="1" applyFill="1" applyBorder="1" applyAlignment="1">
      <alignment horizontal="right" vertical="top"/>
    </xf>
    <xf numFmtId="166" fontId="3" fillId="7" borderId="13" xfId="0" applyNumberFormat="1" applyFont="1" applyFill="1" applyBorder="1" applyAlignment="1">
      <alignment horizontal="right" vertical="top"/>
    </xf>
    <xf numFmtId="166" fontId="3" fillId="7" borderId="29" xfId="1" applyNumberFormat="1" applyFont="1" applyFill="1" applyBorder="1" applyAlignment="1">
      <alignment horizontal="right" vertical="top"/>
    </xf>
    <xf numFmtId="166" fontId="3" fillId="0" borderId="53" xfId="0" applyNumberFormat="1" applyFont="1" applyBorder="1" applyAlignment="1">
      <alignment vertical="top"/>
    </xf>
    <xf numFmtId="166" fontId="3" fillId="0" borderId="107" xfId="0" applyNumberFormat="1" applyFont="1" applyBorder="1" applyAlignment="1">
      <alignment vertical="top"/>
    </xf>
    <xf numFmtId="166" fontId="3" fillId="0" borderId="78" xfId="0" applyNumberFormat="1" applyFont="1" applyBorder="1" applyAlignment="1">
      <alignment vertical="top"/>
    </xf>
    <xf numFmtId="166" fontId="3" fillId="7" borderId="52" xfId="0" applyNumberFormat="1" applyFont="1" applyFill="1" applyBorder="1" applyAlignment="1">
      <alignment horizontal="right" vertical="top" wrapText="1"/>
    </xf>
    <xf numFmtId="166" fontId="3" fillId="7" borderId="100" xfId="0" applyNumberFormat="1" applyFont="1" applyFill="1" applyBorder="1" applyAlignment="1">
      <alignment horizontal="right" vertical="top" wrapText="1"/>
    </xf>
    <xf numFmtId="166" fontId="5" fillId="2" borderId="74" xfId="0" applyNumberFormat="1" applyFont="1" applyFill="1" applyBorder="1" applyAlignment="1">
      <alignment horizontal="right" vertical="top"/>
    </xf>
    <xf numFmtId="166" fontId="3" fillId="7" borderId="26" xfId="0" applyNumberFormat="1" applyFont="1" applyFill="1" applyBorder="1" applyAlignment="1">
      <alignment vertical="top"/>
    </xf>
    <xf numFmtId="166" fontId="3" fillId="7" borderId="93" xfId="0" applyNumberFormat="1" applyFont="1" applyFill="1" applyBorder="1" applyAlignment="1">
      <alignment vertical="top"/>
    </xf>
    <xf numFmtId="166" fontId="3" fillId="3" borderId="11" xfId="0" applyNumberFormat="1" applyFont="1" applyFill="1" applyBorder="1" applyAlignment="1">
      <alignment horizontal="right" vertical="top" wrapText="1"/>
    </xf>
    <xf numFmtId="166" fontId="3" fillId="7" borderId="29" xfId="0" applyNumberFormat="1" applyFont="1" applyFill="1" applyBorder="1" applyAlignment="1">
      <alignment horizontal="right" vertical="top" wrapText="1"/>
    </xf>
    <xf numFmtId="166" fontId="5" fillId="2" borderId="4" xfId="0" applyNumberFormat="1" applyFont="1" applyFill="1" applyBorder="1" applyAlignment="1">
      <alignment horizontal="right" vertical="top"/>
    </xf>
    <xf numFmtId="166" fontId="3" fillId="7" borderId="105" xfId="0" applyNumberFormat="1" applyFont="1" applyFill="1" applyBorder="1" applyAlignment="1">
      <alignment horizontal="right" vertical="top"/>
    </xf>
    <xf numFmtId="166" fontId="3" fillId="0" borderId="19" xfId="0" applyNumberFormat="1" applyFont="1" applyBorder="1" applyAlignment="1">
      <alignment horizontal="right" vertical="top"/>
    </xf>
    <xf numFmtId="166" fontId="3" fillId="0" borderId="45" xfId="0" applyNumberFormat="1" applyFont="1" applyFill="1" applyBorder="1" applyAlignment="1">
      <alignment horizontal="right" vertical="top"/>
    </xf>
    <xf numFmtId="166" fontId="3" fillId="3" borderId="52" xfId="0" applyNumberFormat="1" applyFont="1" applyFill="1" applyBorder="1" applyAlignment="1">
      <alignment horizontal="right" vertical="top" wrapText="1"/>
    </xf>
    <xf numFmtId="166" fontId="3" fillId="0" borderId="11" xfId="0" applyNumberFormat="1" applyFont="1" applyFill="1" applyBorder="1" applyAlignment="1">
      <alignment horizontal="right" vertical="top"/>
    </xf>
    <xf numFmtId="166" fontId="3" fillId="0" borderId="66" xfId="0" applyNumberFormat="1" applyFont="1" applyBorder="1" applyAlignment="1">
      <alignment horizontal="right" vertical="top"/>
    </xf>
    <xf numFmtId="166" fontId="3" fillId="0" borderId="63" xfId="0" applyNumberFormat="1" applyFont="1" applyBorder="1" applyAlignment="1">
      <alignment horizontal="right" vertical="top"/>
    </xf>
    <xf numFmtId="166" fontId="3" fillId="7" borderId="78" xfId="0" applyNumberFormat="1" applyFont="1" applyFill="1" applyBorder="1" applyAlignment="1">
      <alignment vertical="top"/>
    </xf>
    <xf numFmtId="166" fontId="5" fillId="8" borderId="31" xfId="0" applyNumberFormat="1" applyFont="1" applyFill="1" applyBorder="1" applyAlignment="1">
      <alignment vertical="top"/>
    </xf>
    <xf numFmtId="166" fontId="3" fillId="7" borderId="26" xfId="0" applyNumberFormat="1" applyFont="1" applyFill="1" applyBorder="1" applyAlignment="1">
      <alignment horizontal="right" vertical="top" wrapText="1"/>
    </xf>
    <xf numFmtId="166" fontId="5" fillId="9" borderId="4" xfId="0" applyNumberFormat="1" applyFont="1" applyFill="1" applyBorder="1" applyAlignment="1">
      <alignment horizontal="right" vertical="top"/>
    </xf>
    <xf numFmtId="166" fontId="5" fillId="5" borderId="4" xfId="0" applyNumberFormat="1" applyFont="1" applyFill="1" applyBorder="1" applyAlignment="1">
      <alignment horizontal="right" vertical="top"/>
    </xf>
    <xf numFmtId="166" fontId="5" fillId="8" borderId="44" xfId="0" applyNumberFormat="1" applyFont="1" applyFill="1" applyBorder="1" applyAlignment="1">
      <alignment horizontal="right" vertical="top" wrapText="1"/>
    </xf>
    <xf numFmtId="166" fontId="3" fillId="8" borderId="55" xfId="0" applyNumberFormat="1" applyFont="1" applyFill="1" applyBorder="1" applyAlignment="1">
      <alignment horizontal="right" vertical="top"/>
    </xf>
    <xf numFmtId="166" fontId="5" fillId="4" borderId="34" xfId="0" applyNumberFormat="1" applyFont="1" applyFill="1" applyBorder="1" applyAlignment="1">
      <alignment horizontal="right" vertical="top"/>
    </xf>
    <xf numFmtId="166" fontId="5" fillId="8" borderId="1" xfId="0" applyNumberFormat="1" applyFont="1" applyFill="1" applyBorder="1" applyAlignment="1">
      <alignment horizontal="right" vertical="top" wrapText="1"/>
    </xf>
    <xf numFmtId="166" fontId="3" fillId="0" borderId="29" xfId="0" applyNumberFormat="1" applyFont="1" applyBorder="1" applyAlignment="1">
      <alignment horizontal="right" vertical="top"/>
    </xf>
    <xf numFmtId="166" fontId="3" fillId="8" borderId="29" xfId="0" applyNumberFormat="1" applyFont="1" applyFill="1" applyBorder="1" applyAlignment="1">
      <alignment horizontal="right" vertical="top"/>
    </xf>
    <xf numFmtId="166" fontId="5" fillId="4" borderId="31" xfId="0" applyNumberFormat="1" applyFont="1" applyFill="1" applyBorder="1" applyAlignment="1">
      <alignment horizontal="right" vertical="top"/>
    </xf>
    <xf numFmtId="3" fontId="3" fillId="3" borderId="29" xfId="0" applyNumberFormat="1" applyFont="1" applyFill="1" applyBorder="1" applyAlignment="1">
      <alignment horizontal="center" vertical="top" wrapText="1"/>
    </xf>
    <xf numFmtId="166" fontId="3" fillId="3" borderId="53" xfId="0" applyNumberFormat="1" applyFont="1" applyFill="1" applyBorder="1" applyAlignment="1">
      <alignment horizontal="right" vertical="top"/>
    </xf>
    <xf numFmtId="0" fontId="3" fillId="3" borderId="5" xfId="0" applyFont="1" applyFill="1" applyBorder="1" applyAlignment="1">
      <alignment vertical="top" wrapText="1"/>
    </xf>
    <xf numFmtId="3" fontId="3" fillId="3" borderId="28" xfId="0" applyNumberFormat="1" applyFont="1" applyFill="1" applyBorder="1" applyAlignment="1">
      <alignment horizontal="center"/>
    </xf>
    <xf numFmtId="166" fontId="3" fillId="0" borderId="78" xfId="0" applyNumberFormat="1" applyFont="1" applyFill="1" applyBorder="1" applyAlignment="1">
      <alignment horizontal="right" vertical="top"/>
    </xf>
    <xf numFmtId="0" fontId="3" fillId="2" borderId="75" xfId="0" applyFont="1" applyFill="1" applyBorder="1" applyAlignment="1">
      <alignment horizontal="center" vertical="top" wrapText="1"/>
    </xf>
    <xf numFmtId="0" fontId="3" fillId="7" borderId="20" xfId="0" applyFont="1" applyFill="1" applyBorder="1" applyAlignment="1">
      <alignment vertical="top"/>
    </xf>
    <xf numFmtId="0" fontId="3" fillId="7" borderId="63" xfId="0" applyFont="1" applyFill="1" applyBorder="1" applyAlignment="1">
      <alignment vertical="top"/>
    </xf>
    <xf numFmtId="0" fontId="3" fillId="7" borderId="21" xfId="0" applyFont="1" applyFill="1" applyBorder="1" applyAlignment="1">
      <alignment vertical="top"/>
    </xf>
    <xf numFmtId="166" fontId="3" fillId="7" borderId="126" xfId="0" applyNumberFormat="1" applyFont="1" applyFill="1" applyBorder="1" applyAlignment="1">
      <alignment horizontal="right" vertical="top" wrapText="1"/>
    </xf>
    <xf numFmtId="0" fontId="3" fillId="7" borderId="51" xfId="0" applyFont="1" applyFill="1" applyBorder="1" applyAlignment="1">
      <alignment vertical="top"/>
    </xf>
    <xf numFmtId="166" fontId="5" fillId="7" borderId="53" xfId="0" applyNumberFormat="1" applyFont="1" applyFill="1" applyBorder="1" applyAlignment="1">
      <alignment horizontal="right" vertical="top"/>
    </xf>
    <xf numFmtId="166" fontId="3" fillId="7" borderId="119" xfId="0" applyNumberFormat="1" applyFont="1" applyFill="1" applyBorder="1" applyAlignment="1">
      <alignment horizontal="right" vertical="top"/>
    </xf>
    <xf numFmtId="166" fontId="3" fillId="7" borderId="121" xfId="0" applyNumberFormat="1" applyFont="1" applyFill="1" applyBorder="1" applyAlignment="1">
      <alignment horizontal="right" vertical="top"/>
    </xf>
    <xf numFmtId="166" fontId="3" fillId="7" borderId="46" xfId="0" applyNumberFormat="1" applyFont="1" applyFill="1" applyBorder="1" applyAlignment="1">
      <alignment vertical="top"/>
    </xf>
    <xf numFmtId="166" fontId="3" fillId="7" borderId="112" xfId="0" applyNumberFormat="1" applyFont="1" applyFill="1" applyBorder="1" applyAlignment="1">
      <alignment vertical="top"/>
    </xf>
    <xf numFmtId="166" fontId="3" fillId="7" borderId="35" xfId="0" applyNumberFormat="1" applyFont="1" applyFill="1" applyBorder="1" applyAlignment="1">
      <alignment horizontal="center" vertical="top"/>
    </xf>
    <xf numFmtId="166" fontId="3" fillId="7" borderId="35" xfId="0" applyNumberFormat="1" applyFont="1" applyFill="1" applyBorder="1" applyAlignment="1">
      <alignment horizontal="center" vertical="center"/>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5" fillId="3" borderId="35" xfId="0" applyFont="1" applyFill="1" applyBorder="1" applyAlignment="1">
      <alignment horizontal="center" vertical="top" wrapText="1"/>
    </xf>
    <xf numFmtId="3" fontId="3" fillId="7" borderId="1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35" xfId="0" applyFont="1" applyFill="1" applyBorder="1" applyAlignment="1">
      <alignment horizontal="center" vertical="center" textRotation="90" wrapText="1"/>
    </xf>
    <xf numFmtId="3" fontId="3" fillId="7" borderId="18" xfId="0" applyNumberFormat="1" applyFont="1" applyFill="1" applyBorder="1" applyAlignment="1">
      <alignment horizontal="center" vertical="top"/>
    </xf>
    <xf numFmtId="0" fontId="5" fillId="3" borderId="7" xfId="0" applyFont="1" applyFill="1" applyBorder="1" applyAlignment="1">
      <alignment horizontal="center" vertical="top" wrapText="1"/>
    </xf>
    <xf numFmtId="165" fontId="3" fillId="7" borderId="49" xfId="0" applyNumberFormat="1" applyFont="1" applyFill="1" applyBorder="1" applyAlignment="1">
      <alignment horizontal="left" vertical="top" wrapText="1"/>
    </xf>
    <xf numFmtId="0" fontId="3" fillId="0" borderId="6" xfId="0" applyFont="1" applyBorder="1" applyAlignment="1">
      <alignment horizontal="center" vertical="top" wrapText="1"/>
    </xf>
    <xf numFmtId="3" fontId="3" fillId="7" borderId="0" xfId="0" applyNumberFormat="1" applyFont="1" applyFill="1" applyAlignment="1">
      <alignment vertical="top"/>
    </xf>
    <xf numFmtId="165" fontId="5" fillId="7" borderId="35"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top"/>
    </xf>
    <xf numFmtId="166" fontId="5" fillId="8" borderId="45" xfId="0" applyNumberFormat="1" applyFont="1" applyFill="1" applyBorder="1" applyAlignment="1">
      <alignment horizontal="right" vertical="top"/>
    </xf>
    <xf numFmtId="165" fontId="3" fillId="0" borderId="0" xfId="0" applyNumberFormat="1" applyFont="1" applyFill="1" applyAlignment="1">
      <alignment vertical="top"/>
    </xf>
    <xf numFmtId="166" fontId="3" fillId="3" borderId="76" xfId="0" applyNumberFormat="1" applyFont="1" applyFill="1" applyBorder="1" applyAlignment="1">
      <alignment horizontal="right" vertical="top" wrapText="1"/>
    </xf>
    <xf numFmtId="166" fontId="3" fillId="7" borderId="67" xfId="1" applyNumberFormat="1" applyFont="1" applyFill="1" applyBorder="1" applyAlignment="1">
      <alignment horizontal="right" vertical="top"/>
    </xf>
    <xf numFmtId="0" fontId="29" fillId="7" borderId="86" xfId="0" applyFont="1" applyFill="1" applyBorder="1" applyAlignment="1">
      <alignment horizontal="left" vertical="top" wrapText="1"/>
    </xf>
    <xf numFmtId="3" fontId="29" fillId="7" borderId="87" xfId="0" applyNumberFormat="1" applyFont="1" applyFill="1" applyBorder="1" applyAlignment="1">
      <alignment horizontal="center" vertical="top"/>
    </xf>
    <xf numFmtId="3" fontId="3" fillId="7" borderId="120" xfId="0" applyNumberFormat="1" applyFont="1" applyFill="1" applyBorder="1" applyAlignment="1">
      <alignment horizontal="center" vertical="top"/>
    </xf>
    <xf numFmtId="3" fontId="3" fillId="7" borderId="48" xfId="0" applyNumberFormat="1" applyFont="1" applyFill="1" applyBorder="1" applyAlignment="1">
      <alignment horizontal="center" vertical="top"/>
    </xf>
    <xf numFmtId="166" fontId="5" fillId="2" borderId="75" xfId="0" applyNumberFormat="1" applyFont="1" applyFill="1" applyBorder="1" applyAlignment="1">
      <alignment horizontal="right" vertical="top"/>
    </xf>
    <xf numFmtId="3" fontId="29" fillId="7" borderId="88" xfId="0" applyNumberFormat="1" applyFont="1" applyFill="1" applyBorder="1" applyAlignment="1">
      <alignment horizontal="center" vertical="top"/>
    </xf>
    <xf numFmtId="0" fontId="30" fillId="0" borderId="11" xfId="0" applyFont="1" applyBorder="1" applyAlignment="1">
      <alignment vertical="top"/>
    </xf>
    <xf numFmtId="0" fontId="5" fillId="7" borderId="113" xfId="0" applyFont="1" applyFill="1" applyBorder="1" applyAlignment="1">
      <alignment horizontal="center" vertical="top" wrapText="1"/>
    </xf>
    <xf numFmtId="0" fontId="5" fillId="7" borderId="116" xfId="0" applyFont="1" applyFill="1" applyBorder="1" applyAlignment="1">
      <alignment horizontal="center" vertical="top" wrapText="1"/>
    </xf>
    <xf numFmtId="166" fontId="3" fillId="7" borderId="98" xfId="0" applyNumberFormat="1" applyFont="1" applyFill="1" applyBorder="1" applyAlignment="1">
      <alignment horizontal="left" vertical="top" wrapText="1"/>
    </xf>
    <xf numFmtId="3" fontId="3" fillId="7" borderId="125" xfId="0" applyNumberFormat="1" applyFont="1" applyFill="1" applyBorder="1" applyAlignment="1">
      <alignment horizontal="center" vertical="top"/>
    </xf>
    <xf numFmtId="166" fontId="3" fillId="7" borderId="99" xfId="0" applyNumberFormat="1" applyFont="1" applyFill="1" applyBorder="1" applyAlignment="1">
      <alignment horizontal="center" vertical="top"/>
    </xf>
    <xf numFmtId="166" fontId="3" fillId="7" borderId="111" xfId="0" applyNumberFormat="1" applyFont="1" applyFill="1" applyBorder="1" applyAlignment="1">
      <alignment horizontal="center" vertical="top"/>
    </xf>
    <xf numFmtId="0" fontId="9" fillId="0" borderId="29" xfId="0" applyFont="1" applyFill="1" applyBorder="1" applyAlignment="1">
      <alignment horizontal="center"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5" fillId="0" borderId="35" xfId="0" applyFont="1" applyFill="1" applyBorder="1" applyAlignment="1">
      <alignment horizontal="center"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7"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wrapText="1"/>
    </xf>
    <xf numFmtId="49" fontId="5" fillId="9"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3" borderId="18" xfId="0" applyFont="1" applyFill="1" applyBorder="1" applyAlignment="1">
      <alignment vertical="top" wrapText="1"/>
    </xf>
    <xf numFmtId="0" fontId="3" fillId="7" borderId="7" xfId="0" applyFont="1" applyFill="1" applyBorder="1" applyAlignment="1">
      <alignment horizontal="left" vertical="top" wrapText="1"/>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43" xfId="0" applyNumberFormat="1" applyFont="1" applyFill="1" applyBorder="1" applyAlignment="1">
      <alignment horizontal="center" vertical="top"/>
    </xf>
    <xf numFmtId="0" fontId="3" fillId="7" borderId="18"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35"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3" fontId="3" fillId="7" borderId="18" xfId="0" applyNumberFormat="1" applyFont="1" applyFill="1" applyBorder="1" applyAlignment="1">
      <alignment horizontal="center" vertical="top"/>
    </xf>
    <xf numFmtId="0" fontId="3" fillId="3" borderId="28" xfId="0" applyFont="1" applyFill="1" applyBorder="1" applyAlignment="1">
      <alignment vertical="top" wrapText="1"/>
    </xf>
    <xf numFmtId="0" fontId="3" fillId="7" borderId="28" xfId="0" applyFont="1" applyFill="1" applyBorder="1" applyAlignment="1">
      <alignment horizontal="left" vertical="top" wrapText="1"/>
    </xf>
    <xf numFmtId="0" fontId="3" fillId="7" borderId="28" xfId="0" applyFont="1" applyFill="1" applyBorder="1" applyAlignment="1">
      <alignment vertical="top" wrapText="1"/>
    </xf>
    <xf numFmtId="0" fontId="11" fillId="7" borderId="28" xfId="0" applyFont="1" applyFill="1" applyBorder="1" applyAlignment="1">
      <alignment vertical="top" wrapText="1"/>
    </xf>
    <xf numFmtId="0" fontId="3" fillId="3" borderId="94" xfId="0" applyFont="1" applyFill="1" applyBorder="1" applyAlignment="1">
      <alignment horizontal="left" vertical="top" wrapText="1"/>
    </xf>
    <xf numFmtId="0" fontId="3" fillId="7" borderId="88" xfId="0" applyFont="1" applyFill="1" applyBorder="1" applyAlignment="1">
      <alignment horizontal="left" vertical="top" wrapText="1"/>
    </xf>
    <xf numFmtId="0" fontId="3" fillId="3" borderId="88" xfId="0" applyFont="1" applyFill="1" applyBorder="1" applyAlignment="1">
      <alignment horizontal="left" vertical="top" wrapText="1"/>
    </xf>
    <xf numFmtId="0" fontId="3" fillId="3" borderId="120" xfId="0" applyFont="1" applyFill="1" applyBorder="1" applyAlignment="1">
      <alignment vertical="top" wrapText="1"/>
    </xf>
    <xf numFmtId="166" fontId="3" fillId="7" borderId="24" xfId="0" applyNumberFormat="1" applyFont="1" applyFill="1" applyBorder="1" applyAlignment="1">
      <alignment horizontal="center" vertical="center"/>
    </xf>
    <xf numFmtId="166" fontId="3" fillId="7" borderId="67" xfId="0" applyNumberFormat="1" applyFont="1" applyFill="1" applyBorder="1" applyAlignment="1">
      <alignment horizontal="center" vertical="center"/>
    </xf>
    <xf numFmtId="166" fontId="3" fillId="7" borderId="29" xfId="0" applyNumberFormat="1" applyFont="1" applyFill="1" applyBorder="1" applyAlignment="1">
      <alignment horizontal="right" vertical="center" wrapText="1"/>
    </xf>
    <xf numFmtId="166" fontId="3" fillId="7" borderId="78" xfId="0" applyNumberFormat="1" applyFont="1" applyFill="1" applyBorder="1" applyAlignment="1">
      <alignment horizontal="right" vertical="center" wrapText="1"/>
    </xf>
    <xf numFmtId="166" fontId="5" fillId="7" borderId="28" xfId="0" applyNumberFormat="1" applyFont="1" applyFill="1" applyBorder="1" applyAlignment="1">
      <alignment horizontal="left" vertical="top"/>
    </xf>
    <xf numFmtId="0" fontId="3" fillId="0" borderId="72" xfId="0" applyFont="1" applyFill="1" applyBorder="1" applyAlignment="1">
      <alignment horizontal="center" vertical="top"/>
    </xf>
    <xf numFmtId="165" fontId="5" fillId="7" borderId="67" xfId="0" applyNumberFormat="1" applyFont="1" applyFill="1" applyBorder="1" applyAlignment="1">
      <alignment horizontal="center" vertical="center" wrapText="1"/>
    </xf>
    <xf numFmtId="49" fontId="3" fillId="0" borderId="88" xfId="0" applyNumberFormat="1" applyFont="1" applyBorder="1" applyAlignment="1">
      <alignment horizontal="left" vertical="top" wrapText="1"/>
    </xf>
    <xf numFmtId="0" fontId="5" fillId="0" borderId="113" xfId="0" applyFont="1" applyFill="1" applyBorder="1" applyAlignment="1">
      <alignment horizontal="center" vertical="top" wrapText="1"/>
    </xf>
    <xf numFmtId="49" fontId="5" fillId="7" borderId="88" xfId="0" applyNumberFormat="1" applyFont="1" applyFill="1" applyBorder="1" applyAlignment="1">
      <alignment horizontal="center" vertical="top"/>
    </xf>
    <xf numFmtId="3" fontId="3" fillId="7" borderId="94" xfId="0" applyNumberFormat="1" applyFont="1" applyFill="1" applyBorder="1" applyAlignment="1">
      <alignment horizontal="center" vertical="top" wrapText="1"/>
    </xf>
    <xf numFmtId="0" fontId="3" fillId="0" borderId="87" xfId="0" applyFont="1" applyFill="1" applyBorder="1" applyAlignment="1">
      <alignment horizontal="center" vertical="center" wrapText="1"/>
    </xf>
    <xf numFmtId="0" fontId="3" fillId="3" borderId="81" xfId="0" applyFont="1" applyFill="1" applyBorder="1" applyAlignment="1">
      <alignment horizontal="left" vertical="top" wrapText="1"/>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11" fillId="0" borderId="9" xfId="0" applyFont="1" applyBorder="1" applyAlignment="1">
      <alignment vertical="top"/>
    </xf>
    <xf numFmtId="0" fontId="11" fillId="0" borderId="33" xfId="0" applyFont="1" applyBorder="1" applyAlignment="1">
      <alignment vertical="top"/>
    </xf>
    <xf numFmtId="0" fontId="30" fillId="0" borderId="7" xfId="0" applyFont="1" applyBorder="1" applyAlignment="1">
      <alignment vertical="top"/>
    </xf>
    <xf numFmtId="49" fontId="3" fillId="3" borderId="18" xfId="0" applyNumberFormat="1" applyFont="1" applyFill="1" applyBorder="1" applyAlignment="1">
      <alignment horizontal="left" vertical="top" wrapText="1"/>
    </xf>
    <xf numFmtId="3" fontId="3" fillId="7" borderId="47" xfId="0" applyNumberFormat="1" applyFont="1" applyFill="1" applyBorder="1" applyAlignment="1">
      <alignment horizontal="center" vertical="center" wrapText="1"/>
    </xf>
    <xf numFmtId="166" fontId="3" fillId="3" borderId="51" xfId="0" applyNumberFormat="1" applyFont="1" applyFill="1" applyBorder="1" applyAlignment="1">
      <alignment horizontal="right" vertical="top" wrapText="1"/>
    </xf>
    <xf numFmtId="166" fontId="3" fillId="0" borderId="67" xfId="0" applyNumberFormat="1" applyFont="1" applyFill="1" applyBorder="1" applyAlignment="1">
      <alignment horizontal="right" vertical="top"/>
    </xf>
    <xf numFmtId="166" fontId="29" fillId="7" borderId="78" xfId="0" applyNumberFormat="1" applyFont="1" applyFill="1" applyBorder="1" applyAlignment="1">
      <alignment horizontal="right" vertical="top"/>
    </xf>
    <xf numFmtId="166" fontId="29" fillId="7" borderId="0" xfId="0" applyNumberFormat="1" applyFont="1" applyFill="1" applyBorder="1" applyAlignment="1">
      <alignment horizontal="right" vertical="top"/>
    </xf>
    <xf numFmtId="166" fontId="29" fillId="7" borderId="63" xfId="0" applyNumberFormat="1" applyFont="1" applyFill="1" applyBorder="1" applyAlignment="1">
      <alignment horizontal="right" vertical="top" wrapText="1"/>
    </xf>
    <xf numFmtId="166" fontId="3" fillId="0" borderId="105" xfId="0" applyNumberFormat="1" applyFont="1" applyBorder="1" applyAlignment="1">
      <alignment vertical="top"/>
    </xf>
    <xf numFmtId="166" fontId="5" fillId="8" borderId="58" xfId="0" applyNumberFormat="1" applyFont="1" applyFill="1" applyBorder="1" applyAlignment="1">
      <alignment vertical="top"/>
    </xf>
    <xf numFmtId="166" fontId="3" fillId="0" borderId="40" xfId="0" applyNumberFormat="1" applyFont="1" applyBorder="1" applyAlignment="1">
      <alignment horizontal="right" vertical="top"/>
    </xf>
    <xf numFmtId="166" fontId="3" fillId="7" borderId="55" xfId="0" applyNumberFormat="1" applyFont="1" applyFill="1" applyBorder="1" applyAlignment="1">
      <alignment horizontal="right" vertical="center" wrapText="1"/>
    </xf>
    <xf numFmtId="166" fontId="3" fillId="7" borderId="55" xfId="0" applyNumberFormat="1" applyFont="1" applyFill="1" applyBorder="1" applyAlignment="1">
      <alignment vertical="top"/>
    </xf>
    <xf numFmtId="166" fontId="3" fillId="0" borderId="10" xfId="0" applyNumberFormat="1" applyFont="1" applyBorder="1" applyAlignment="1">
      <alignment horizontal="right"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11" fillId="0" borderId="18" xfId="0" applyFont="1" applyBorder="1" applyAlignment="1">
      <alignment vertical="center"/>
    </xf>
    <xf numFmtId="0" fontId="11" fillId="0" borderId="32" xfId="0" applyFont="1" applyBorder="1" applyAlignment="1">
      <alignment vertical="center"/>
    </xf>
    <xf numFmtId="166" fontId="3" fillId="7" borderId="113" xfId="0" applyNumberFormat="1" applyFont="1" applyFill="1" applyBorder="1" applyAlignment="1">
      <alignment horizontal="right" vertical="top"/>
    </xf>
    <xf numFmtId="166" fontId="3" fillId="7" borderId="87" xfId="0" applyNumberFormat="1" applyFont="1" applyFill="1" applyBorder="1" applyAlignment="1">
      <alignment horizontal="right" vertical="top" wrapText="1"/>
    </xf>
    <xf numFmtId="165" fontId="3" fillId="7" borderId="35" xfId="0" applyNumberFormat="1" applyFont="1" applyFill="1" applyBorder="1" applyAlignment="1">
      <alignment horizontal="center" vertical="top" wrapText="1"/>
    </xf>
    <xf numFmtId="0" fontId="3" fillId="0" borderId="23" xfId="0" applyFont="1" applyBorder="1" applyAlignment="1">
      <alignment horizontal="center" vertical="top"/>
    </xf>
    <xf numFmtId="166" fontId="3" fillId="0" borderId="44" xfId="0" applyNumberFormat="1" applyFont="1" applyBorder="1" applyAlignment="1">
      <alignment horizontal="right" vertical="top"/>
    </xf>
    <xf numFmtId="0" fontId="3" fillId="0" borderId="16" xfId="0" applyFont="1" applyBorder="1" applyAlignment="1">
      <alignment vertical="top"/>
    </xf>
    <xf numFmtId="0" fontId="3" fillId="0" borderId="1" xfId="0" applyFont="1" applyBorder="1" applyAlignment="1">
      <alignment vertical="top"/>
    </xf>
    <xf numFmtId="3" fontId="3" fillId="3" borderId="1"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166" fontId="3" fillId="7" borderId="124" xfId="0" applyNumberFormat="1" applyFont="1" applyFill="1" applyBorder="1" applyAlignment="1">
      <alignment horizontal="right" vertical="top"/>
    </xf>
    <xf numFmtId="166" fontId="3" fillId="3" borderId="118" xfId="0" applyNumberFormat="1" applyFont="1" applyFill="1" applyBorder="1" applyAlignment="1">
      <alignment horizontal="right" vertical="top" wrapText="1"/>
    </xf>
    <xf numFmtId="0" fontId="3" fillId="7" borderId="117" xfId="0" applyFont="1" applyFill="1" applyBorder="1" applyAlignment="1">
      <alignment horizontal="center" vertical="center" wrapText="1"/>
    </xf>
    <xf numFmtId="0" fontId="3" fillId="0" borderId="78" xfId="0" applyFont="1" applyBorder="1" applyAlignment="1">
      <alignment horizontal="center" vertical="top"/>
    </xf>
    <xf numFmtId="0" fontId="3" fillId="7" borderId="124" xfId="0" applyFont="1" applyFill="1" applyBorder="1" applyAlignment="1">
      <alignment horizontal="center" vertical="top"/>
    </xf>
    <xf numFmtId="0" fontId="3" fillId="7" borderId="78" xfId="0" applyFont="1" applyFill="1" applyBorder="1" applyAlignment="1">
      <alignment horizontal="center" vertical="top"/>
    </xf>
    <xf numFmtId="166" fontId="3" fillId="7" borderId="109"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3" fillId="7" borderId="20" xfId="0" applyNumberFormat="1" applyFont="1" applyFill="1" applyBorder="1" applyAlignment="1">
      <alignment horizontal="center" vertical="top" wrapText="1"/>
    </xf>
    <xf numFmtId="49" fontId="3" fillId="7" borderId="11" xfId="0" applyNumberFormat="1" applyFont="1" applyFill="1" applyBorder="1" applyAlignment="1">
      <alignment horizontal="center" vertical="top" wrapText="1"/>
    </xf>
    <xf numFmtId="166" fontId="29" fillId="7" borderId="107" xfId="0" applyNumberFormat="1" applyFont="1" applyFill="1" applyBorder="1" applyAlignment="1">
      <alignment horizontal="right" vertical="top" wrapText="1"/>
    </xf>
    <xf numFmtId="0" fontId="5" fillId="8" borderId="0" xfId="0" applyFont="1" applyFill="1" applyBorder="1" applyAlignment="1">
      <alignment horizontal="center" vertical="top"/>
    </xf>
    <xf numFmtId="0" fontId="5" fillId="8" borderId="63" xfId="0" applyFont="1" applyFill="1" applyBorder="1" applyAlignment="1">
      <alignment horizontal="center" vertical="top"/>
    </xf>
    <xf numFmtId="166" fontId="5" fillId="8" borderId="51" xfId="0" applyNumberFormat="1" applyFont="1" applyFill="1" applyBorder="1" applyAlignment="1">
      <alignment horizontal="right" vertical="top"/>
    </xf>
    <xf numFmtId="166" fontId="5" fillId="8" borderId="20" xfId="0" applyNumberFormat="1" applyFont="1" applyFill="1" applyBorder="1" applyAlignment="1">
      <alignment horizontal="right" vertical="top"/>
    </xf>
    <xf numFmtId="0" fontId="5" fillId="8" borderId="51" xfId="0" applyFont="1" applyFill="1" applyBorder="1" applyAlignment="1">
      <alignment horizontal="center" vertical="top"/>
    </xf>
    <xf numFmtId="166" fontId="3" fillId="7" borderId="88" xfId="0" applyNumberFormat="1" applyFont="1" applyFill="1" applyBorder="1" applyAlignment="1">
      <alignment horizontal="right" vertical="top"/>
    </xf>
    <xf numFmtId="166" fontId="5" fillId="8" borderId="0" xfId="0" applyNumberFormat="1" applyFont="1" applyFill="1" applyBorder="1" applyAlignment="1">
      <alignment horizontal="right" vertical="top"/>
    </xf>
    <xf numFmtId="0" fontId="11" fillId="7" borderId="29" xfId="0" applyFont="1" applyFill="1" applyBorder="1" applyAlignment="1">
      <alignment horizontal="center" vertical="top" wrapText="1"/>
    </xf>
    <xf numFmtId="0" fontId="5" fillId="8" borderId="6" xfId="0" applyFont="1" applyFill="1" applyBorder="1" applyAlignment="1">
      <alignment horizontal="center" vertical="top"/>
    </xf>
    <xf numFmtId="0" fontId="11" fillId="7" borderId="11" xfId="0" applyFont="1" applyFill="1" applyBorder="1" applyAlignment="1">
      <alignment vertical="top"/>
    </xf>
    <xf numFmtId="166" fontId="5" fillId="8" borderId="50" xfId="0" applyNumberFormat="1" applyFont="1" applyFill="1" applyBorder="1" applyAlignment="1">
      <alignment horizontal="right" vertical="top"/>
    </xf>
    <xf numFmtId="0" fontId="11" fillId="0" borderId="18" xfId="0" applyFont="1" applyBorder="1" applyAlignment="1">
      <alignment vertical="top" wrapText="1"/>
    </xf>
    <xf numFmtId="166" fontId="3" fillId="7" borderId="38" xfId="0" applyNumberFormat="1" applyFont="1" applyFill="1" applyBorder="1" applyAlignment="1">
      <alignment horizontal="left" vertical="top" wrapText="1"/>
    </xf>
    <xf numFmtId="165" fontId="3" fillId="7" borderId="30" xfId="0" applyNumberFormat="1" applyFont="1" applyFill="1" applyBorder="1" applyAlignment="1">
      <alignment horizontal="left" vertical="center" textRotation="90" wrapText="1"/>
    </xf>
    <xf numFmtId="0" fontId="11" fillId="0" borderId="9" xfId="0" applyFont="1" applyBorder="1" applyAlignment="1">
      <alignment horizontal="left" vertical="top" wrapText="1"/>
    </xf>
    <xf numFmtId="3" fontId="3" fillId="7" borderId="17" xfId="0" applyNumberFormat="1" applyFont="1" applyFill="1" applyBorder="1" applyAlignment="1">
      <alignment horizontal="center" vertical="top" wrapText="1"/>
    </xf>
    <xf numFmtId="3" fontId="3" fillId="0" borderId="93" xfId="0" applyNumberFormat="1" applyFont="1" applyFill="1" applyBorder="1" applyAlignment="1">
      <alignment horizontal="center" vertical="top" wrapText="1"/>
    </xf>
    <xf numFmtId="3" fontId="3" fillId="0" borderId="94" xfId="0" applyNumberFormat="1" applyFont="1" applyFill="1" applyBorder="1" applyAlignment="1">
      <alignment horizontal="center" vertical="top" wrapText="1"/>
    </xf>
    <xf numFmtId="166" fontId="3" fillId="7" borderId="28" xfId="0" applyNumberFormat="1" applyFont="1" applyFill="1" applyBorder="1" applyAlignment="1">
      <alignment horizontal="right" vertical="top"/>
    </xf>
    <xf numFmtId="166" fontId="3" fillId="7" borderId="28" xfId="0" applyNumberFormat="1" applyFont="1" applyFill="1" applyBorder="1" applyAlignment="1">
      <alignment horizontal="right" vertical="top" wrapText="1"/>
    </xf>
    <xf numFmtId="166" fontId="5" fillId="8" borderId="21" xfId="0" applyNumberFormat="1" applyFont="1" applyFill="1" applyBorder="1" applyAlignment="1">
      <alignment horizontal="right" vertical="top"/>
    </xf>
    <xf numFmtId="166" fontId="5" fillId="8" borderId="32"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0" fontId="3" fillId="7" borderId="8" xfId="0" applyFont="1" applyFill="1" applyBorder="1" applyAlignment="1">
      <alignment horizontal="center" vertical="top" wrapText="1"/>
    </xf>
    <xf numFmtId="0" fontId="26" fillId="3" borderId="84" xfId="0" applyFont="1" applyFill="1" applyBorder="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7" borderId="18" xfId="0" applyFont="1" applyFill="1" applyBorder="1" applyAlignment="1">
      <alignment horizontal="left" vertical="top" wrapText="1"/>
    </xf>
    <xf numFmtId="0" fontId="3" fillId="7" borderId="35"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49" fontId="5" fillId="7" borderId="28" xfId="0" applyNumberFormat="1" applyFont="1" applyFill="1" applyBorder="1" applyAlignment="1">
      <alignment horizontal="center" vertical="top"/>
    </xf>
    <xf numFmtId="0" fontId="3" fillId="0" borderId="21" xfId="0" applyFont="1" applyFill="1" applyBorder="1" applyAlignment="1">
      <alignment horizontal="left" vertical="center" wrapText="1"/>
    </xf>
    <xf numFmtId="49" fontId="3" fillId="7" borderId="48" xfId="0" applyNumberFormat="1" applyFont="1" applyFill="1" applyBorder="1" applyAlignment="1">
      <alignment horizontal="center" vertical="top"/>
    </xf>
    <xf numFmtId="0" fontId="18" fillId="7" borderId="94" xfId="0" applyFont="1" applyFill="1" applyBorder="1" applyAlignment="1">
      <alignment vertical="top" wrapText="1"/>
    </xf>
    <xf numFmtId="0" fontId="18" fillId="0" borderId="103" xfId="0" applyFont="1" applyFill="1" applyBorder="1" applyAlignment="1">
      <alignment horizontal="center" vertical="top" wrapText="1"/>
    </xf>
    <xf numFmtId="0" fontId="3" fillId="7" borderId="51" xfId="0" applyFont="1" applyFill="1" applyBorder="1" applyAlignment="1">
      <alignment horizontal="center" vertical="center" textRotation="90" wrapText="1"/>
    </xf>
    <xf numFmtId="166" fontId="3" fillId="3" borderId="29" xfId="0" applyNumberFormat="1" applyFont="1" applyFill="1" applyBorder="1" applyAlignment="1">
      <alignment horizontal="right" vertical="top" wrapText="1"/>
    </xf>
    <xf numFmtId="166" fontId="3" fillId="7" borderId="93" xfId="0" applyNumberFormat="1" applyFont="1" applyFill="1" applyBorder="1" applyAlignment="1">
      <alignment horizontal="center" vertical="top"/>
    </xf>
    <xf numFmtId="166" fontId="5" fillId="7" borderId="94" xfId="0" applyNumberFormat="1" applyFont="1" applyFill="1" applyBorder="1" applyAlignment="1">
      <alignment horizontal="left" vertical="top"/>
    </xf>
    <xf numFmtId="49" fontId="3" fillId="0" borderId="117"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0" fontId="18" fillId="7" borderId="17" xfId="0" applyFont="1" applyFill="1" applyBorder="1" applyAlignment="1">
      <alignment vertical="top" wrapText="1"/>
    </xf>
    <xf numFmtId="0" fontId="18" fillId="0" borderId="70" xfId="0" applyFont="1" applyFill="1" applyBorder="1" applyAlignment="1">
      <alignment vertical="top" wrapText="1"/>
    </xf>
    <xf numFmtId="0" fontId="18" fillId="0" borderId="39" xfId="0" applyFont="1" applyFill="1" applyBorder="1" applyAlignment="1">
      <alignment horizontal="center" vertical="top" wrapText="1"/>
    </xf>
    <xf numFmtId="3" fontId="3" fillId="7" borderId="17" xfId="0" applyNumberFormat="1" applyFont="1" applyFill="1" applyBorder="1" applyAlignment="1">
      <alignment horizontal="center" vertical="top"/>
    </xf>
    <xf numFmtId="166" fontId="3" fillId="0" borderId="98" xfId="0" applyNumberFormat="1" applyFont="1" applyFill="1" applyBorder="1" applyAlignment="1">
      <alignment horizontal="left" vertical="top" wrapText="1"/>
    </xf>
    <xf numFmtId="49" fontId="3" fillId="7" borderId="99" xfId="0" applyNumberFormat="1" applyFont="1" applyFill="1" applyBorder="1" applyAlignment="1">
      <alignment horizontal="center" vertical="top"/>
    </xf>
    <xf numFmtId="49" fontId="3" fillId="7" borderId="111" xfId="0" applyNumberFormat="1" applyFont="1" applyFill="1" applyBorder="1" applyAlignment="1">
      <alignment horizontal="center" vertical="top"/>
    </xf>
    <xf numFmtId="0" fontId="3" fillId="7" borderId="1" xfId="0" applyNumberFormat="1" applyFont="1" applyFill="1" applyBorder="1" applyAlignment="1">
      <alignment horizontal="center" vertical="top"/>
    </xf>
    <xf numFmtId="0" fontId="3" fillId="7" borderId="17" xfId="0" applyNumberFormat="1" applyFont="1" applyFill="1" applyBorder="1" applyAlignment="1">
      <alignment horizontal="center" vertical="top"/>
    </xf>
    <xf numFmtId="0" fontId="3" fillId="7" borderId="17" xfId="0" applyFont="1" applyFill="1" applyBorder="1" applyAlignment="1">
      <alignment vertical="top" wrapText="1"/>
    </xf>
    <xf numFmtId="0" fontId="3" fillId="0" borderId="118" xfId="0" applyFont="1" applyBorder="1" applyAlignment="1">
      <alignment horizontal="center" vertical="top"/>
    </xf>
    <xf numFmtId="3" fontId="3" fillId="3" borderId="117" xfId="0" applyNumberFormat="1" applyFont="1" applyFill="1" applyBorder="1" applyAlignment="1">
      <alignment horizontal="center" vertical="center"/>
    </xf>
    <xf numFmtId="49" fontId="3" fillId="3" borderId="117"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3" fillId="7" borderId="7" xfId="0" applyFont="1" applyFill="1" applyBorder="1" applyAlignment="1">
      <alignment horizontal="left" vertical="top" wrapText="1"/>
    </xf>
    <xf numFmtId="0" fontId="3" fillId="7" borderId="38" xfId="0" applyFont="1" applyFill="1" applyBorder="1" applyAlignment="1">
      <alignmen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7" xfId="0" applyFont="1" applyFill="1" applyBorder="1" applyAlignment="1">
      <alignment vertical="top" wrapText="1"/>
    </xf>
    <xf numFmtId="0" fontId="11" fillId="7" borderId="9" xfId="0" applyFont="1" applyFill="1" applyBorder="1" applyAlignment="1">
      <alignment vertical="top" wrapText="1"/>
    </xf>
    <xf numFmtId="3" fontId="3" fillId="7" borderId="21" xfId="0" applyNumberFormat="1" applyFont="1" applyFill="1" applyBorder="1" applyAlignment="1">
      <alignment horizontal="center" vertical="top" wrapText="1"/>
    </xf>
    <xf numFmtId="0" fontId="11" fillId="7" borderId="31" xfId="0" applyFont="1" applyFill="1" applyBorder="1" applyAlignment="1"/>
    <xf numFmtId="0" fontId="11" fillId="7" borderId="7" xfId="0" applyFont="1" applyFill="1" applyBorder="1" applyAlignment="1">
      <alignment vertical="top" wrapText="1"/>
    </xf>
    <xf numFmtId="3" fontId="3" fillId="7" borderId="11" xfId="0" applyNumberFormat="1" applyFont="1" applyFill="1" applyBorder="1" applyAlignment="1">
      <alignment horizontal="left" vertical="top" wrapText="1"/>
    </xf>
    <xf numFmtId="3" fontId="3" fillId="7" borderId="11" xfId="0" applyNumberFormat="1" applyFont="1" applyFill="1" applyBorder="1" applyAlignment="1">
      <alignment horizontal="center" vertical="top" wrapText="1"/>
    </xf>
    <xf numFmtId="0" fontId="11" fillId="7" borderId="18" xfId="0" applyFont="1" applyFill="1" applyBorder="1" applyAlignment="1">
      <alignment vertical="center"/>
    </xf>
    <xf numFmtId="3" fontId="3" fillId="7" borderId="31" xfId="0" applyNumberFormat="1" applyFont="1" applyFill="1" applyBorder="1" applyAlignment="1">
      <alignment horizontal="center" vertical="top" wrapText="1"/>
    </xf>
    <xf numFmtId="166" fontId="3" fillId="7" borderId="6" xfId="0" applyNumberFormat="1" applyFont="1" applyFill="1" applyBorder="1" applyAlignment="1">
      <alignment vertical="top"/>
    </xf>
    <xf numFmtId="3" fontId="3" fillId="7" borderId="48" xfId="0" applyNumberFormat="1" applyFont="1" applyFill="1" applyBorder="1" applyAlignment="1">
      <alignment horizontal="center" vertical="top" wrapText="1"/>
    </xf>
    <xf numFmtId="3" fontId="3" fillId="7" borderId="50" xfId="0" applyNumberFormat="1" applyFont="1" applyFill="1" applyBorder="1" applyAlignment="1">
      <alignment horizontal="center" vertical="top" wrapText="1"/>
    </xf>
    <xf numFmtId="3" fontId="3" fillId="7" borderId="36" xfId="0" applyNumberFormat="1" applyFont="1" applyFill="1" applyBorder="1" applyAlignment="1">
      <alignment horizontal="center" vertical="top" wrapText="1"/>
    </xf>
    <xf numFmtId="3" fontId="3" fillId="7" borderId="110" xfId="0" applyNumberFormat="1" applyFont="1" applyFill="1" applyBorder="1" applyAlignment="1">
      <alignment horizontal="center" vertical="top"/>
    </xf>
    <xf numFmtId="0" fontId="29" fillId="7" borderId="6" xfId="0" applyFont="1" applyFill="1" applyBorder="1" applyAlignment="1">
      <alignment vertical="top"/>
    </xf>
    <xf numFmtId="0" fontId="11" fillId="7" borderId="54" xfId="0" applyFont="1" applyFill="1" applyBorder="1" applyAlignment="1">
      <alignment vertical="top" wrapText="1"/>
    </xf>
    <xf numFmtId="3" fontId="3" fillId="7" borderId="32" xfId="0" applyNumberFormat="1" applyFont="1" applyFill="1" applyBorder="1" applyAlignment="1">
      <alignment horizontal="center" vertical="top" wrapText="1"/>
    </xf>
    <xf numFmtId="49" fontId="3" fillId="7" borderId="87" xfId="0" applyNumberFormat="1" applyFont="1" applyFill="1" applyBorder="1" applyAlignment="1">
      <alignment horizontal="center" vertical="center"/>
    </xf>
    <xf numFmtId="49" fontId="3" fillId="7" borderId="110" xfId="0" applyNumberFormat="1" applyFont="1" applyFill="1" applyBorder="1" applyAlignment="1">
      <alignment horizontal="center" vertical="center"/>
    </xf>
    <xf numFmtId="0" fontId="3" fillId="7" borderId="92" xfId="0" applyFont="1" applyFill="1" applyBorder="1" applyAlignment="1">
      <alignment vertical="top" wrapText="1"/>
    </xf>
    <xf numFmtId="3" fontId="3" fillId="7" borderId="93" xfId="0" applyNumberFormat="1" applyFont="1" applyFill="1" applyBorder="1" applyAlignment="1">
      <alignment horizontal="center" vertical="center"/>
    </xf>
    <xf numFmtId="3" fontId="3" fillId="7" borderId="103" xfId="0" applyNumberFormat="1" applyFont="1" applyFill="1" applyBorder="1" applyAlignment="1">
      <alignment horizontal="center" vertical="center"/>
    </xf>
    <xf numFmtId="3" fontId="9" fillId="7" borderId="93" xfId="0" applyNumberFormat="1" applyFont="1" applyFill="1" applyBorder="1" applyAlignment="1">
      <alignment horizontal="center" vertical="center"/>
    </xf>
    <xf numFmtId="3" fontId="3" fillId="7" borderId="117" xfId="0" applyNumberFormat="1" applyFont="1" applyFill="1" applyBorder="1" applyAlignment="1">
      <alignment horizontal="center" vertical="center"/>
    </xf>
    <xf numFmtId="3" fontId="3" fillId="7" borderId="123" xfId="0" applyNumberFormat="1" applyFont="1" applyFill="1" applyBorder="1" applyAlignment="1">
      <alignment horizontal="center" vertical="center"/>
    </xf>
    <xf numFmtId="0" fontId="3" fillId="7" borderId="98" xfId="0" applyFont="1" applyFill="1" applyBorder="1" applyAlignment="1">
      <alignment vertical="top" wrapText="1"/>
    </xf>
    <xf numFmtId="0" fontId="3" fillId="7" borderId="99" xfId="0" applyFont="1" applyFill="1" applyBorder="1" applyAlignment="1">
      <alignment horizontal="center" vertical="center"/>
    </xf>
    <xf numFmtId="0" fontId="3" fillId="7" borderId="99" xfId="0" applyFont="1" applyFill="1" applyBorder="1" applyAlignment="1">
      <alignment vertical="top"/>
    </xf>
    <xf numFmtId="0" fontId="3" fillId="7" borderId="125" xfId="0" applyFont="1" applyFill="1" applyBorder="1" applyAlignment="1">
      <alignment vertical="top"/>
    </xf>
    <xf numFmtId="49" fontId="3" fillId="7" borderId="82" xfId="0" applyNumberFormat="1" applyFont="1" applyFill="1" applyBorder="1" applyAlignment="1">
      <alignment horizontal="center" vertical="top"/>
    </xf>
    <xf numFmtId="49" fontId="3" fillId="7" borderId="83" xfId="0" applyNumberFormat="1" applyFont="1" applyFill="1" applyBorder="1" applyAlignment="1">
      <alignment horizontal="center" vertical="top"/>
    </xf>
    <xf numFmtId="0" fontId="3" fillId="7" borderId="35" xfId="0" applyFont="1" applyFill="1" applyBorder="1" applyAlignment="1">
      <alignment horizontal="justify" vertical="top"/>
    </xf>
    <xf numFmtId="0" fontId="3" fillId="7" borderId="112" xfId="0" applyFont="1" applyFill="1" applyBorder="1" applyAlignment="1">
      <alignment vertical="top" wrapText="1"/>
    </xf>
    <xf numFmtId="166" fontId="3" fillId="7" borderId="7" xfId="0" applyNumberFormat="1" applyFont="1" applyFill="1" applyBorder="1" applyAlignment="1">
      <alignment horizontal="left" vertical="top" wrapText="1"/>
    </xf>
    <xf numFmtId="0" fontId="3" fillId="7" borderId="16" xfId="0" applyFont="1" applyFill="1" applyBorder="1" applyAlignment="1">
      <alignment vertical="top" wrapText="1"/>
    </xf>
    <xf numFmtId="0" fontId="9" fillId="7" borderId="1" xfId="0" applyFont="1" applyFill="1" applyBorder="1" applyAlignment="1">
      <alignment horizontal="center" vertical="top" wrapText="1"/>
    </xf>
    <xf numFmtId="3" fontId="3" fillId="7" borderId="39" xfId="0" applyNumberFormat="1" applyFont="1" applyFill="1" applyBorder="1" applyAlignment="1">
      <alignment horizontal="center" vertical="top"/>
    </xf>
    <xf numFmtId="0" fontId="11" fillId="7" borderId="58" xfId="0" applyFont="1" applyFill="1" applyBorder="1" applyAlignment="1"/>
    <xf numFmtId="3" fontId="3" fillId="7" borderId="43"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0" fontId="3" fillId="7" borderId="86" xfId="0" applyFont="1" applyFill="1" applyBorder="1" applyAlignment="1">
      <alignment horizontal="center" vertical="center" textRotation="90" wrapText="1"/>
    </xf>
    <xf numFmtId="49" fontId="3" fillId="7" borderId="88" xfId="0" applyNumberFormat="1" applyFont="1" applyFill="1" applyBorder="1" applyAlignment="1">
      <alignment horizontal="center" vertical="top"/>
    </xf>
    <xf numFmtId="49" fontId="5" fillId="7" borderId="110" xfId="0" applyNumberFormat="1" applyFont="1" applyFill="1" applyBorder="1" applyAlignment="1">
      <alignment horizontal="center" vertical="top"/>
    </xf>
    <xf numFmtId="165" fontId="3" fillId="7" borderId="86" xfId="0" applyNumberFormat="1" applyFont="1" applyFill="1" applyBorder="1" applyAlignment="1">
      <alignment horizontal="left" vertical="center" textRotation="90" wrapText="1"/>
    </xf>
    <xf numFmtId="0" fontId="11" fillId="0" borderId="86" xfId="0" applyFont="1" applyBorder="1" applyAlignment="1"/>
    <xf numFmtId="0" fontId="11" fillId="0" borderId="87" xfId="0" applyFont="1" applyBorder="1" applyAlignment="1">
      <alignment horizontal="center" vertical="center" wrapText="1"/>
    </xf>
    <xf numFmtId="0" fontId="3" fillId="7" borderId="39" xfId="0" applyNumberFormat="1" applyFont="1" applyFill="1" applyBorder="1" applyAlignment="1">
      <alignment horizontal="left" vertical="top" wrapText="1"/>
    </xf>
    <xf numFmtId="49" fontId="24" fillId="3" borderId="117" xfId="0" applyNumberFormat="1" applyFont="1" applyFill="1" applyBorder="1" applyAlignment="1">
      <alignment horizontal="center" vertical="top"/>
    </xf>
    <xf numFmtId="49" fontId="24" fillId="3" borderId="87" xfId="0" applyNumberFormat="1" applyFont="1" applyFill="1" applyBorder="1" applyAlignment="1">
      <alignment horizontal="center" vertical="top"/>
    </xf>
    <xf numFmtId="0" fontId="3" fillId="0" borderId="30" xfId="0" applyFont="1" applyBorder="1" applyAlignment="1">
      <alignment horizontal="left" vertical="top" wrapText="1"/>
    </xf>
    <xf numFmtId="3" fontId="3" fillId="7" borderId="21" xfId="0" applyNumberFormat="1" applyFont="1" applyFill="1" applyBorder="1" applyAlignment="1">
      <alignment horizontal="center" vertical="center" wrapText="1"/>
    </xf>
    <xf numFmtId="49" fontId="3" fillId="0" borderId="93" xfId="0" applyNumberFormat="1" applyFont="1" applyFill="1" applyBorder="1" applyAlignment="1">
      <alignment horizontal="center" vertical="top" wrapText="1"/>
    </xf>
    <xf numFmtId="49" fontId="3" fillId="0" borderId="94"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xf>
    <xf numFmtId="166" fontId="3" fillId="3" borderId="67" xfId="0" applyNumberFormat="1" applyFont="1" applyFill="1" applyBorder="1" applyAlignment="1">
      <alignment horizontal="right" vertical="top"/>
    </xf>
    <xf numFmtId="0" fontId="3" fillId="7" borderId="11" xfId="0" applyFont="1" applyFill="1" applyBorder="1" applyAlignment="1">
      <alignment horizontal="center" vertical="top" wrapText="1"/>
    </xf>
    <xf numFmtId="0" fontId="18" fillId="7" borderId="28" xfId="0" applyFont="1" applyFill="1" applyBorder="1" applyAlignment="1">
      <alignment vertical="top" wrapText="1"/>
    </xf>
    <xf numFmtId="0" fontId="18" fillId="7" borderId="67" xfId="0" applyFont="1" applyFill="1" applyBorder="1" applyAlignment="1">
      <alignment vertical="top" wrapText="1"/>
    </xf>
    <xf numFmtId="0" fontId="18" fillId="7" borderId="36" xfId="0" applyFont="1" applyFill="1" applyBorder="1" applyAlignment="1">
      <alignment horizontal="center" vertical="top" wrapText="1"/>
    </xf>
    <xf numFmtId="49" fontId="5" fillId="7" borderId="110" xfId="0" applyNumberFormat="1" applyFont="1" applyFill="1" applyBorder="1" applyAlignment="1">
      <alignment vertical="top"/>
    </xf>
    <xf numFmtId="0" fontId="3" fillId="7" borderId="113" xfId="0" applyFont="1" applyFill="1" applyBorder="1" applyAlignment="1">
      <alignment horizontal="center" vertical="center" textRotation="90" wrapText="1"/>
    </xf>
    <xf numFmtId="166" fontId="3" fillId="7" borderId="113" xfId="0" applyNumberFormat="1" applyFont="1" applyFill="1" applyBorder="1" applyAlignment="1">
      <alignment horizontal="right" vertical="top" wrapText="1"/>
    </xf>
    <xf numFmtId="0" fontId="3" fillId="7" borderId="113" xfId="0" applyFont="1" applyFill="1" applyBorder="1" applyAlignment="1">
      <alignment horizontal="left" vertical="top" wrapText="1"/>
    </xf>
    <xf numFmtId="166" fontId="3" fillId="7" borderId="110" xfId="0" applyNumberFormat="1" applyFont="1" applyFill="1" applyBorder="1" applyAlignment="1">
      <alignment horizontal="center" vertical="top"/>
    </xf>
    <xf numFmtId="166" fontId="3" fillId="7" borderId="87" xfId="0" applyNumberFormat="1" applyFont="1" applyFill="1" applyBorder="1" applyAlignment="1">
      <alignment horizontal="center" vertical="top"/>
    </xf>
    <xf numFmtId="166" fontId="3" fillId="7" borderId="88" xfId="0" applyNumberFormat="1" applyFont="1" applyFill="1" applyBorder="1" applyAlignment="1">
      <alignment horizontal="center" vertical="top"/>
    </xf>
    <xf numFmtId="0" fontId="3" fillId="0" borderId="7" xfId="0" applyFont="1" applyFill="1" applyBorder="1" applyAlignment="1">
      <alignment horizontal="left" vertical="top" wrapText="1"/>
    </xf>
    <xf numFmtId="3" fontId="3" fillId="7" borderId="18" xfId="0" applyNumberFormat="1" applyFont="1" applyFill="1" applyBorder="1" applyAlignment="1">
      <alignment horizontal="center" vertical="top"/>
    </xf>
    <xf numFmtId="0" fontId="3" fillId="7" borderId="18" xfId="0" applyFont="1" applyFill="1" applyBorder="1" applyAlignment="1">
      <alignment horizontal="left" vertical="top" wrapText="1"/>
    </xf>
    <xf numFmtId="0" fontId="3" fillId="7" borderId="7" xfId="0" applyFont="1" applyFill="1" applyBorder="1" applyAlignment="1">
      <alignment vertical="top" wrapText="1"/>
    </xf>
    <xf numFmtId="49" fontId="5" fillId="2" borderId="1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7" borderId="35"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49" fontId="5" fillId="7" borderId="18"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11" fillId="0" borderId="9" xfId="0" applyFont="1" applyBorder="1" applyAlignment="1"/>
    <xf numFmtId="0" fontId="3" fillId="7" borderId="21" xfId="0" applyFont="1" applyFill="1" applyBorder="1" applyAlignment="1">
      <alignment horizontal="left" vertical="top" wrapText="1"/>
    </xf>
    <xf numFmtId="0" fontId="3" fillId="7" borderId="7" xfId="0" applyFont="1" applyFill="1" applyBorder="1" applyAlignment="1">
      <alignment horizontal="left" vertical="top" wrapText="1"/>
    </xf>
    <xf numFmtId="0" fontId="3" fillId="7" borderId="38" xfId="0" applyFont="1" applyFill="1" applyBorder="1" applyAlignment="1">
      <alignment horizontal="left" vertical="top" wrapText="1"/>
    </xf>
    <xf numFmtId="0" fontId="3" fillId="3" borderId="21" xfId="0" applyFont="1" applyFill="1" applyBorder="1" applyAlignment="1">
      <alignment horizontal="left" vertical="top" wrapText="1"/>
    </xf>
    <xf numFmtId="49" fontId="5" fillId="0" borderId="18" xfId="0" applyNumberFormat="1" applyFont="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165" fontId="3" fillId="7" borderId="35" xfId="0" applyNumberFormat="1" applyFont="1" applyFill="1" applyBorder="1" applyAlignment="1">
      <alignment horizontal="left" vertical="center" textRotation="90" wrapText="1"/>
    </xf>
    <xf numFmtId="0" fontId="3" fillId="7" borderId="16"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5" fillId="7" borderId="38" xfId="0" applyFont="1" applyFill="1" applyBorder="1" applyAlignment="1">
      <alignment horizontal="center" vertical="top" wrapText="1"/>
    </xf>
    <xf numFmtId="0" fontId="20" fillId="7" borderId="35" xfId="0" applyFont="1" applyFill="1" applyBorder="1" applyAlignment="1">
      <alignment horizontal="center" vertical="top" wrapText="1"/>
    </xf>
    <xf numFmtId="0" fontId="11" fillId="0" borderId="18" xfId="0" applyFont="1" applyBorder="1" applyAlignment="1"/>
    <xf numFmtId="165" fontId="5" fillId="0" borderId="51" xfId="0" applyNumberFormat="1" applyFont="1" applyFill="1" applyBorder="1" applyAlignment="1">
      <alignment horizontal="center" vertical="top" wrapText="1"/>
    </xf>
    <xf numFmtId="0" fontId="11" fillId="7" borderId="11" xfId="0" applyFont="1" applyFill="1" applyBorder="1" applyAlignment="1"/>
    <xf numFmtId="0" fontId="11" fillId="7" borderId="18" xfId="0" applyFont="1" applyFill="1" applyBorder="1" applyAlignment="1"/>
    <xf numFmtId="3" fontId="3" fillId="7" borderId="21"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wrapText="1"/>
    </xf>
    <xf numFmtId="0" fontId="11" fillId="0" borderId="50" xfId="0" applyFont="1" applyBorder="1" applyAlignment="1"/>
    <xf numFmtId="0" fontId="11" fillId="0" borderId="35" xfId="0" applyFont="1" applyBorder="1" applyAlignment="1"/>
    <xf numFmtId="0" fontId="11" fillId="7" borderId="7" xfId="0" applyFont="1" applyFill="1" applyBorder="1" applyAlignment="1"/>
    <xf numFmtId="0" fontId="5" fillId="0" borderId="67" xfId="0" applyFont="1" applyFill="1" applyBorder="1" applyAlignment="1">
      <alignment horizontal="center" vertical="top" wrapText="1"/>
    </xf>
    <xf numFmtId="3" fontId="3" fillId="7" borderId="0" xfId="0" applyNumberFormat="1" applyFont="1" applyFill="1" applyAlignment="1">
      <alignment vertical="top"/>
    </xf>
    <xf numFmtId="0" fontId="18" fillId="0" borderId="7" xfId="0" applyFont="1" applyFill="1" applyBorder="1" applyAlignment="1">
      <alignment horizontal="left" vertical="top" wrapText="1"/>
    </xf>
    <xf numFmtId="3" fontId="24" fillId="7" borderId="20" xfId="0" applyNumberFormat="1" applyFont="1" applyFill="1" applyBorder="1" applyAlignment="1">
      <alignment horizontal="center" vertical="top" wrapText="1"/>
    </xf>
    <xf numFmtId="0" fontId="24" fillId="7" borderId="11" xfId="0" applyFont="1" applyFill="1" applyBorder="1" applyAlignment="1">
      <alignment vertical="top"/>
    </xf>
    <xf numFmtId="0" fontId="24" fillId="7" borderId="18" xfId="0" applyFont="1" applyFill="1" applyBorder="1" applyAlignment="1">
      <alignment vertical="top"/>
    </xf>
    <xf numFmtId="49" fontId="5" fillId="9" borderId="46" xfId="0" applyNumberFormat="1" applyFont="1" applyFill="1" applyBorder="1" applyAlignment="1">
      <alignment horizontal="center" vertical="top"/>
    </xf>
    <xf numFmtId="0" fontId="7" fillId="3" borderId="67" xfId="0" applyFont="1" applyFill="1" applyBorder="1" applyAlignment="1">
      <alignment horizontal="center" vertical="center" textRotation="90" wrapText="1"/>
    </xf>
    <xf numFmtId="166" fontId="5" fillId="7" borderId="67" xfId="0" applyNumberFormat="1" applyFont="1" applyFill="1" applyBorder="1" applyAlignment="1">
      <alignment horizontal="right" vertical="top"/>
    </xf>
    <xf numFmtId="166" fontId="5" fillId="7" borderId="29" xfId="0" applyNumberFormat="1" applyFont="1" applyFill="1" applyBorder="1" applyAlignment="1">
      <alignment horizontal="right" vertical="top"/>
    </xf>
    <xf numFmtId="166" fontId="5" fillId="3" borderId="78" xfId="0" applyNumberFormat="1" applyFont="1" applyFill="1" applyBorder="1" applyAlignment="1">
      <alignment horizontal="right" vertical="top"/>
    </xf>
    <xf numFmtId="0" fontId="10" fillId="3" borderId="27" xfId="0" applyFont="1" applyFill="1" applyBorder="1" applyAlignment="1">
      <alignment horizontal="left" vertical="top" wrapText="1"/>
    </xf>
    <xf numFmtId="0" fontId="24" fillId="7" borderId="87" xfId="0" applyNumberFormat="1" applyFont="1" applyFill="1" applyBorder="1" applyAlignment="1">
      <alignment horizontal="center" vertical="top"/>
    </xf>
    <xf numFmtId="166" fontId="3" fillId="3" borderId="66" xfId="0" applyNumberFormat="1" applyFont="1" applyFill="1" applyBorder="1" applyAlignment="1">
      <alignment horizontal="right" vertical="top"/>
    </xf>
    <xf numFmtId="0" fontId="3" fillId="7" borderId="7" xfId="0" applyFont="1" applyFill="1" applyBorder="1" applyAlignment="1">
      <alignment vertical="top"/>
    </xf>
    <xf numFmtId="166" fontId="3" fillId="0" borderId="46" xfId="0" applyNumberFormat="1" applyFont="1" applyBorder="1" applyAlignment="1">
      <alignment horizontal="right" vertical="top"/>
    </xf>
    <xf numFmtId="166" fontId="5" fillId="8" borderId="33" xfId="0" applyNumberFormat="1" applyFont="1" applyFill="1" applyBorder="1" applyAlignment="1">
      <alignment vertical="top"/>
    </xf>
    <xf numFmtId="166" fontId="3" fillId="7" borderId="119" xfId="0" applyNumberFormat="1" applyFont="1" applyFill="1" applyBorder="1" applyAlignment="1">
      <alignment horizontal="right" vertical="top" wrapText="1"/>
    </xf>
    <xf numFmtId="166" fontId="3" fillId="3" borderId="119" xfId="0" applyNumberFormat="1" applyFont="1" applyFill="1" applyBorder="1" applyAlignment="1">
      <alignment horizontal="right" vertical="top" wrapText="1"/>
    </xf>
    <xf numFmtId="166" fontId="3" fillId="3" borderId="63" xfId="0" applyNumberFormat="1" applyFont="1" applyFill="1" applyBorder="1" applyAlignment="1">
      <alignment horizontal="right" vertical="top" wrapText="1"/>
    </xf>
    <xf numFmtId="166" fontId="3" fillId="0" borderId="35" xfId="0" applyNumberFormat="1" applyFont="1" applyBorder="1" applyAlignment="1">
      <alignment vertical="top"/>
    </xf>
    <xf numFmtId="166" fontId="3" fillId="0" borderId="35" xfId="0" applyNumberFormat="1" applyFont="1" applyFill="1" applyBorder="1" applyAlignment="1">
      <alignment horizontal="right" vertical="top"/>
    </xf>
    <xf numFmtId="166" fontId="3" fillId="3" borderId="53" xfId="0" applyNumberFormat="1" applyFont="1" applyFill="1" applyBorder="1" applyAlignment="1">
      <alignment horizontal="right" vertical="top" wrapText="1"/>
    </xf>
    <xf numFmtId="166" fontId="5" fillId="5" borderId="73" xfId="0" applyNumberFormat="1" applyFont="1" applyFill="1" applyBorder="1" applyAlignment="1">
      <alignment horizontal="right" vertical="top"/>
    </xf>
    <xf numFmtId="166" fontId="3" fillId="0" borderId="51" xfId="0" applyNumberFormat="1" applyFont="1" applyBorder="1" applyAlignment="1">
      <alignment horizontal="right" vertical="top"/>
    </xf>
    <xf numFmtId="166" fontId="3" fillId="7" borderId="67" xfId="0" applyNumberFormat="1" applyFont="1" applyFill="1" applyBorder="1" applyAlignment="1">
      <alignment horizontal="right" vertical="center" wrapText="1"/>
    </xf>
    <xf numFmtId="166" fontId="5" fillId="2" borderId="77" xfId="0" applyNumberFormat="1" applyFont="1" applyFill="1" applyBorder="1" applyAlignment="1">
      <alignment horizontal="right" vertical="top"/>
    </xf>
    <xf numFmtId="166" fontId="5" fillId="9" borderId="57" xfId="0" applyNumberFormat="1" applyFont="1" applyFill="1" applyBorder="1" applyAlignment="1">
      <alignment horizontal="right" vertical="top"/>
    </xf>
    <xf numFmtId="166" fontId="3" fillId="7" borderId="46" xfId="0" applyNumberFormat="1" applyFont="1" applyFill="1" applyBorder="1" applyAlignment="1">
      <alignment horizontal="right" vertical="top" wrapText="1"/>
    </xf>
    <xf numFmtId="166" fontId="3" fillId="0" borderId="13" xfId="0" applyNumberFormat="1" applyFont="1" applyBorder="1" applyAlignment="1">
      <alignment horizontal="right" vertical="top"/>
    </xf>
    <xf numFmtId="166" fontId="3" fillId="0" borderId="20" xfId="0" applyNumberFormat="1" applyFont="1" applyBorder="1" applyAlignment="1">
      <alignment horizontal="right" vertical="top"/>
    </xf>
    <xf numFmtId="166" fontId="3" fillId="7" borderId="53" xfId="0" applyNumberFormat="1" applyFont="1" applyFill="1" applyBorder="1" applyAlignment="1">
      <alignment horizontal="right" vertical="top" wrapText="1"/>
    </xf>
    <xf numFmtId="0" fontId="3" fillId="7" borderId="42" xfId="0" applyFont="1" applyFill="1" applyBorder="1" applyAlignment="1">
      <alignment horizontal="left" vertical="top" wrapText="1"/>
    </xf>
    <xf numFmtId="0" fontId="3" fillId="7" borderId="47" xfId="0" applyFont="1" applyFill="1" applyBorder="1" applyAlignment="1">
      <alignment horizontal="left" vertical="top" wrapText="1"/>
    </xf>
    <xf numFmtId="0" fontId="18" fillId="0" borderId="107" xfId="0" applyFont="1" applyFill="1" applyBorder="1" applyAlignment="1">
      <alignment vertical="top" wrapText="1"/>
    </xf>
    <xf numFmtId="0" fontId="18" fillId="7" borderId="78" xfId="0" applyFont="1" applyFill="1" applyBorder="1" applyAlignment="1">
      <alignment vertical="top" wrapText="1"/>
    </xf>
    <xf numFmtId="0" fontId="3" fillId="0" borderId="122" xfId="0" applyFont="1" applyFill="1" applyBorder="1" applyAlignment="1">
      <alignment horizontal="left" vertical="top" wrapText="1"/>
    </xf>
    <xf numFmtId="166" fontId="3" fillId="7" borderId="104" xfId="0" applyNumberFormat="1" applyFont="1" applyFill="1" applyBorder="1" applyAlignment="1">
      <alignment horizontal="left" vertical="top" wrapText="1"/>
    </xf>
    <xf numFmtId="166" fontId="3" fillId="7" borderId="19" xfId="0" applyNumberFormat="1" applyFont="1" applyFill="1" applyBorder="1" applyAlignment="1">
      <alignment horizontal="left" vertical="top" wrapText="1"/>
    </xf>
    <xf numFmtId="165" fontId="3" fillId="7" borderId="37" xfId="0" applyNumberFormat="1" applyFont="1" applyFill="1" applyBorder="1" applyAlignment="1">
      <alignment horizontal="left" vertical="top" wrapText="1"/>
    </xf>
    <xf numFmtId="166" fontId="5" fillId="8" borderId="34" xfId="0" applyNumberFormat="1" applyFont="1" applyFill="1" applyBorder="1" applyAlignment="1">
      <alignment vertical="top"/>
    </xf>
    <xf numFmtId="166" fontId="3" fillId="7" borderId="107" xfId="0" applyNumberFormat="1" applyFont="1" applyFill="1" applyBorder="1" applyAlignment="1">
      <alignment horizontal="right" vertical="top" wrapText="1"/>
    </xf>
    <xf numFmtId="166" fontId="3" fillId="7" borderId="76" xfId="0" applyNumberFormat="1" applyFont="1" applyFill="1" applyBorder="1" applyAlignment="1">
      <alignment horizontal="right" vertical="top"/>
    </xf>
    <xf numFmtId="166" fontId="3" fillId="7" borderId="36" xfId="0" applyNumberFormat="1" applyFont="1" applyFill="1" applyBorder="1" applyAlignment="1">
      <alignment horizontal="right" vertical="top" wrapText="1"/>
    </xf>
    <xf numFmtId="166" fontId="5" fillId="8" borderId="48" xfId="0" applyNumberFormat="1" applyFont="1" applyFill="1" applyBorder="1" applyAlignment="1">
      <alignment horizontal="right" vertical="top"/>
    </xf>
    <xf numFmtId="166" fontId="3" fillId="0" borderId="16" xfId="0" applyNumberFormat="1" applyFont="1" applyBorder="1" applyAlignment="1">
      <alignment horizontal="right" vertical="top"/>
    </xf>
    <xf numFmtId="166" fontId="3" fillId="0" borderId="17" xfId="0" applyNumberFormat="1" applyFont="1" applyBorder="1" applyAlignment="1">
      <alignment horizontal="right" vertical="top"/>
    </xf>
    <xf numFmtId="166" fontId="3" fillId="7" borderId="86" xfId="0" applyNumberFormat="1" applyFont="1" applyFill="1" applyBorder="1" applyAlignment="1">
      <alignment horizontal="right" vertical="top" wrapText="1"/>
    </xf>
    <xf numFmtId="166" fontId="3" fillId="7" borderId="88" xfId="0" applyNumberFormat="1" applyFont="1" applyFill="1" applyBorder="1" applyAlignment="1">
      <alignment horizontal="right" vertical="top" wrapText="1"/>
    </xf>
    <xf numFmtId="166" fontId="3" fillId="3" borderId="92" xfId="0" applyNumberFormat="1" applyFont="1" applyFill="1" applyBorder="1" applyAlignment="1">
      <alignment horizontal="right" vertical="top" wrapText="1"/>
    </xf>
    <xf numFmtId="166" fontId="3" fillId="3" borderId="93" xfId="0" applyNumberFormat="1" applyFont="1" applyFill="1" applyBorder="1" applyAlignment="1">
      <alignment horizontal="right" vertical="top" wrapText="1"/>
    </xf>
    <xf numFmtId="166" fontId="3" fillId="7" borderId="94" xfId="0" applyNumberFormat="1" applyFont="1" applyFill="1" applyBorder="1" applyAlignment="1">
      <alignment horizontal="right" vertical="top" wrapText="1"/>
    </xf>
    <xf numFmtId="166" fontId="3" fillId="3" borderId="116" xfId="0" applyNumberFormat="1" applyFont="1" applyFill="1" applyBorder="1" applyAlignment="1">
      <alignment horizontal="right" vertical="top" wrapText="1"/>
    </xf>
    <xf numFmtId="166" fontId="3" fillId="3" borderId="117" xfId="0" applyNumberFormat="1" applyFont="1" applyFill="1" applyBorder="1" applyAlignment="1">
      <alignment horizontal="right" vertical="top" wrapText="1"/>
    </xf>
    <xf numFmtId="166" fontId="3" fillId="7" borderId="120" xfId="0" applyNumberFormat="1" applyFont="1" applyFill="1" applyBorder="1" applyAlignment="1">
      <alignment horizontal="right" vertical="top" wrapText="1"/>
    </xf>
    <xf numFmtId="166" fontId="3" fillId="3" borderId="7" xfId="0" applyNumberFormat="1" applyFont="1" applyFill="1" applyBorder="1" applyAlignment="1">
      <alignment horizontal="right" vertical="top" wrapText="1"/>
    </xf>
    <xf numFmtId="166" fontId="3" fillId="7" borderId="18" xfId="0" applyNumberFormat="1" applyFont="1" applyFill="1" applyBorder="1" applyAlignment="1">
      <alignment horizontal="right" vertical="top" wrapText="1"/>
    </xf>
    <xf numFmtId="166" fontId="3" fillId="7" borderId="38" xfId="0" applyNumberFormat="1" applyFont="1" applyFill="1" applyBorder="1" applyAlignment="1">
      <alignment horizontal="right" vertical="top" wrapText="1"/>
    </xf>
    <xf numFmtId="166" fontId="3" fillId="7" borderId="21" xfId="0" applyNumberFormat="1" applyFont="1" applyFill="1" applyBorder="1" applyAlignment="1">
      <alignment horizontal="right" vertical="top" wrapText="1"/>
    </xf>
    <xf numFmtId="166" fontId="3" fillId="3" borderId="30" xfId="0" applyNumberFormat="1" applyFont="1" applyFill="1" applyBorder="1" applyAlignment="1">
      <alignment horizontal="right" vertical="top" wrapText="1"/>
    </xf>
    <xf numFmtId="166" fontId="3" fillId="3" borderId="38" xfId="0" applyNumberFormat="1" applyFont="1" applyFill="1" applyBorder="1" applyAlignment="1">
      <alignment horizontal="right" vertical="top" wrapText="1"/>
    </xf>
    <xf numFmtId="166" fontId="3" fillId="3" borderId="20" xfId="0" applyNumberFormat="1" applyFont="1" applyFill="1" applyBorder="1" applyAlignment="1">
      <alignment horizontal="right" vertical="top" wrapText="1"/>
    </xf>
    <xf numFmtId="166" fontId="3" fillId="7" borderId="7" xfId="0" applyNumberFormat="1" applyFont="1" applyFill="1" applyBorder="1" applyAlignment="1">
      <alignment horizontal="right" vertical="top" wrapText="1"/>
    </xf>
    <xf numFmtId="166" fontId="3" fillId="0" borderId="30" xfId="0" applyNumberFormat="1" applyFont="1" applyFill="1" applyBorder="1" applyAlignment="1">
      <alignment horizontal="right" vertical="top"/>
    </xf>
    <xf numFmtId="166" fontId="3" fillId="7" borderId="30" xfId="0" applyNumberFormat="1" applyFont="1" applyFill="1" applyBorder="1" applyAlignment="1">
      <alignment horizontal="right" vertical="top" wrapText="1"/>
    </xf>
    <xf numFmtId="166" fontId="3" fillId="7" borderId="38" xfId="0" applyNumberFormat="1" applyFont="1" applyFill="1" applyBorder="1" applyAlignment="1">
      <alignment horizontal="right" vertical="top"/>
    </xf>
    <xf numFmtId="166" fontId="3" fillId="7" borderId="21" xfId="0" applyNumberFormat="1" applyFont="1" applyFill="1" applyBorder="1" applyAlignment="1">
      <alignment horizontal="right" vertical="top"/>
    </xf>
    <xf numFmtId="0" fontId="24" fillId="7" borderId="86" xfId="0" applyNumberFormat="1" applyFont="1" applyFill="1" applyBorder="1" applyAlignment="1">
      <alignment horizontal="right" vertical="top"/>
    </xf>
    <xf numFmtId="0" fontId="24" fillId="7" borderId="87" xfId="0" applyNumberFormat="1" applyFont="1" applyFill="1" applyBorder="1" applyAlignment="1">
      <alignment horizontal="right" vertical="top"/>
    </xf>
    <xf numFmtId="166" fontId="3" fillId="7" borderId="116" xfId="0" applyNumberFormat="1" applyFont="1" applyFill="1" applyBorder="1" applyAlignment="1">
      <alignment horizontal="right" vertical="top"/>
    </xf>
    <xf numFmtId="166" fontId="3" fillId="7" borderId="120" xfId="0" applyNumberFormat="1" applyFont="1" applyFill="1" applyBorder="1" applyAlignment="1">
      <alignment horizontal="right" vertical="top"/>
    </xf>
    <xf numFmtId="166" fontId="3" fillId="7" borderId="30" xfId="0" applyNumberFormat="1" applyFont="1" applyFill="1" applyBorder="1" applyAlignment="1">
      <alignment horizontal="right" vertical="top"/>
    </xf>
    <xf numFmtId="166" fontId="3" fillId="3" borderId="18" xfId="0" applyNumberFormat="1" applyFont="1" applyFill="1" applyBorder="1" applyAlignment="1">
      <alignment horizontal="right" vertical="top" wrapText="1"/>
    </xf>
    <xf numFmtId="166" fontId="3" fillId="3" borderId="88" xfId="0" applyNumberFormat="1" applyFont="1" applyFill="1" applyBorder="1" applyAlignment="1">
      <alignment horizontal="right" vertical="top" wrapText="1"/>
    </xf>
    <xf numFmtId="166" fontId="3" fillId="0" borderId="29" xfId="0" applyNumberFormat="1" applyFont="1" applyBorder="1" applyAlignment="1">
      <alignment vertical="top"/>
    </xf>
    <xf numFmtId="166" fontId="5" fillId="8" borderId="7" xfId="0" applyNumberFormat="1" applyFont="1" applyFill="1" applyBorder="1" applyAlignment="1">
      <alignment horizontal="right" vertical="top"/>
    </xf>
    <xf numFmtId="166" fontId="5" fillId="8" borderId="18" xfId="0" applyNumberFormat="1" applyFont="1" applyFill="1" applyBorder="1" applyAlignment="1">
      <alignment horizontal="right" vertical="top"/>
    </xf>
    <xf numFmtId="166" fontId="3" fillId="7" borderId="12" xfId="0" applyNumberFormat="1" applyFont="1" applyFill="1" applyBorder="1" applyAlignment="1">
      <alignment horizontal="right" vertical="top"/>
    </xf>
    <xf numFmtId="166" fontId="3" fillId="7" borderId="15" xfId="0" applyNumberFormat="1" applyFont="1" applyFill="1" applyBorder="1" applyAlignment="1">
      <alignment horizontal="right" vertical="top"/>
    </xf>
    <xf numFmtId="166" fontId="24" fillId="7" borderId="30" xfId="0" applyNumberFormat="1" applyFont="1" applyFill="1" applyBorder="1" applyAlignment="1">
      <alignment horizontal="right" vertical="top" wrapText="1"/>
    </xf>
    <xf numFmtId="166" fontId="24" fillId="7" borderId="29" xfId="0" applyNumberFormat="1" applyFont="1" applyFill="1" applyBorder="1" applyAlignment="1">
      <alignment horizontal="right" vertical="top" wrapText="1"/>
    </xf>
    <xf numFmtId="166" fontId="3" fillId="7" borderId="18" xfId="0" applyNumberFormat="1" applyFont="1" applyFill="1" applyBorder="1" applyAlignment="1">
      <alignment horizontal="right" vertical="top"/>
    </xf>
    <xf numFmtId="166" fontId="3" fillId="3" borderId="28" xfId="0" applyNumberFormat="1" applyFont="1" applyFill="1" applyBorder="1" applyAlignment="1">
      <alignment horizontal="right" vertical="top" wrapText="1"/>
    </xf>
    <xf numFmtId="166" fontId="24" fillId="7" borderId="30" xfId="0" applyNumberFormat="1" applyFont="1" applyFill="1" applyBorder="1" applyAlignment="1">
      <alignment horizontal="right" vertical="top"/>
    </xf>
    <xf numFmtId="166" fontId="24" fillId="7" borderId="29" xfId="0" applyNumberFormat="1" applyFont="1" applyFill="1" applyBorder="1" applyAlignment="1">
      <alignment horizontal="right" vertical="top"/>
    </xf>
    <xf numFmtId="166" fontId="5" fillId="8" borderId="38" xfId="0" applyNumberFormat="1" applyFont="1" applyFill="1" applyBorder="1" applyAlignment="1">
      <alignment horizontal="right" vertical="top"/>
    </xf>
    <xf numFmtId="166" fontId="3" fillId="3" borderId="5" xfId="0" applyNumberFormat="1" applyFont="1" applyFill="1" applyBorder="1" applyAlignment="1">
      <alignment horizontal="right" vertical="top"/>
    </xf>
    <xf numFmtId="166" fontId="3" fillId="3" borderId="27" xfId="0" applyNumberFormat="1" applyFont="1" applyFill="1" applyBorder="1" applyAlignment="1">
      <alignment horizontal="right" vertical="top"/>
    </xf>
    <xf numFmtId="166" fontId="3" fillId="3" borderId="30" xfId="0" applyNumberFormat="1" applyFont="1" applyFill="1" applyBorder="1" applyAlignment="1">
      <alignment horizontal="right" vertical="top"/>
    </xf>
    <xf numFmtId="166" fontId="3" fillId="3" borderId="28" xfId="0" applyNumberFormat="1" applyFont="1" applyFill="1" applyBorder="1" applyAlignment="1">
      <alignment horizontal="right" vertical="top"/>
    </xf>
    <xf numFmtId="166" fontId="3" fillId="3" borderId="12" xfId="0" applyNumberFormat="1" applyFont="1" applyFill="1" applyBorder="1" applyAlignment="1">
      <alignment horizontal="right" vertical="top"/>
    </xf>
    <xf numFmtId="166" fontId="3" fillId="3" borderId="15" xfId="0" applyNumberFormat="1" applyFont="1" applyFill="1" applyBorder="1" applyAlignment="1">
      <alignment horizontal="right" vertical="top"/>
    </xf>
    <xf numFmtId="166" fontId="3" fillId="0" borderId="28" xfId="0" applyNumberFormat="1" applyFont="1" applyFill="1" applyBorder="1" applyAlignment="1">
      <alignment horizontal="right" vertical="top"/>
    </xf>
    <xf numFmtId="166" fontId="5" fillId="8" borderId="9" xfId="0" applyNumberFormat="1" applyFont="1" applyFill="1" applyBorder="1" applyAlignment="1">
      <alignment horizontal="right" vertical="top"/>
    </xf>
    <xf numFmtId="166" fontId="5" fillId="3" borderId="5" xfId="0" applyNumberFormat="1" applyFont="1" applyFill="1" applyBorder="1" applyAlignment="1">
      <alignment horizontal="right" vertical="top"/>
    </xf>
    <xf numFmtId="166" fontId="5" fillId="3" borderId="26" xfId="0" applyNumberFormat="1" applyFont="1" applyFill="1" applyBorder="1" applyAlignment="1">
      <alignment horizontal="right" vertical="top"/>
    </xf>
    <xf numFmtId="166" fontId="5" fillId="3" borderId="27" xfId="0" applyNumberFormat="1" applyFont="1" applyFill="1" applyBorder="1" applyAlignment="1">
      <alignment horizontal="right" vertical="top"/>
    </xf>
    <xf numFmtId="166" fontId="3" fillId="3" borderId="86" xfId="0" applyNumberFormat="1" applyFont="1" applyFill="1" applyBorder="1" applyAlignment="1">
      <alignment horizontal="right" vertical="top" wrapText="1"/>
    </xf>
    <xf numFmtId="166" fontId="3" fillId="3" borderId="87" xfId="0" applyNumberFormat="1" applyFont="1" applyFill="1" applyBorder="1" applyAlignment="1">
      <alignment horizontal="right" vertical="top" wrapText="1"/>
    </xf>
    <xf numFmtId="166" fontId="3" fillId="7" borderId="116" xfId="0" applyNumberFormat="1" applyFont="1" applyFill="1" applyBorder="1" applyAlignment="1">
      <alignment horizontal="right" vertical="top" wrapText="1"/>
    </xf>
    <xf numFmtId="166" fontId="3" fillId="7" borderId="117" xfId="0" applyNumberFormat="1" applyFont="1" applyFill="1" applyBorder="1" applyAlignment="1">
      <alignment horizontal="right" vertical="top" wrapText="1"/>
    </xf>
    <xf numFmtId="166" fontId="5" fillId="3" borderId="30" xfId="0" applyNumberFormat="1" applyFont="1" applyFill="1" applyBorder="1" applyAlignment="1">
      <alignment horizontal="right" vertical="top"/>
    </xf>
    <xf numFmtId="166" fontId="5" fillId="3" borderId="29" xfId="0" applyNumberFormat="1" applyFont="1" applyFill="1" applyBorder="1" applyAlignment="1">
      <alignment horizontal="right" vertical="top"/>
    </xf>
    <xf numFmtId="166" fontId="5" fillId="3" borderId="28" xfId="0" applyNumberFormat="1" applyFont="1" applyFill="1" applyBorder="1" applyAlignment="1">
      <alignment horizontal="right" vertical="top"/>
    </xf>
    <xf numFmtId="166" fontId="29" fillId="7" borderId="21" xfId="0" applyNumberFormat="1" applyFont="1" applyFill="1" applyBorder="1" applyAlignment="1">
      <alignment horizontal="right" vertical="top" wrapText="1"/>
    </xf>
    <xf numFmtId="166" fontId="29" fillId="7" borderId="28" xfId="0" applyNumberFormat="1" applyFont="1" applyFill="1" applyBorder="1" applyAlignment="1">
      <alignment horizontal="right" vertical="top"/>
    </xf>
    <xf numFmtId="166" fontId="29" fillId="7" borderId="18" xfId="0" applyNumberFormat="1" applyFont="1" applyFill="1" applyBorder="1" applyAlignment="1">
      <alignment horizontal="right" vertical="top"/>
    </xf>
    <xf numFmtId="166" fontId="9" fillId="7" borderId="7" xfId="0" applyNumberFormat="1" applyFont="1" applyFill="1" applyBorder="1" applyAlignment="1">
      <alignment vertical="top" wrapText="1"/>
    </xf>
    <xf numFmtId="166" fontId="9" fillId="7" borderId="11" xfId="0" applyNumberFormat="1" applyFont="1" applyFill="1" applyBorder="1" applyAlignment="1">
      <alignment vertical="top" wrapText="1"/>
    </xf>
    <xf numFmtId="166" fontId="3" fillId="3" borderId="16" xfId="0" applyNumberFormat="1" applyFont="1" applyFill="1" applyBorder="1" applyAlignment="1">
      <alignment horizontal="right" vertical="top"/>
    </xf>
    <xf numFmtId="166" fontId="3" fillId="3" borderId="1" xfId="0" applyNumberFormat="1" applyFont="1" applyFill="1" applyBorder="1" applyAlignment="1">
      <alignment horizontal="right" vertical="top"/>
    </xf>
    <xf numFmtId="166" fontId="3" fillId="3" borderId="17" xfId="0" applyNumberFormat="1" applyFont="1" applyFill="1" applyBorder="1" applyAlignment="1">
      <alignment horizontal="right" vertical="top"/>
    </xf>
    <xf numFmtId="166" fontId="3" fillId="7" borderId="16" xfId="0" applyNumberFormat="1" applyFont="1" applyFill="1" applyBorder="1" applyAlignment="1">
      <alignment vertical="top" wrapText="1"/>
    </xf>
    <xf numFmtId="166" fontId="3" fillId="7" borderId="1" xfId="0" applyNumberFormat="1" applyFont="1" applyFill="1" applyBorder="1" applyAlignment="1">
      <alignment vertical="top" wrapText="1"/>
    </xf>
    <xf numFmtId="166" fontId="3" fillId="7" borderId="17" xfId="0" applyNumberFormat="1" applyFont="1" applyFill="1" applyBorder="1" applyAlignment="1">
      <alignment horizontal="right" vertical="top"/>
    </xf>
    <xf numFmtId="166" fontId="3" fillId="3" borderId="12" xfId="0" applyNumberFormat="1" applyFont="1" applyFill="1" applyBorder="1" applyAlignment="1">
      <alignment horizontal="right" vertical="top" wrapText="1"/>
    </xf>
    <xf numFmtId="166" fontId="3" fillId="3" borderId="13" xfId="0" applyNumberFormat="1" applyFont="1" applyFill="1" applyBorder="1" applyAlignment="1">
      <alignment horizontal="right" vertical="top" wrapText="1"/>
    </xf>
    <xf numFmtId="166" fontId="3" fillId="3" borderId="15" xfId="0" applyNumberFormat="1" applyFont="1" applyFill="1" applyBorder="1" applyAlignment="1">
      <alignment horizontal="right" vertical="top" wrapText="1"/>
    </xf>
    <xf numFmtId="166" fontId="3" fillId="3" borderId="16" xfId="0" applyNumberFormat="1" applyFont="1" applyFill="1" applyBorder="1" applyAlignment="1">
      <alignment horizontal="right" vertical="top" wrapText="1"/>
    </xf>
    <xf numFmtId="166" fontId="3" fillId="3" borderId="1" xfId="0" applyNumberFormat="1" applyFont="1" applyFill="1" applyBorder="1" applyAlignment="1">
      <alignment horizontal="right" vertical="top" wrapText="1"/>
    </xf>
    <xf numFmtId="166" fontId="3" fillId="3" borderId="17" xfId="0" applyNumberFormat="1" applyFont="1" applyFill="1" applyBorder="1" applyAlignment="1">
      <alignment horizontal="right" vertical="top" wrapText="1"/>
    </xf>
    <xf numFmtId="166" fontId="3" fillId="3" borderId="30" xfId="1" applyNumberFormat="1" applyFont="1" applyFill="1" applyBorder="1" applyAlignment="1">
      <alignment horizontal="right" vertical="top" wrapText="1"/>
    </xf>
    <xf numFmtId="166" fontId="3" fillId="3" borderId="29" xfId="1" applyNumberFormat="1" applyFont="1" applyFill="1" applyBorder="1" applyAlignment="1">
      <alignment horizontal="right" vertical="top" wrapText="1"/>
    </xf>
    <xf numFmtId="166" fontId="3" fillId="3" borderId="28" xfId="1" applyNumberFormat="1" applyFont="1" applyFill="1" applyBorder="1" applyAlignment="1">
      <alignment horizontal="right" vertical="top" wrapText="1"/>
    </xf>
    <xf numFmtId="166" fontId="5" fillId="2" borderId="9" xfId="0" applyNumberFormat="1" applyFont="1" applyFill="1" applyBorder="1" applyAlignment="1">
      <alignment horizontal="right" vertical="top"/>
    </xf>
    <xf numFmtId="166" fontId="3" fillId="7" borderId="16" xfId="0" applyNumberFormat="1" applyFont="1" applyFill="1" applyBorder="1" applyAlignment="1">
      <alignment horizontal="right" vertical="top"/>
    </xf>
    <xf numFmtId="166" fontId="3" fillId="0" borderId="46" xfId="0" applyNumberFormat="1" applyFont="1" applyBorder="1" applyAlignment="1">
      <alignment vertical="top"/>
    </xf>
    <xf numFmtId="166" fontId="3" fillId="0" borderId="112" xfId="0" applyNumberFormat="1" applyFont="1" applyBorder="1" applyAlignment="1">
      <alignment vertical="top"/>
    </xf>
    <xf numFmtId="166" fontId="3" fillId="0" borderId="67" xfId="0" applyNumberFormat="1" applyFont="1" applyBorder="1" applyAlignment="1">
      <alignment vertical="top"/>
    </xf>
    <xf numFmtId="166" fontId="3" fillId="7" borderId="112" xfId="0" applyNumberFormat="1" applyFont="1" applyFill="1" applyBorder="1" applyAlignment="1">
      <alignment horizontal="right" vertical="top" wrapText="1"/>
    </xf>
    <xf numFmtId="166" fontId="5" fillId="8" borderId="62" xfId="0" applyNumberFormat="1" applyFont="1" applyFill="1" applyBorder="1" applyAlignment="1">
      <alignment horizontal="right" vertical="top"/>
    </xf>
    <xf numFmtId="166" fontId="3" fillId="0" borderId="26" xfId="0" applyNumberFormat="1" applyFont="1" applyBorder="1" applyAlignment="1">
      <alignment vertical="top"/>
    </xf>
    <xf numFmtId="166" fontId="3" fillId="0" borderId="93" xfId="0" applyNumberFormat="1" applyFont="1" applyBorder="1" applyAlignment="1">
      <alignment vertical="top"/>
    </xf>
    <xf numFmtId="166" fontId="3" fillId="7" borderId="93" xfId="0" applyNumberFormat="1" applyFont="1" applyFill="1" applyBorder="1" applyAlignment="1">
      <alignment horizontal="right" vertical="top" wrapText="1"/>
    </xf>
    <xf numFmtId="166" fontId="3" fillId="7" borderId="91" xfId="0" applyNumberFormat="1" applyFont="1" applyFill="1" applyBorder="1" applyAlignment="1">
      <alignment horizontal="right" vertical="top" wrapText="1"/>
    </xf>
    <xf numFmtId="166" fontId="3" fillId="7" borderId="115" xfId="0" applyNumberFormat="1" applyFont="1" applyFill="1" applyBorder="1" applyAlignment="1">
      <alignment horizontal="right" vertical="top" wrapText="1"/>
    </xf>
    <xf numFmtId="166" fontId="3" fillId="0" borderId="52" xfId="0" applyNumberFormat="1" applyFont="1" applyBorder="1" applyAlignment="1">
      <alignment vertical="top"/>
    </xf>
    <xf numFmtId="166" fontId="29" fillId="7" borderId="105" xfId="0" applyNumberFormat="1" applyFont="1" applyFill="1" applyBorder="1" applyAlignment="1">
      <alignment horizontal="right" vertical="top" wrapText="1"/>
    </xf>
    <xf numFmtId="166" fontId="3" fillId="0" borderId="112" xfId="0" applyNumberFormat="1" applyFont="1" applyBorder="1" applyAlignment="1">
      <alignment horizontal="right" vertical="top"/>
    </xf>
    <xf numFmtId="166" fontId="3" fillId="0" borderId="26" xfId="0" applyNumberFormat="1" applyFont="1" applyBorder="1" applyAlignment="1">
      <alignment horizontal="right" vertical="top"/>
    </xf>
    <xf numFmtId="166" fontId="3" fillId="0" borderId="93" xfId="0" applyNumberFormat="1" applyFont="1" applyBorder="1" applyAlignment="1">
      <alignment horizontal="right" vertical="top"/>
    </xf>
    <xf numFmtId="166" fontId="3" fillId="7" borderId="107" xfId="0" applyNumberFormat="1" applyFont="1" applyFill="1" applyBorder="1" applyAlignment="1">
      <alignment horizontal="right" vertical="top"/>
    </xf>
    <xf numFmtId="166" fontId="3" fillId="0" borderId="107" xfId="0" applyNumberFormat="1" applyFont="1" applyBorder="1" applyAlignment="1">
      <alignment horizontal="right" vertical="top"/>
    </xf>
    <xf numFmtId="166" fontId="3" fillId="0" borderId="27" xfId="0" applyNumberFormat="1" applyFont="1" applyBorder="1" applyAlignment="1">
      <alignment horizontal="right" vertical="top"/>
    </xf>
    <xf numFmtId="166" fontId="3" fillId="0" borderId="92" xfId="0" applyNumberFormat="1" applyFont="1" applyBorder="1" applyAlignment="1">
      <alignment horizontal="right" vertical="top"/>
    </xf>
    <xf numFmtId="166" fontId="3" fillId="7" borderId="94" xfId="0" applyNumberFormat="1" applyFont="1" applyFill="1" applyBorder="1" applyAlignment="1">
      <alignment horizontal="right" vertical="top"/>
    </xf>
    <xf numFmtId="166" fontId="3" fillId="0" borderId="94" xfId="0" applyNumberFormat="1" applyFont="1" applyBorder="1" applyAlignment="1">
      <alignment horizontal="right" vertical="top"/>
    </xf>
    <xf numFmtId="166" fontId="3" fillId="0" borderId="28" xfId="0" applyNumberFormat="1" applyFont="1" applyBorder="1" applyAlignment="1">
      <alignment horizontal="right" vertical="top"/>
    </xf>
    <xf numFmtId="166" fontId="3" fillId="0" borderId="7" xfId="0" applyNumberFormat="1" applyFont="1" applyFill="1" applyBorder="1" applyAlignment="1">
      <alignment horizontal="right" vertical="top"/>
    </xf>
    <xf numFmtId="166" fontId="3" fillId="0" borderId="18" xfId="0" applyNumberFormat="1" applyFont="1" applyFill="1" applyBorder="1" applyAlignment="1">
      <alignment horizontal="right" vertical="top"/>
    </xf>
    <xf numFmtId="166" fontId="3" fillId="7" borderId="92" xfId="0" applyNumberFormat="1" applyFont="1" applyFill="1" applyBorder="1" applyAlignment="1">
      <alignment horizontal="right" vertical="top"/>
    </xf>
    <xf numFmtId="166" fontId="3" fillId="7" borderId="5" xfId="0" applyNumberFormat="1" applyFont="1" applyFill="1" applyBorder="1" applyAlignment="1">
      <alignment horizontal="right" vertical="top"/>
    </xf>
    <xf numFmtId="166" fontId="3" fillId="3" borderId="5" xfId="0" applyNumberFormat="1" applyFont="1" applyFill="1" applyBorder="1" applyAlignment="1">
      <alignment horizontal="right" vertical="top" wrapText="1"/>
    </xf>
    <xf numFmtId="166" fontId="3" fillId="3" borderId="26" xfId="0" applyNumberFormat="1" applyFont="1" applyFill="1" applyBorder="1" applyAlignment="1">
      <alignment horizontal="right" vertical="top" wrapText="1"/>
    </xf>
    <xf numFmtId="166" fontId="3" fillId="3" borderId="27" xfId="0" applyNumberFormat="1" applyFont="1" applyFill="1" applyBorder="1" applyAlignment="1">
      <alignment horizontal="right" vertical="top" wrapText="1"/>
    </xf>
    <xf numFmtId="166" fontId="5" fillId="7" borderId="0" xfId="0" applyNumberFormat="1" applyFont="1" applyFill="1" applyBorder="1" applyAlignment="1">
      <alignment horizontal="right" vertical="top" wrapText="1"/>
    </xf>
    <xf numFmtId="166" fontId="5" fillId="5" borderId="23" xfId="0" applyNumberFormat="1" applyFont="1" applyFill="1" applyBorder="1" applyAlignment="1">
      <alignment horizontal="right" vertical="top" wrapText="1"/>
    </xf>
    <xf numFmtId="166" fontId="5" fillId="8" borderId="39" xfId="0" applyNumberFormat="1" applyFont="1" applyFill="1" applyBorder="1" applyAlignment="1">
      <alignment horizontal="right" vertical="top" wrapText="1"/>
    </xf>
    <xf numFmtId="166" fontId="3" fillId="0" borderId="36" xfId="0" applyNumberFormat="1" applyFont="1" applyBorder="1" applyAlignment="1">
      <alignment horizontal="right" vertical="top"/>
    </xf>
    <xf numFmtId="166" fontId="3" fillId="8" borderId="36" xfId="0" applyNumberFormat="1" applyFont="1" applyFill="1" applyBorder="1" applyAlignment="1">
      <alignment horizontal="right" vertical="top"/>
    </xf>
    <xf numFmtId="166" fontId="5" fillId="4" borderId="58" xfId="0" applyNumberFormat="1" applyFont="1" applyFill="1" applyBorder="1" applyAlignment="1">
      <alignment horizontal="right" vertical="top"/>
    </xf>
    <xf numFmtId="166" fontId="5" fillId="5" borderId="15" xfId="0" applyNumberFormat="1" applyFont="1" applyFill="1" applyBorder="1" applyAlignment="1">
      <alignment horizontal="right" vertical="top" wrapText="1"/>
    </xf>
    <xf numFmtId="166" fontId="5" fillId="8" borderId="17" xfId="0" applyNumberFormat="1" applyFont="1" applyFill="1" applyBorder="1" applyAlignment="1">
      <alignment horizontal="right" vertical="top" wrapText="1"/>
    </xf>
    <xf numFmtId="166" fontId="3" fillId="8" borderId="28" xfId="0" applyNumberFormat="1" applyFont="1" applyFill="1" applyBorder="1" applyAlignment="1">
      <alignment horizontal="right" vertical="top"/>
    </xf>
    <xf numFmtId="166" fontId="5" fillId="5" borderId="17" xfId="0" applyNumberFormat="1" applyFont="1" applyFill="1" applyBorder="1" applyAlignment="1">
      <alignment horizontal="right" vertical="top" wrapText="1"/>
    </xf>
    <xf numFmtId="166" fontId="5" fillId="4" borderId="32" xfId="0" applyNumberFormat="1" applyFont="1" applyFill="1" applyBorder="1" applyAlignment="1">
      <alignment horizontal="right" vertical="top"/>
    </xf>
    <xf numFmtId="166" fontId="5" fillId="5" borderId="14" xfId="0" applyNumberFormat="1" applyFont="1" applyFill="1" applyBorder="1" applyAlignment="1">
      <alignment horizontal="right" vertical="top" wrapText="1"/>
    </xf>
    <xf numFmtId="166" fontId="5" fillId="5" borderId="39" xfId="0" applyNumberFormat="1" applyFont="1" applyFill="1" applyBorder="1" applyAlignment="1">
      <alignment horizontal="right" vertical="top" wrapText="1"/>
    </xf>
    <xf numFmtId="166" fontId="3" fillId="3" borderId="21" xfId="0" applyNumberFormat="1" applyFont="1" applyFill="1" applyBorder="1" applyAlignment="1">
      <alignment horizontal="right" vertical="top" wrapText="1"/>
    </xf>
    <xf numFmtId="166" fontId="24" fillId="3" borderId="30" xfId="0" applyNumberFormat="1" applyFont="1" applyFill="1" applyBorder="1" applyAlignment="1">
      <alignment horizontal="right" vertical="top" wrapText="1"/>
    </xf>
    <xf numFmtId="166" fontId="24" fillId="3" borderId="29" xfId="0" applyNumberFormat="1" applyFont="1" applyFill="1" applyBorder="1" applyAlignment="1">
      <alignment horizontal="right" vertical="top" wrapText="1"/>
    </xf>
    <xf numFmtId="166" fontId="29" fillId="7" borderId="20" xfId="0" applyNumberFormat="1" applyFont="1" applyFill="1" applyBorder="1" applyAlignment="1">
      <alignment horizontal="right" vertical="top"/>
    </xf>
    <xf numFmtId="166" fontId="29" fillId="3" borderId="20" xfId="0" applyNumberFormat="1" applyFont="1" applyFill="1" applyBorder="1" applyAlignment="1">
      <alignment horizontal="right" vertical="top" wrapText="1"/>
    </xf>
    <xf numFmtId="166" fontId="29" fillId="7" borderId="87" xfId="0" applyNumberFormat="1" applyFont="1" applyFill="1" applyBorder="1" applyAlignment="1">
      <alignment horizontal="right" vertical="top"/>
    </xf>
    <xf numFmtId="166" fontId="29" fillId="7" borderId="119" xfId="0" applyNumberFormat="1" applyFont="1" applyFill="1" applyBorder="1" applyAlignment="1">
      <alignment horizontal="right" vertical="top" wrapText="1"/>
    </xf>
    <xf numFmtId="166" fontId="29" fillId="7" borderId="63" xfId="0" applyNumberFormat="1" applyFont="1" applyFill="1" applyBorder="1" applyAlignment="1">
      <alignment horizontal="right" vertical="top"/>
    </xf>
    <xf numFmtId="166" fontId="29" fillId="7" borderId="21" xfId="0" applyNumberFormat="1" applyFont="1" applyFill="1" applyBorder="1" applyAlignment="1">
      <alignment horizontal="right" vertical="top"/>
    </xf>
    <xf numFmtId="49" fontId="30" fillId="0" borderId="11" xfId="0" applyNumberFormat="1" applyFont="1" applyFill="1" applyBorder="1" applyAlignment="1">
      <alignment horizontal="center" vertical="top" wrapText="1"/>
    </xf>
    <xf numFmtId="3" fontId="29" fillId="0" borderId="11" xfId="0" applyNumberFormat="1" applyFont="1" applyFill="1" applyBorder="1" applyAlignment="1">
      <alignment horizontal="center" vertical="top" wrapText="1"/>
    </xf>
    <xf numFmtId="49" fontId="30" fillId="3" borderId="20" xfId="0" applyNumberFormat="1" applyFont="1" applyFill="1" applyBorder="1" applyAlignment="1">
      <alignment horizontal="center" vertical="top"/>
    </xf>
    <xf numFmtId="3" fontId="29" fillId="3" borderId="20" xfId="0" applyNumberFormat="1" applyFont="1" applyFill="1" applyBorder="1" applyAlignment="1">
      <alignment horizontal="center" vertical="top"/>
    </xf>
    <xf numFmtId="49" fontId="30" fillId="3" borderId="93" xfId="0" applyNumberFormat="1" applyFont="1" applyFill="1" applyBorder="1" applyAlignment="1">
      <alignment horizontal="center" vertical="top"/>
    </xf>
    <xf numFmtId="3" fontId="29" fillId="3" borderId="93" xfId="0" applyNumberFormat="1" applyFont="1" applyFill="1" applyBorder="1" applyAlignment="1">
      <alignment horizontal="center" vertical="top"/>
    </xf>
    <xf numFmtId="166" fontId="29" fillId="7" borderId="11" xfId="0" applyNumberFormat="1" applyFont="1" applyFill="1" applyBorder="1" applyAlignment="1">
      <alignment horizontal="right" vertical="top"/>
    </xf>
    <xf numFmtId="166" fontId="29" fillId="7" borderId="0" xfId="0" applyNumberFormat="1" applyFont="1" applyFill="1" applyBorder="1" applyAlignment="1">
      <alignment horizontal="right" vertical="top" wrapText="1"/>
    </xf>
    <xf numFmtId="49" fontId="29" fillId="0" borderId="117"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0" fontId="3" fillId="7" borderId="7" xfId="0" applyFont="1" applyFill="1" applyBorder="1" applyAlignment="1">
      <alignment vertical="top" wrapText="1"/>
    </xf>
    <xf numFmtId="166" fontId="29" fillId="7" borderId="45" xfId="0" applyNumberFormat="1" applyFont="1" applyFill="1" applyBorder="1" applyAlignment="1">
      <alignment horizontal="right" vertical="top"/>
    </xf>
    <xf numFmtId="0" fontId="29" fillId="7" borderId="5" xfId="0" applyFont="1" applyFill="1" applyBorder="1" applyAlignment="1">
      <alignment vertical="top" wrapText="1"/>
    </xf>
    <xf numFmtId="3" fontId="29" fillId="7" borderId="26" xfId="0" applyNumberFormat="1" applyFont="1" applyFill="1" applyBorder="1" applyAlignment="1">
      <alignment horizontal="center" vertical="top"/>
    </xf>
    <xf numFmtId="166" fontId="9" fillId="7" borderId="7" xfId="0" applyNumberFormat="1" applyFont="1" applyFill="1" applyBorder="1" applyAlignment="1">
      <alignment horizontal="center" vertical="top" textRotation="90" wrapText="1"/>
    </xf>
    <xf numFmtId="166" fontId="9" fillId="7" borderId="30" xfId="0" applyNumberFormat="1" applyFont="1" applyFill="1" applyBorder="1" applyAlignment="1">
      <alignment horizontal="center" vertical="top" textRotation="90"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165" fontId="5" fillId="0" borderId="51"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11" fillId="0" borderId="58" xfId="0" applyFont="1" applyBorder="1" applyAlignment="1"/>
    <xf numFmtId="0" fontId="20" fillId="7" borderId="35" xfId="0" applyFont="1" applyFill="1" applyBorder="1" applyAlignment="1">
      <alignment horizontal="center" vertical="top" wrapText="1"/>
    </xf>
    <xf numFmtId="0" fontId="11" fillId="0" borderId="75" xfId="0" applyFont="1" applyBorder="1" applyAlignment="1"/>
    <xf numFmtId="0" fontId="11" fillId="0" borderId="32" xfId="0" applyFont="1" applyBorder="1" applyAlignment="1"/>
    <xf numFmtId="49" fontId="5" fillId="7" borderId="11" xfId="0" applyNumberFormat="1" applyFont="1" applyFill="1" applyBorder="1" applyAlignment="1">
      <alignment horizontal="center" vertical="top"/>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7" borderId="18" xfId="0" applyNumberFormat="1" applyFont="1" applyFill="1" applyBorder="1" applyAlignment="1">
      <alignment horizontal="center" vertical="top" wrapText="1"/>
    </xf>
    <xf numFmtId="0" fontId="3" fillId="3" borderId="7" xfId="0" applyFont="1" applyFill="1" applyBorder="1" applyAlignment="1">
      <alignment horizontal="left" vertical="top" wrapText="1"/>
    </xf>
    <xf numFmtId="0" fontId="11" fillId="0" borderId="9" xfId="0" applyFont="1" applyBorder="1" applyAlignment="1"/>
    <xf numFmtId="3" fontId="3" fillId="0" borderId="11" xfId="0" applyNumberFormat="1" applyFont="1" applyFill="1" applyBorder="1" applyAlignment="1">
      <alignment horizontal="center" vertical="top"/>
    </xf>
    <xf numFmtId="0" fontId="11" fillId="0" borderId="31" xfId="0" applyFont="1" applyBorder="1" applyAlignment="1"/>
    <xf numFmtId="3" fontId="3" fillId="0" borderId="18" xfId="0" applyNumberFormat="1" applyFont="1" applyFill="1" applyBorder="1" applyAlignment="1">
      <alignment horizontal="center" vertical="top"/>
    </xf>
    <xf numFmtId="0" fontId="5" fillId="0" borderId="35" xfId="0" applyFont="1" applyFill="1" applyBorder="1" applyAlignment="1">
      <alignment horizontal="center" vertical="top" wrapText="1"/>
    </xf>
    <xf numFmtId="49" fontId="5" fillId="9" borderId="16" xfId="0" applyNumberFormat="1" applyFont="1" applyFill="1" applyBorder="1" applyAlignment="1">
      <alignment horizontal="center" vertical="top"/>
    </xf>
    <xf numFmtId="0" fontId="3" fillId="7" borderId="16" xfId="0" applyFont="1" applyFill="1" applyBorder="1" applyAlignment="1">
      <alignment horizontal="left" vertical="top" wrapText="1"/>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165" fontId="3" fillId="7" borderId="35" xfId="0" applyNumberFormat="1" applyFont="1" applyFill="1" applyBorder="1" applyAlignment="1">
      <alignment horizontal="left" vertical="center" textRotation="90" wrapText="1"/>
    </xf>
    <xf numFmtId="0" fontId="3" fillId="3" borderId="18" xfId="0" applyFont="1" applyFill="1" applyBorder="1" applyAlignment="1">
      <alignment vertical="top" wrapText="1"/>
    </xf>
    <xf numFmtId="0" fontId="3" fillId="7" borderId="7" xfId="0" applyFont="1" applyFill="1" applyBorder="1" applyAlignment="1">
      <alignment horizontal="left" vertical="top" wrapText="1"/>
    </xf>
    <xf numFmtId="0" fontId="3" fillId="7" borderId="5" xfId="0" applyFont="1" applyFill="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3" fillId="7" borderId="88"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9" borderId="86"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87"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7" borderId="87"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0" fontId="3" fillId="7" borderId="35"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49" fontId="5" fillId="7" borderId="28" xfId="0" applyNumberFormat="1" applyFont="1" applyFill="1" applyBorder="1" applyAlignment="1">
      <alignment horizontal="center" vertical="top"/>
    </xf>
    <xf numFmtId="0" fontId="3" fillId="0"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67" xfId="0" applyFont="1" applyFill="1" applyBorder="1" applyAlignment="1">
      <alignment horizontal="left" vertical="top" wrapText="1"/>
    </xf>
    <xf numFmtId="0" fontId="5" fillId="7" borderId="18" xfId="0" applyFont="1" applyFill="1" applyBorder="1" applyAlignment="1">
      <alignment vertical="top" wrapText="1"/>
    </xf>
    <xf numFmtId="0" fontId="11" fillId="0" borderId="35" xfId="0" applyFont="1" applyBorder="1" applyAlignment="1"/>
    <xf numFmtId="0" fontId="11" fillId="0" borderId="11" xfId="0" applyFont="1" applyBorder="1" applyAlignment="1"/>
    <xf numFmtId="3" fontId="3" fillId="7" borderId="21" xfId="0" applyNumberFormat="1" applyFont="1" applyFill="1" applyBorder="1" applyAlignment="1">
      <alignment horizontal="center" vertical="top" wrapText="1"/>
    </xf>
    <xf numFmtId="0" fontId="3" fillId="7" borderId="49" xfId="0" applyFont="1" applyFill="1" applyBorder="1" applyAlignment="1">
      <alignment vertical="top" wrapText="1"/>
    </xf>
    <xf numFmtId="0" fontId="3" fillId="7" borderId="28" xfId="0" applyFont="1" applyFill="1" applyBorder="1" applyAlignment="1">
      <alignment horizontal="left" vertical="top" wrapText="1"/>
    </xf>
    <xf numFmtId="0" fontId="3" fillId="0" borderId="7" xfId="0" applyFont="1" applyBorder="1" applyAlignment="1">
      <alignment vertical="top" wrapText="1"/>
    </xf>
    <xf numFmtId="0" fontId="3" fillId="7" borderId="28" xfId="0" applyFont="1" applyFill="1" applyBorder="1" applyAlignment="1">
      <alignment vertical="top" wrapText="1"/>
    </xf>
    <xf numFmtId="3" fontId="3" fillId="7" borderId="11" xfId="0" applyNumberFormat="1" applyFont="1" applyFill="1" applyBorder="1" applyAlignment="1">
      <alignment horizontal="center" vertical="top" wrapText="1"/>
    </xf>
    <xf numFmtId="0" fontId="3" fillId="7" borderId="116" xfId="0" applyFont="1" applyFill="1" applyBorder="1" applyAlignment="1">
      <alignment horizontal="left" vertical="top" wrapText="1"/>
    </xf>
    <xf numFmtId="0" fontId="3" fillId="3" borderId="28" xfId="0" applyFont="1" applyFill="1" applyBorder="1" applyAlignment="1">
      <alignment vertical="top" wrapText="1"/>
    </xf>
    <xf numFmtId="0" fontId="18" fillId="0" borderId="7" xfId="0" applyFont="1" applyFill="1" applyBorder="1" applyAlignment="1">
      <alignment horizontal="left" vertical="top" wrapText="1"/>
    </xf>
    <xf numFmtId="0" fontId="3" fillId="7" borderId="8"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0" borderId="67" xfId="0" applyFont="1" applyFill="1" applyBorder="1" applyAlignment="1">
      <alignment horizontal="center" vertical="top" wrapText="1"/>
    </xf>
    <xf numFmtId="0" fontId="5" fillId="0" borderId="71" xfId="0" applyFont="1" applyBorder="1" applyAlignment="1">
      <alignment horizontal="center" vertical="center" wrapText="1"/>
    </xf>
    <xf numFmtId="0" fontId="11" fillId="7" borderId="28" xfId="0" applyFont="1" applyFill="1" applyBorder="1" applyAlignment="1">
      <alignment vertical="top" wrapText="1"/>
    </xf>
    <xf numFmtId="165" fontId="3" fillId="7" borderId="49" xfId="0" applyNumberFormat="1" applyFont="1" applyFill="1" applyBorder="1" applyAlignment="1">
      <alignment horizontal="left" vertical="top" wrapText="1"/>
    </xf>
    <xf numFmtId="0" fontId="3" fillId="3" borderId="94" xfId="0" applyFont="1" applyFill="1" applyBorder="1" applyAlignment="1">
      <alignment horizontal="left" vertical="top" wrapText="1"/>
    </xf>
    <xf numFmtId="49" fontId="3" fillId="0" borderId="11" xfId="0" applyNumberFormat="1" applyFont="1" applyFill="1" applyBorder="1" applyAlignment="1">
      <alignment horizontal="center" vertical="center" wrapText="1"/>
    </xf>
    <xf numFmtId="0" fontId="3" fillId="0" borderId="6" xfId="0" applyFont="1" applyBorder="1" applyAlignment="1">
      <alignment horizontal="center" vertical="top" wrapText="1"/>
    </xf>
    <xf numFmtId="3" fontId="3" fillId="7" borderId="0" xfId="0" applyNumberFormat="1" applyFont="1" applyFill="1" applyAlignment="1">
      <alignment vertical="top"/>
    </xf>
    <xf numFmtId="0" fontId="3" fillId="7" borderId="30" xfId="0" applyFont="1" applyFill="1" applyBorder="1" applyAlignment="1">
      <alignment horizontal="left" vertical="top" wrapText="1"/>
    </xf>
    <xf numFmtId="3" fontId="3" fillId="0" borderId="11" xfId="0"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3" fontId="3" fillId="0" borderId="18" xfId="0" applyNumberFormat="1" applyFont="1" applyFill="1" applyBorder="1" applyAlignment="1">
      <alignment horizontal="center" vertical="center"/>
    </xf>
    <xf numFmtId="0" fontId="5" fillId="3" borderId="38" xfId="0" applyFont="1" applyFill="1" applyBorder="1" applyAlignment="1">
      <alignment horizontal="center" vertical="top" wrapText="1"/>
    </xf>
    <xf numFmtId="166" fontId="3" fillId="3" borderId="41" xfId="0" applyNumberFormat="1" applyFont="1" applyFill="1" applyBorder="1" applyAlignment="1">
      <alignment horizontal="right" vertical="top"/>
    </xf>
    <xf numFmtId="166" fontId="29" fillId="7" borderId="93" xfId="0" applyNumberFormat="1" applyFont="1" applyFill="1" applyBorder="1" applyAlignment="1">
      <alignment horizontal="right" vertical="top"/>
    </xf>
    <xf numFmtId="166" fontId="3" fillId="7" borderId="92" xfId="0" applyNumberFormat="1" applyFont="1" applyFill="1" applyBorder="1" applyAlignment="1">
      <alignment horizontal="righ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11" fillId="0" borderId="18" xfId="0" applyFont="1" applyBorder="1" applyAlignment="1">
      <alignment vertical="top" wrapText="1"/>
    </xf>
    <xf numFmtId="0" fontId="3" fillId="7" borderId="5" xfId="0" applyFont="1" applyFill="1" applyBorder="1" applyAlignment="1">
      <alignmen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3" fillId="7" borderId="7" xfId="0" applyFont="1" applyFill="1" applyBorder="1" applyAlignment="1">
      <alignment vertical="top" wrapText="1"/>
    </xf>
    <xf numFmtId="0" fontId="3" fillId="7" borderId="35" xfId="0" applyFont="1" applyFill="1" applyBorder="1" applyAlignment="1">
      <alignment horizontal="center" vertical="center" textRotation="90"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8" xfId="0" applyFont="1" applyFill="1" applyBorder="1" applyAlignment="1">
      <alignment horizontal="left" vertical="top" wrapText="1"/>
    </xf>
    <xf numFmtId="0" fontId="3" fillId="7" borderId="0" xfId="0" applyFont="1" applyFill="1" applyBorder="1" applyAlignment="1">
      <alignment horizontal="left" vertical="top" wrapText="1"/>
    </xf>
    <xf numFmtId="0" fontId="29" fillId="7" borderId="6" xfId="0" applyFont="1" applyFill="1" applyBorder="1" applyAlignment="1">
      <alignment vertical="top" wrapText="1"/>
    </xf>
    <xf numFmtId="0" fontId="3" fillId="0" borderId="33" xfId="0" applyFont="1" applyBorder="1" applyAlignment="1">
      <alignment horizontal="center" vertical="top"/>
    </xf>
    <xf numFmtId="3" fontId="29" fillId="7" borderId="41" xfId="0" applyNumberFormat="1" applyFont="1" applyFill="1" applyBorder="1" applyAlignment="1">
      <alignment vertical="top"/>
    </xf>
    <xf numFmtId="3" fontId="29" fillId="7" borderId="6" xfId="0" applyNumberFormat="1" applyFont="1" applyFill="1" applyBorder="1" applyAlignment="1">
      <alignment vertical="top"/>
    </xf>
    <xf numFmtId="3" fontId="31" fillId="6" borderId="72" xfId="0" applyNumberFormat="1" applyFont="1" applyFill="1" applyBorder="1"/>
    <xf numFmtId="3" fontId="31" fillId="11" borderId="44" xfId="0" applyNumberFormat="1" applyFont="1" applyFill="1" applyBorder="1"/>
    <xf numFmtId="3" fontId="29" fillId="9" borderId="44" xfId="0" applyNumberFormat="1" applyFont="1" applyFill="1" applyBorder="1" applyAlignment="1">
      <alignment vertical="top"/>
    </xf>
    <xf numFmtId="3" fontId="29" fillId="12" borderId="44" xfId="0" applyNumberFormat="1" applyFont="1" applyFill="1" applyBorder="1" applyAlignment="1">
      <alignment vertical="top"/>
    </xf>
    <xf numFmtId="0" fontId="29" fillId="0" borderId="23" xfId="0" applyFont="1" applyBorder="1" applyAlignment="1">
      <alignment vertical="top"/>
    </xf>
    <xf numFmtId="0" fontId="31" fillId="7" borderId="24" xfId="0" applyFont="1" applyFill="1" applyBorder="1" applyAlignment="1">
      <alignment vertical="top" wrapText="1"/>
    </xf>
    <xf numFmtId="0" fontId="29" fillId="0" borderId="41" xfId="0" applyFont="1" applyBorder="1" applyAlignment="1">
      <alignment vertical="top"/>
    </xf>
    <xf numFmtId="166" fontId="29" fillId="7" borderId="24" xfId="0" applyNumberFormat="1" applyFont="1" applyFill="1" applyBorder="1" applyAlignment="1">
      <alignment vertical="top"/>
    </xf>
    <xf numFmtId="0" fontId="29" fillId="7" borderId="24" xfId="0" applyFont="1" applyFill="1" applyBorder="1" applyAlignment="1">
      <alignment vertical="top"/>
    </xf>
    <xf numFmtId="0" fontId="31" fillId="7" borderId="69" xfId="0" applyFont="1" applyFill="1" applyBorder="1" applyAlignment="1">
      <alignment vertical="top"/>
    </xf>
    <xf numFmtId="0" fontId="29" fillId="0" borderId="10" xfId="0" applyFont="1" applyBorder="1" applyAlignment="1">
      <alignment vertical="top"/>
    </xf>
    <xf numFmtId="0" fontId="29" fillId="7" borderId="41" xfId="0" applyFont="1" applyFill="1" applyBorder="1" applyAlignment="1">
      <alignment vertical="top"/>
    </xf>
    <xf numFmtId="0" fontId="29" fillId="7" borderId="69" xfId="0" applyFont="1" applyFill="1" applyBorder="1" applyAlignment="1">
      <alignment vertical="top"/>
    </xf>
    <xf numFmtId="0" fontId="29" fillId="7" borderId="8" xfId="0" applyFont="1" applyFill="1" applyBorder="1" applyAlignment="1">
      <alignment vertical="top"/>
    </xf>
    <xf numFmtId="3" fontId="29" fillId="12" borderId="34" xfId="0" applyNumberFormat="1" applyFont="1" applyFill="1" applyBorder="1" applyAlignment="1">
      <alignment vertical="top"/>
    </xf>
    <xf numFmtId="165" fontId="29" fillId="7" borderId="6" xfId="0" applyNumberFormat="1" applyFont="1" applyFill="1" applyBorder="1" applyAlignment="1">
      <alignment vertical="top"/>
    </xf>
    <xf numFmtId="3" fontId="29" fillId="12" borderId="74" xfId="0" applyNumberFormat="1" applyFont="1" applyFill="1" applyBorder="1" applyAlignment="1">
      <alignment vertical="top"/>
    </xf>
    <xf numFmtId="0" fontId="29" fillId="7" borderId="6" xfId="0" applyFont="1" applyFill="1" applyBorder="1" applyAlignment="1">
      <alignment horizontal="left" vertical="top"/>
    </xf>
    <xf numFmtId="0" fontId="29" fillId="7" borderId="24" xfId="0" applyFont="1" applyFill="1" applyBorder="1" applyAlignment="1">
      <alignment horizontal="left" vertical="top"/>
    </xf>
    <xf numFmtId="165" fontId="29" fillId="7" borderId="6" xfId="0" applyNumberFormat="1" applyFont="1" applyFill="1" applyBorder="1" applyAlignment="1">
      <alignment vertical="top" wrapText="1"/>
    </xf>
    <xf numFmtId="3" fontId="29" fillId="12" borderId="52" xfId="0" applyNumberFormat="1" applyFont="1" applyFill="1" applyBorder="1" applyAlignment="1">
      <alignment vertical="top"/>
    </xf>
    <xf numFmtId="3" fontId="29" fillId="9" borderId="74" xfId="0" applyNumberFormat="1" applyFont="1" applyFill="1" applyBorder="1" applyAlignment="1">
      <alignment vertical="top"/>
    </xf>
    <xf numFmtId="3" fontId="29" fillId="11" borderId="34" xfId="0" applyNumberFormat="1" applyFont="1" applyFill="1" applyBorder="1" applyAlignment="1">
      <alignment vertical="top"/>
    </xf>
    <xf numFmtId="0" fontId="29" fillId="0" borderId="0" xfId="0" applyFont="1" applyFill="1" applyAlignment="1">
      <alignment vertical="top"/>
    </xf>
    <xf numFmtId="0" fontId="29" fillId="0" borderId="0" xfId="0" applyFont="1" applyBorder="1" applyAlignment="1">
      <alignment vertical="top"/>
    </xf>
    <xf numFmtId="166" fontId="29" fillId="7" borderId="26" xfId="0" applyNumberFormat="1" applyFont="1" applyFill="1" applyBorder="1" applyAlignment="1">
      <alignment horizontal="right" vertical="top"/>
    </xf>
    <xf numFmtId="166" fontId="29" fillId="0" borderId="26" xfId="0" applyNumberFormat="1" applyFont="1" applyBorder="1" applyAlignment="1">
      <alignment horizontal="right" vertical="top"/>
    </xf>
    <xf numFmtId="166" fontId="29" fillId="0" borderId="53" xfId="0" applyNumberFormat="1" applyFont="1" applyBorder="1" applyAlignment="1">
      <alignment horizontal="right" vertical="top"/>
    </xf>
    <xf numFmtId="166" fontId="29" fillId="7" borderId="20" xfId="0" applyNumberFormat="1" applyFont="1" applyFill="1" applyBorder="1" applyAlignment="1">
      <alignment horizontal="right" vertical="top" wrapText="1"/>
    </xf>
    <xf numFmtId="0" fontId="27" fillId="0" borderId="0" xfId="0" applyFont="1" applyAlignment="1">
      <alignment horizontal="right"/>
    </xf>
    <xf numFmtId="3" fontId="3" fillId="0" borderId="0" xfId="0" applyNumberFormat="1" applyFont="1" applyBorder="1" applyAlignment="1">
      <alignment horizontal="right" vertical="top"/>
    </xf>
    <xf numFmtId="166" fontId="29" fillId="7" borderId="1" xfId="0" applyNumberFormat="1" applyFont="1" applyFill="1" applyBorder="1" applyAlignment="1">
      <alignment horizontal="right" vertical="top"/>
    </xf>
    <xf numFmtId="166" fontId="29" fillId="3" borderId="66" xfId="0" applyNumberFormat="1" applyFont="1" applyFill="1" applyBorder="1" applyAlignment="1">
      <alignment horizontal="right" vertical="top" wrapText="1"/>
    </xf>
    <xf numFmtId="166" fontId="3" fillId="7" borderId="99" xfId="0" applyNumberFormat="1" applyFont="1" applyFill="1" applyBorder="1" applyAlignment="1">
      <alignment horizontal="right" vertical="top"/>
    </xf>
    <xf numFmtId="49" fontId="30" fillId="3" borderId="82" xfId="0" applyNumberFormat="1" applyFont="1" applyFill="1" applyBorder="1" applyAlignment="1">
      <alignment horizontal="center" vertical="top"/>
    </xf>
    <xf numFmtId="49" fontId="30" fillId="0" borderId="11" xfId="0" applyNumberFormat="1" applyFont="1" applyFill="1" applyBorder="1" applyAlignment="1">
      <alignment horizontal="center" vertical="center" wrapText="1"/>
    </xf>
    <xf numFmtId="49" fontId="29" fillId="3" borderId="11" xfId="0" applyNumberFormat="1" applyFont="1" applyFill="1" applyBorder="1" applyAlignment="1">
      <alignment horizontal="center" vertical="top"/>
    </xf>
    <xf numFmtId="166" fontId="3" fillId="7" borderId="23" xfId="0" applyNumberFormat="1" applyFont="1" applyFill="1" applyBorder="1" applyAlignment="1">
      <alignment horizontal="right" vertical="top"/>
    </xf>
    <xf numFmtId="166" fontId="29" fillId="7" borderId="29" xfId="0" applyNumberFormat="1" applyFont="1" applyFill="1" applyBorder="1" applyAlignment="1">
      <alignment horizontal="right" vertical="top"/>
    </xf>
    <xf numFmtId="166" fontId="29" fillId="7" borderId="78" xfId="0" applyNumberFormat="1" applyFont="1" applyFill="1" applyBorder="1" applyAlignment="1">
      <alignment horizontal="right" vertical="top" wrapText="1"/>
    </xf>
    <xf numFmtId="166" fontId="29" fillId="7" borderId="42" xfId="0" applyNumberFormat="1" applyFont="1" applyFill="1" applyBorder="1" applyAlignment="1">
      <alignment horizontal="right" vertical="top"/>
    </xf>
    <xf numFmtId="49" fontId="30" fillId="7" borderId="93" xfId="0" applyNumberFormat="1" applyFont="1" applyFill="1" applyBorder="1" applyAlignment="1">
      <alignment horizontal="center" vertical="top"/>
    </xf>
    <xf numFmtId="49" fontId="29" fillId="7" borderId="93" xfId="0" applyNumberFormat="1" applyFont="1" applyFill="1" applyBorder="1" applyAlignment="1">
      <alignment horizontal="center" vertical="top" wrapText="1"/>
    </xf>
    <xf numFmtId="166" fontId="29" fillId="7" borderId="13" xfId="0" applyNumberFormat="1" applyFont="1" applyFill="1" applyBorder="1" applyAlignment="1">
      <alignment horizontal="right" vertical="top"/>
    </xf>
    <xf numFmtId="165" fontId="3" fillId="7" borderId="6" xfId="0" applyNumberFormat="1" applyFont="1" applyFill="1" applyBorder="1" applyAlignment="1">
      <alignment vertical="top" wrapText="1"/>
    </xf>
    <xf numFmtId="166" fontId="29" fillId="0" borderId="66" xfId="0" applyNumberFormat="1" applyFont="1" applyBorder="1" applyAlignment="1">
      <alignment horizontal="right" vertical="top"/>
    </xf>
    <xf numFmtId="49" fontId="3" fillId="3" borderId="82" xfId="0" applyNumberFormat="1" applyFont="1" applyFill="1" applyBorder="1" applyAlignment="1">
      <alignment horizontal="center" vertical="top"/>
    </xf>
    <xf numFmtId="166" fontId="3" fillId="7" borderId="43" xfId="0" applyNumberFormat="1" applyFont="1" applyFill="1" applyBorder="1" applyAlignment="1">
      <alignment horizontal="right" vertical="top"/>
    </xf>
    <xf numFmtId="166" fontId="3" fillId="0" borderId="89" xfId="0" applyNumberFormat="1" applyFont="1" applyBorder="1" applyAlignment="1">
      <alignment horizontal="right" vertical="top"/>
    </xf>
    <xf numFmtId="166" fontId="3" fillId="7" borderId="82" xfId="0" applyNumberFormat="1" applyFont="1" applyFill="1" applyBorder="1" applyAlignment="1">
      <alignment horizontal="right" vertical="top"/>
    </xf>
    <xf numFmtId="3" fontId="5" fillId="7" borderId="69" xfId="0" applyNumberFormat="1" applyFont="1" applyFill="1" applyBorder="1" applyAlignment="1">
      <alignment horizontal="center" vertical="top"/>
    </xf>
    <xf numFmtId="49" fontId="29" fillId="3" borderId="82" xfId="0" applyNumberFormat="1" applyFont="1" applyFill="1" applyBorder="1" applyAlignment="1">
      <alignment horizontal="center" vertical="top"/>
    </xf>
    <xf numFmtId="0" fontId="0" fillId="0" borderId="24" xfId="0" applyBorder="1" applyAlignment="1">
      <alignment vertical="top"/>
    </xf>
    <xf numFmtId="0" fontId="36" fillId="7" borderId="6" xfId="0" applyFont="1" applyFill="1" applyBorder="1" applyAlignment="1">
      <alignment vertical="top"/>
    </xf>
    <xf numFmtId="166" fontId="3" fillId="0" borderId="0" xfId="0" applyNumberFormat="1" applyFont="1" applyAlignment="1">
      <alignment horizontal="center" vertical="top"/>
    </xf>
    <xf numFmtId="49" fontId="30" fillId="7" borderId="11" xfId="0" applyNumberFormat="1" applyFont="1" applyFill="1" applyBorder="1" applyAlignment="1">
      <alignment horizontal="center" vertical="top"/>
    </xf>
    <xf numFmtId="166" fontId="3" fillId="7" borderId="80" xfId="0" applyNumberFormat="1" applyFont="1" applyFill="1" applyBorder="1" applyAlignment="1">
      <alignment horizontal="right" vertical="top"/>
    </xf>
    <xf numFmtId="166" fontId="29" fillId="7" borderId="88" xfId="0" applyNumberFormat="1" applyFont="1" applyFill="1" applyBorder="1" applyAlignment="1">
      <alignment horizontal="right" vertical="top" wrapText="1"/>
    </xf>
    <xf numFmtId="166" fontId="29" fillId="7" borderId="87" xfId="0" applyNumberFormat="1" applyFont="1" applyFill="1" applyBorder="1" applyAlignment="1">
      <alignment horizontal="right" vertical="top" wrapText="1"/>
    </xf>
    <xf numFmtId="166" fontId="29" fillId="3" borderId="93" xfId="0" applyNumberFormat="1" applyFont="1" applyFill="1" applyBorder="1" applyAlignment="1">
      <alignment horizontal="right" vertical="top" wrapText="1"/>
    </xf>
    <xf numFmtId="166" fontId="29" fillId="7" borderId="94" xfId="0" applyNumberFormat="1" applyFont="1" applyFill="1" applyBorder="1" applyAlignment="1">
      <alignment horizontal="right" vertical="top" wrapText="1"/>
    </xf>
    <xf numFmtId="166" fontId="29" fillId="3" borderId="117" xfId="0" applyNumberFormat="1" applyFont="1" applyFill="1" applyBorder="1" applyAlignment="1">
      <alignment horizontal="right" vertical="top" wrapText="1"/>
    </xf>
    <xf numFmtId="166" fontId="29" fillId="7" borderId="120" xfId="0" applyNumberFormat="1" applyFont="1" applyFill="1" applyBorder="1" applyAlignment="1">
      <alignment horizontal="right" vertical="top" wrapText="1"/>
    </xf>
    <xf numFmtId="0" fontId="3" fillId="3" borderId="38" xfId="0" applyFont="1" applyFill="1" applyBorder="1" applyAlignment="1">
      <alignment horizontal="left" vertical="top" wrapText="1"/>
    </xf>
    <xf numFmtId="0" fontId="3" fillId="3" borderId="7"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7" borderId="21" xfId="0" applyNumberFormat="1" applyFont="1" applyFill="1" applyBorder="1" applyAlignment="1">
      <alignment horizontal="center" vertical="top" wrapText="1"/>
    </xf>
    <xf numFmtId="166" fontId="3" fillId="3" borderId="49" xfId="0" applyNumberFormat="1" applyFont="1" applyFill="1" applyBorder="1" applyAlignment="1">
      <alignment horizontal="right" vertical="top" wrapText="1"/>
    </xf>
    <xf numFmtId="166" fontId="3" fillId="7" borderId="117" xfId="0" applyNumberFormat="1" applyFont="1" applyFill="1" applyBorder="1" applyAlignment="1">
      <alignment horizontal="left" vertical="top" wrapText="1"/>
    </xf>
    <xf numFmtId="166" fontId="3" fillId="7" borderId="87" xfId="0" applyNumberFormat="1" applyFont="1" applyFill="1" applyBorder="1" applyAlignment="1">
      <alignment horizontal="left" vertical="top" wrapText="1"/>
    </xf>
    <xf numFmtId="166" fontId="3" fillId="7" borderId="50" xfId="0" applyNumberFormat="1" applyFont="1" applyFill="1" applyBorder="1" applyAlignment="1">
      <alignment horizontal="left" vertical="top" wrapText="1"/>
    </xf>
    <xf numFmtId="166" fontId="29" fillId="7" borderId="87" xfId="0" applyNumberFormat="1" applyFont="1" applyFill="1" applyBorder="1" applyAlignment="1">
      <alignment horizontal="left" vertical="top" wrapText="1"/>
    </xf>
    <xf numFmtId="166" fontId="29" fillId="7" borderId="50" xfId="0" applyNumberFormat="1" applyFont="1" applyFill="1" applyBorder="1" applyAlignment="1">
      <alignment horizontal="left" vertical="top" wrapText="1"/>
    </xf>
    <xf numFmtId="0" fontId="3" fillId="3" borderId="7" xfId="0" applyFont="1" applyFill="1" applyBorder="1" applyAlignment="1">
      <alignment horizontal="left" vertical="top" wrapText="1"/>
    </xf>
    <xf numFmtId="3" fontId="3" fillId="3" borderId="11" xfId="0" applyNumberFormat="1" applyFont="1" applyFill="1" applyBorder="1" applyAlignment="1">
      <alignment horizontal="center" vertical="top"/>
    </xf>
    <xf numFmtId="0" fontId="29" fillId="0" borderId="10" xfId="0" applyFont="1" applyBorder="1" applyAlignment="1">
      <alignment vertical="top" wrapText="1"/>
    </xf>
    <xf numFmtId="166" fontId="3" fillId="0" borderId="105" xfId="0" applyNumberFormat="1" applyFont="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8" fillId="6" borderId="71" xfId="0" applyNumberFormat="1" applyFont="1" applyFill="1" applyBorder="1" applyAlignment="1">
      <alignment horizontal="left" vertical="top" wrapText="1"/>
    </xf>
    <xf numFmtId="49" fontId="8" fillId="6" borderId="76" xfId="0" applyNumberFormat="1" applyFont="1" applyFill="1" applyBorder="1" applyAlignment="1">
      <alignment horizontal="left" vertical="top" wrapText="1"/>
    </xf>
    <xf numFmtId="49" fontId="8" fillId="6" borderId="72" xfId="0" applyNumberFormat="1" applyFont="1" applyFill="1" applyBorder="1" applyAlignment="1">
      <alignment horizontal="left" vertical="top" wrapText="1"/>
    </xf>
    <xf numFmtId="0" fontId="8" fillId="5" borderId="70"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165"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3" fillId="7" borderId="18" xfId="0" applyFont="1" applyFill="1" applyBorder="1" applyAlignment="1">
      <alignment horizontal="left" vertical="top" wrapText="1"/>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9" fillId="0" borderId="51" xfId="0" applyFont="1" applyFill="1" applyBorder="1" applyAlignment="1">
      <alignment horizontal="center" vertical="top" textRotation="90" wrapText="1"/>
    </xf>
    <xf numFmtId="0" fontId="9" fillId="0" borderId="67" xfId="0" applyFont="1" applyFill="1" applyBorder="1" applyAlignment="1">
      <alignment horizontal="center" vertical="top" textRotation="90" wrapText="1"/>
    </xf>
    <xf numFmtId="49" fontId="5" fillId="0" borderId="18" xfId="0" applyNumberFormat="1" applyFont="1" applyBorder="1" applyAlignment="1">
      <alignment horizontal="center" vertical="top"/>
    </xf>
    <xf numFmtId="0" fontId="3" fillId="7" borderId="21" xfId="0" applyFont="1" applyFill="1" applyBorder="1" applyAlignment="1">
      <alignment horizontal="left" vertical="top" wrapText="1"/>
    </xf>
    <xf numFmtId="0" fontId="11" fillId="0" borderId="18" xfId="0" applyFont="1" applyBorder="1" applyAlignment="1">
      <alignment horizontal="left" vertical="top" wrapText="1"/>
    </xf>
    <xf numFmtId="0" fontId="3" fillId="7" borderId="120" xfId="0" applyFont="1" applyFill="1" applyBorder="1" applyAlignment="1">
      <alignment horizontal="left" vertical="top" wrapText="1"/>
    </xf>
    <xf numFmtId="0" fontId="3" fillId="3" borderId="116" xfId="0" applyFont="1" applyFill="1" applyBorder="1" applyAlignment="1">
      <alignment horizontal="left" vertical="top" wrapText="1"/>
    </xf>
    <xf numFmtId="0" fontId="11" fillId="0" borderId="86" xfId="0" applyFont="1" applyBorder="1" applyAlignment="1">
      <alignment horizontal="left" vertical="top" wrapText="1"/>
    </xf>
    <xf numFmtId="0" fontId="11" fillId="0" borderId="7" xfId="0" applyFont="1" applyBorder="1" applyAlignment="1">
      <alignment horizontal="left"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5" xfId="0" applyFont="1" applyBorder="1" applyAlignment="1">
      <alignment horizontal="center" vertical="center" textRotation="90" shrinkToFit="1"/>
    </xf>
    <xf numFmtId="0" fontId="3" fillId="0" borderId="41" xfId="0" applyNumberFormat="1" applyFont="1" applyBorder="1" applyAlignment="1">
      <alignment horizontal="center" vertical="center" textRotation="90" shrinkToFit="1"/>
    </xf>
    <xf numFmtId="0" fontId="3" fillId="0" borderId="6" xfId="0" applyNumberFormat="1" applyFont="1" applyBorder="1" applyAlignment="1">
      <alignment horizontal="center" vertical="center" textRotation="90" shrinkToFit="1"/>
    </xf>
    <xf numFmtId="0" fontId="3" fillId="0" borderId="69" xfId="0" applyNumberFormat="1"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9" xfId="0" applyFont="1" applyBorder="1" applyAlignment="1">
      <alignment horizontal="center" vertical="center" textRotation="90" shrinkToFit="1"/>
    </xf>
    <xf numFmtId="0" fontId="3" fillId="0" borderId="41"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69" xfId="0" applyFont="1" applyBorder="1" applyAlignment="1">
      <alignment horizontal="center" vertical="center" wrapText="1"/>
    </xf>
    <xf numFmtId="3" fontId="5" fillId="0" borderId="71" xfId="0" applyNumberFormat="1" applyFont="1" applyBorder="1" applyAlignment="1">
      <alignment horizontal="center" vertical="center" shrinkToFit="1"/>
    </xf>
    <xf numFmtId="3" fontId="5" fillId="0" borderId="76" xfId="0" applyNumberFormat="1" applyFont="1" applyBorder="1" applyAlignment="1">
      <alignment horizontal="center" vertical="center" shrinkToFit="1"/>
    </xf>
    <xf numFmtId="3" fontId="5" fillId="0" borderId="72"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0" fontId="2" fillId="0" borderId="51" xfId="0" applyFont="1" applyFill="1" applyBorder="1" applyAlignment="1">
      <alignment horizontal="center" vertical="top" textRotation="90" wrapText="1"/>
    </xf>
    <xf numFmtId="0" fontId="1" fillId="0" borderId="35" xfId="0" applyFont="1" applyBorder="1" applyAlignment="1">
      <alignment horizontal="center" vertical="top" wrapText="1"/>
    </xf>
    <xf numFmtId="0" fontId="1" fillId="0" borderId="35" xfId="0" applyFont="1" applyBorder="1" applyAlignment="1">
      <alignment horizontal="center" wrapText="1"/>
    </xf>
    <xf numFmtId="0" fontId="1" fillId="0" borderId="67" xfId="0" applyFont="1" applyBorder="1" applyAlignment="1">
      <alignment horizontal="center" wrapText="1"/>
    </xf>
    <xf numFmtId="0" fontId="3" fillId="7" borderId="50" xfId="0" applyFont="1" applyFill="1" applyBorder="1" applyAlignment="1">
      <alignment vertical="top" wrapText="1"/>
    </xf>
    <xf numFmtId="0" fontId="3" fillId="7" borderId="36" xfId="0" applyFont="1" applyFill="1" applyBorder="1" applyAlignment="1">
      <alignment vertical="top" wrapText="1"/>
    </xf>
    <xf numFmtId="0" fontId="3" fillId="7" borderId="36" xfId="0" applyFont="1" applyFill="1" applyBorder="1" applyAlignment="1">
      <alignment horizontal="left" vertical="top" wrapText="1"/>
    </xf>
    <xf numFmtId="165" fontId="5" fillId="0" borderId="51" xfId="0" applyNumberFormat="1" applyFont="1" applyFill="1" applyBorder="1" applyAlignment="1">
      <alignment horizontal="center" vertical="top" wrapText="1"/>
    </xf>
    <xf numFmtId="0" fontId="20" fillId="0" borderId="67" xfId="0" applyFont="1" applyBorder="1" applyAlignment="1">
      <alignment horizontal="center" vertical="top" wrapText="1"/>
    </xf>
    <xf numFmtId="0" fontId="3" fillId="7" borderId="38" xfId="0" applyFont="1" applyFill="1" applyBorder="1" applyAlignment="1">
      <alignment horizontal="left" vertical="top" wrapText="1"/>
    </xf>
    <xf numFmtId="0" fontId="11" fillId="0" borderId="30" xfId="0" applyFont="1" applyBorder="1" applyAlignment="1">
      <alignment horizontal="left" vertical="top" wrapText="1"/>
    </xf>
    <xf numFmtId="0" fontId="3" fillId="0"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3" fillId="0" borderId="48" xfId="0" applyFont="1" applyBorder="1" applyAlignment="1">
      <alignment horizontal="left" vertical="top" wrapText="1"/>
    </xf>
    <xf numFmtId="0" fontId="3" fillId="0" borderId="50" xfId="0" applyFont="1" applyBorder="1" applyAlignment="1">
      <alignment horizontal="left" vertical="top" wrapText="1"/>
    </xf>
    <xf numFmtId="0" fontId="11" fillId="0" borderId="36"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xf numFmtId="0" fontId="20" fillId="7" borderId="35" xfId="0" applyFont="1" applyFill="1" applyBorder="1" applyAlignment="1">
      <alignment horizontal="center" vertical="top" wrapText="1"/>
    </xf>
    <xf numFmtId="0" fontId="11" fillId="0" borderId="75" xfId="0" applyFont="1" applyBorder="1" applyAlignment="1"/>
    <xf numFmtId="0" fontId="11" fillId="0" borderId="18" xfId="0" applyFont="1" applyBorder="1" applyAlignment="1"/>
    <xf numFmtId="0" fontId="11" fillId="0" borderId="32" xfId="0" applyFont="1" applyBorder="1" applyAlignment="1"/>
    <xf numFmtId="49" fontId="5" fillId="7" borderId="11" xfId="0" applyNumberFormat="1" applyFont="1" applyFill="1" applyBorder="1" applyAlignment="1">
      <alignment horizontal="center" vertical="top"/>
    </xf>
    <xf numFmtId="0" fontId="5" fillId="3" borderId="51" xfId="0" applyFont="1" applyFill="1" applyBorder="1" applyAlignment="1">
      <alignment horizontal="center" vertical="top" wrapText="1"/>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38" xfId="0" applyFont="1" applyFill="1" applyBorder="1" applyAlignment="1">
      <alignment horizontal="center" vertical="top" wrapText="1"/>
    </xf>
    <xf numFmtId="0" fontId="5" fillId="7" borderId="7" xfId="0" applyFont="1" applyFill="1" applyBorder="1" applyAlignment="1">
      <alignment horizontal="center" vertical="top" wrapText="1"/>
    </xf>
    <xf numFmtId="0" fontId="5" fillId="7" borderId="30" xfId="0" applyFont="1" applyFill="1" applyBorder="1" applyAlignment="1">
      <alignment horizontal="center" vertical="top" wrapText="1"/>
    </xf>
    <xf numFmtId="166" fontId="3" fillId="7" borderId="20" xfId="0" applyNumberFormat="1" applyFont="1" applyFill="1" applyBorder="1" applyAlignment="1">
      <alignment horizontal="left" vertical="top" wrapText="1"/>
    </xf>
    <xf numFmtId="0" fontId="11"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11" fillId="7" borderId="87"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5" fillId="3" borderId="67" xfId="0" applyFont="1" applyFill="1" applyBorder="1" applyAlignment="1">
      <alignment horizontal="center" vertical="top" wrapText="1"/>
    </xf>
    <xf numFmtId="0" fontId="3" fillId="3" borderId="50" xfId="0" applyFont="1" applyFill="1" applyBorder="1" applyAlignment="1">
      <alignment horizontal="left"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0" fontId="3" fillId="3" borderId="7" xfId="0" applyFont="1" applyFill="1" applyBorder="1" applyAlignment="1">
      <alignment horizontal="left" vertical="top" wrapText="1"/>
    </xf>
    <xf numFmtId="0" fontId="5" fillId="3" borderId="35" xfId="0" applyFont="1" applyFill="1" applyBorder="1" applyAlignment="1">
      <alignment vertical="top" wrapText="1"/>
    </xf>
    <xf numFmtId="49" fontId="5" fillId="3" borderId="18" xfId="0" applyNumberFormat="1" applyFont="1" applyFill="1" applyBorder="1" applyAlignment="1">
      <alignment vertical="top"/>
    </xf>
    <xf numFmtId="0" fontId="11" fillId="0" borderId="9" xfId="0" applyFont="1" applyBorder="1" applyAlignment="1"/>
    <xf numFmtId="3" fontId="3" fillId="0" borderId="11" xfId="0" applyNumberFormat="1" applyFont="1" applyFill="1" applyBorder="1" applyAlignment="1">
      <alignment horizontal="center" vertical="top"/>
    </xf>
    <xf numFmtId="0" fontId="11" fillId="0" borderId="31" xfId="0" applyFont="1" applyBorder="1" applyAlignment="1"/>
    <xf numFmtId="3" fontId="3" fillId="0" borderId="18"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0" fontId="11" fillId="7" borderId="32" xfId="0" applyFont="1" applyFill="1" applyBorder="1" applyAlignment="1"/>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5" fillId="7" borderId="70"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88" xfId="0" applyFont="1" applyBorder="1" applyAlignment="1">
      <alignment horizontal="left" vertical="top" wrapText="1"/>
    </xf>
    <xf numFmtId="0" fontId="11" fillId="0" borderId="35" xfId="0" applyFont="1" applyBorder="1" applyAlignment="1">
      <alignment vertical="top"/>
    </xf>
    <xf numFmtId="0" fontId="11" fillId="7" borderId="36" xfId="0" applyFont="1" applyFill="1" applyBorder="1" applyAlignment="1">
      <alignment horizontal="left" vertical="top" wrapText="1"/>
    </xf>
    <xf numFmtId="0" fontId="11" fillId="3" borderId="30" xfId="0" applyFont="1" applyFill="1" applyBorder="1" applyAlignment="1">
      <alignment horizontal="left" vertical="top" wrapText="1"/>
    </xf>
    <xf numFmtId="165" fontId="19" fillId="7" borderId="35" xfId="0" applyNumberFormat="1" applyFont="1" applyFill="1" applyBorder="1" applyAlignment="1">
      <alignment horizontal="center" vertical="center" textRotation="90" wrapText="1"/>
    </xf>
    <xf numFmtId="0" fontId="21" fillId="7" borderId="67" xfId="0" applyFont="1" applyFill="1" applyBorder="1" applyAlignment="1">
      <alignment horizontal="center" vertical="center" wrapText="1"/>
    </xf>
    <xf numFmtId="0" fontId="11" fillId="0" borderId="110" xfId="0" applyFont="1" applyBorder="1" applyAlignment="1">
      <alignment horizontal="left" vertical="top" wrapText="1"/>
    </xf>
    <xf numFmtId="3" fontId="3" fillId="3"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0" borderId="7" xfId="0" applyFont="1" applyFill="1" applyBorder="1" applyAlignment="1">
      <alignment horizontal="left" vertical="top" wrapText="1"/>
    </xf>
    <xf numFmtId="0" fontId="3" fillId="0" borderId="123" xfId="0" applyFont="1" applyBorder="1" applyAlignment="1">
      <alignment horizontal="left" vertical="top" wrapText="1"/>
    </xf>
    <xf numFmtId="165" fontId="3" fillId="7" borderId="35" xfId="0" applyNumberFormat="1" applyFont="1" applyFill="1" applyBorder="1" applyAlignment="1">
      <alignment horizontal="left" vertical="center" textRotation="90"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3" fillId="7" borderId="7" xfId="0" applyFont="1" applyFill="1" applyBorder="1" applyAlignment="1">
      <alignment horizontal="left" vertical="top" wrapText="1"/>
    </xf>
    <xf numFmtId="0" fontId="3" fillId="3" borderId="35" xfId="0" applyFont="1" applyFill="1" applyBorder="1" applyAlignment="1">
      <alignment horizontal="center" vertical="center" textRotation="90" wrapText="1"/>
    </xf>
    <xf numFmtId="49" fontId="5" fillId="2" borderId="73" xfId="0" applyNumberFormat="1" applyFont="1" applyFill="1" applyBorder="1" applyAlignment="1">
      <alignment horizontal="right" vertical="top"/>
    </xf>
    <xf numFmtId="49" fontId="5" fillId="2" borderId="74" xfId="0" applyNumberFormat="1" applyFont="1" applyFill="1" applyBorder="1" applyAlignment="1">
      <alignment horizontal="right" vertical="top"/>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79"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7" xfId="0" applyFont="1" applyFill="1" applyBorder="1" applyAlignment="1">
      <alignment horizontal="center" vertical="center" textRotation="90"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0" fontId="3" fillId="7" borderId="5" xfId="0" applyFont="1" applyFill="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3" fillId="7" borderId="88" xfId="0" applyFont="1" applyFill="1" applyBorder="1" applyAlignment="1">
      <alignment horizontal="left" vertical="top" wrapText="1"/>
    </xf>
    <xf numFmtId="0" fontId="3" fillId="7" borderId="38" xfId="0" applyFont="1" applyFill="1" applyBorder="1" applyAlignment="1">
      <alignment vertical="top" wrapText="1"/>
    </xf>
    <xf numFmtId="0" fontId="11" fillId="7" borderId="86" xfId="0" applyFont="1" applyFill="1" applyBorder="1" applyAlignment="1">
      <alignment vertical="top"/>
    </xf>
    <xf numFmtId="0" fontId="3" fillId="2" borderId="73" xfId="0" applyFont="1" applyFill="1" applyBorder="1" applyAlignment="1">
      <alignment horizontal="center" vertical="top" wrapText="1"/>
    </xf>
    <xf numFmtId="0" fontId="3" fillId="2" borderId="74" xfId="0" applyFont="1" applyFill="1" applyBorder="1" applyAlignment="1">
      <alignment horizontal="center" vertical="top" wrapText="1"/>
    </xf>
    <xf numFmtId="49" fontId="5" fillId="2" borderId="77"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3" borderId="27"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166" fontId="9" fillId="7" borderId="116" xfId="0" applyNumberFormat="1" applyFont="1" applyFill="1" applyBorder="1" applyAlignment="1">
      <alignment horizontal="center" vertical="top" textRotation="90" wrapText="1"/>
    </xf>
    <xf numFmtId="0" fontId="11" fillId="0" borderId="7" xfId="0" applyFont="1" applyBorder="1" applyAlignment="1">
      <alignment horizontal="center" vertical="top" textRotation="90" wrapText="1"/>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9" borderId="86"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87"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7" borderId="87" xfId="0" applyNumberFormat="1" applyFont="1" applyFill="1" applyBorder="1" applyAlignment="1">
      <alignment horizontal="center" vertical="top"/>
    </xf>
    <xf numFmtId="0" fontId="20" fillId="3" borderId="18" xfId="0" applyFont="1" applyFill="1" applyBorder="1" applyAlignment="1">
      <alignment vertical="top" wrapText="1"/>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5" xfId="0" applyFont="1" applyFill="1" applyBorder="1" applyAlignment="1">
      <alignment horizontal="center"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11" fillId="0" borderId="33" xfId="0" applyFont="1" applyBorder="1" applyAlignment="1"/>
    <xf numFmtId="166" fontId="3" fillId="3" borderId="21" xfId="0" applyNumberFormat="1" applyFont="1" applyFill="1" applyBorder="1" applyAlignment="1">
      <alignment vertical="top" wrapText="1"/>
    </xf>
    <xf numFmtId="166" fontId="3" fillId="3" borderId="18" xfId="0" applyNumberFormat="1" applyFont="1" applyFill="1" applyBorder="1" applyAlignment="1">
      <alignment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166" fontId="3" fillId="3" borderId="27" xfId="0" applyNumberFormat="1" applyFont="1" applyFill="1" applyBorder="1" applyAlignment="1">
      <alignment vertical="top" wrapText="1"/>
    </xf>
    <xf numFmtId="166" fontId="9" fillId="0" borderId="5" xfId="0" applyNumberFormat="1" applyFont="1" applyFill="1" applyBorder="1" applyAlignment="1">
      <alignment horizontal="center" vertical="top" textRotation="90" wrapText="1"/>
    </xf>
    <xf numFmtId="166" fontId="9" fillId="0" borderId="7" xfId="0" applyNumberFormat="1" applyFont="1" applyFill="1" applyBorder="1" applyAlignment="1">
      <alignment horizontal="center" vertical="top" textRotation="90" wrapText="1"/>
    </xf>
    <xf numFmtId="166" fontId="9" fillId="0" borderId="9" xfId="0" applyNumberFormat="1" applyFont="1" applyFill="1" applyBorder="1" applyAlignment="1">
      <alignment horizontal="center" vertical="top" textRotation="90" wrapText="1"/>
    </xf>
    <xf numFmtId="0" fontId="3" fillId="7" borderId="7" xfId="0" applyFont="1" applyFill="1" applyBorder="1" applyAlignment="1">
      <alignment vertical="top" wrapText="1"/>
    </xf>
    <xf numFmtId="0" fontId="11" fillId="7" borderId="9" xfId="0" applyFont="1" applyFill="1" applyBorder="1" applyAlignment="1">
      <alignment vertical="top" wrapText="1"/>
    </xf>
    <xf numFmtId="0" fontId="3" fillId="2" borderId="57" xfId="0" applyFont="1" applyFill="1" applyBorder="1" applyAlignment="1">
      <alignment horizontal="center" vertical="top" wrapText="1"/>
    </xf>
    <xf numFmtId="0" fontId="3" fillId="7" borderId="27" xfId="0" applyFont="1" applyFill="1" applyBorder="1" applyAlignment="1">
      <alignment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166" fontId="3" fillId="7" borderId="27" xfId="0" applyNumberFormat="1" applyFont="1" applyFill="1" applyBorder="1" applyAlignment="1">
      <alignment vertical="top" wrapText="1"/>
    </xf>
    <xf numFmtId="166" fontId="3" fillId="7" borderId="18" xfId="0" applyNumberFormat="1" applyFont="1" applyFill="1" applyBorder="1" applyAlignment="1">
      <alignment vertical="top" wrapText="1"/>
    </xf>
    <xf numFmtId="0" fontId="11" fillId="7" borderId="18" xfId="0" applyFont="1" applyFill="1" applyBorder="1" applyAlignment="1">
      <alignment vertical="top" wrapText="1"/>
    </xf>
    <xf numFmtId="0" fontId="11" fillId="7" borderId="32" xfId="0" applyFont="1" applyFill="1" applyBorder="1" applyAlignment="1">
      <alignment vertical="top" wrapText="1"/>
    </xf>
    <xf numFmtId="0" fontId="11" fillId="0" borderId="0" xfId="0" applyFont="1" applyAlignment="1">
      <alignment vertical="top" wrapText="1"/>
    </xf>
    <xf numFmtId="0" fontId="3" fillId="3" borderId="50" xfId="0" applyFont="1" applyFill="1" applyBorder="1" applyAlignment="1">
      <alignment vertical="top" wrapText="1"/>
    </xf>
    <xf numFmtId="0" fontId="3" fillId="3" borderId="36"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49" fontId="5" fillId="7" borderId="28" xfId="0" applyNumberFormat="1" applyFont="1" applyFill="1" applyBorder="1" applyAlignment="1">
      <alignment horizontal="center" vertical="top"/>
    </xf>
    <xf numFmtId="0" fontId="11" fillId="7" borderId="36" xfId="0" applyFont="1" applyFill="1" applyBorder="1" applyAlignment="1">
      <alignment vertical="top" wrapText="1"/>
    </xf>
    <xf numFmtId="165" fontId="3" fillId="7" borderId="7" xfId="0" applyNumberFormat="1" applyFont="1" applyFill="1" applyBorder="1" applyAlignment="1">
      <alignment horizontal="left" vertical="top" wrapText="1"/>
    </xf>
    <xf numFmtId="0" fontId="5" fillId="8" borderId="70"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49" fontId="5" fillId="2" borderId="33" xfId="0" applyNumberFormat="1" applyFont="1" applyFill="1" applyBorder="1" applyAlignment="1">
      <alignment horizontal="right" vertical="top"/>
    </xf>
    <xf numFmtId="49" fontId="5" fillId="9" borderId="77" xfId="0" applyNumberFormat="1" applyFont="1" applyFill="1" applyBorder="1" applyAlignment="1">
      <alignment horizontal="right" vertical="top"/>
    </xf>
    <xf numFmtId="49" fontId="5" fillId="9" borderId="73"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3" xfId="0" applyFont="1" applyFill="1" applyBorder="1" applyAlignment="1">
      <alignment horizontal="center" vertical="top"/>
    </xf>
    <xf numFmtId="0" fontId="3" fillId="9" borderId="74" xfId="0" applyFont="1" applyFill="1" applyBorder="1" applyAlignment="1">
      <alignment horizontal="center" vertical="top"/>
    </xf>
    <xf numFmtId="49" fontId="5" fillId="5" borderId="77" xfId="0" applyNumberFormat="1" applyFont="1" applyFill="1" applyBorder="1" applyAlignment="1">
      <alignment horizontal="right" vertical="top"/>
    </xf>
    <xf numFmtId="49" fontId="5" fillId="5" borderId="73"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3" xfId="0" applyFont="1" applyFill="1" applyBorder="1" applyAlignment="1">
      <alignment horizontal="center" vertical="top"/>
    </xf>
    <xf numFmtId="0" fontId="3" fillId="5" borderId="74" xfId="0" applyFont="1" applyFill="1" applyBorder="1" applyAlignment="1">
      <alignment horizontal="center" vertical="top"/>
    </xf>
    <xf numFmtId="0" fontId="3" fillId="7" borderId="27"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0" borderId="30" xfId="0" applyFont="1" applyFill="1" applyBorder="1" applyAlignment="1">
      <alignment horizontal="left" vertical="top" wrapText="1"/>
    </xf>
    <xf numFmtId="49" fontId="3" fillId="7" borderId="21" xfId="0" applyNumberFormat="1" applyFont="1" applyFill="1" applyBorder="1" applyAlignment="1">
      <alignment horizontal="center" vertical="top"/>
    </xf>
    <xf numFmtId="0" fontId="11" fillId="0" borderId="88" xfId="0" applyFont="1" applyBorder="1" applyAlignment="1">
      <alignment vertical="top"/>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0" fontId="11" fillId="0" borderId="87" xfId="0" applyFont="1" applyBorder="1" applyAlignment="1">
      <alignment vertical="top"/>
    </xf>
    <xf numFmtId="0" fontId="3" fillId="3" borderId="70"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70"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5"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0"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0"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0" borderId="53"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5" borderId="71" xfId="0" applyFont="1" applyFill="1" applyBorder="1" applyAlignment="1">
      <alignment horizontal="right" vertical="top" wrapText="1"/>
    </xf>
    <xf numFmtId="0" fontId="5" fillId="5" borderId="76" xfId="0" applyFont="1" applyFill="1" applyBorder="1" applyAlignment="1">
      <alignment horizontal="right" vertical="top" wrapText="1"/>
    </xf>
    <xf numFmtId="0" fontId="5" fillId="5" borderId="72" xfId="0" applyFont="1" applyFill="1" applyBorder="1" applyAlignment="1">
      <alignment horizontal="right" vertical="top" wrapText="1"/>
    </xf>
    <xf numFmtId="0" fontId="29" fillId="7" borderId="6" xfId="0" applyFont="1" applyFill="1" applyBorder="1" applyAlignment="1">
      <alignment horizontal="left" vertical="top" wrapText="1"/>
    </xf>
    <xf numFmtId="166" fontId="3" fillId="3" borderId="88" xfId="0" applyNumberFormat="1" applyFont="1" applyFill="1" applyBorder="1" applyAlignment="1">
      <alignment vertical="top" wrapText="1"/>
    </xf>
    <xf numFmtId="0" fontId="5" fillId="3" borderId="28" xfId="0" applyFont="1" applyFill="1" applyBorder="1" applyAlignment="1">
      <alignment vertical="top" wrapText="1"/>
    </xf>
    <xf numFmtId="0" fontId="5" fillId="7" borderId="18" xfId="0" applyFont="1" applyFill="1" applyBorder="1" applyAlignment="1">
      <alignment vertical="top" wrapText="1"/>
    </xf>
    <xf numFmtId="0" fontId="5" fillId="7" borderId="28" xfId="0" applyFont="1" applyFill="1" applyBorder="1" applyAlignment="1">
      <alignment vertical="top" wrapText="1"/>
    </xf>
    <xf numFmtId="0" fontId="0" fillId="0" borderId="18" xfId="0" applyBorder="1" applyAlignment="1">
      <alignment vertical="top" wrapText="1"/>
    </xf>
    <xf numFmtId="0" fontId="31" fillId="7" borderId="69" xfId="0" applyFont="1" applyFill="1" applyBorder="1" applyAlignment="1">
      <alignment horizontal="left" vertical="top" wrapText="1"/>
    </xf>
    <xf numFmtId="0" fontId="3" fillId="0" borderId="18" xfId="0" applyFont="1" applyBorder="1" applyAlignment="1">
      <alignment horizontal="left" vertical="top" wrapText="1"/>
    </xf>
    <xf numFmtId="0" fontId="11" fillId="0" borderId="28" xfId="0" applyFont="1" applyBorder="1" applyAlignment="1">
      <alignment horizontal="left" vertical="top" wrapText="1"/>
    </xf>
    <xf numFmtId="0" fontId="0" fillId="0" borderId="32" xfId="0" applyBorder="1" applyAlignment="1">
      <alignment vertical="top"/>
    </xf>
    <xf numFmtId="0" fontId="11" fillId="7" borderId="28" xfId="0" applyFont="1" applyFill="1" applyBorder="1" applyAlignment="1">
      <alignment horizontal="left" vertical="top" wrapText="1"/>
    </xf>
    <xf numFmtId="0" fontId="18" fillId="7" borderId="21" xfId="0" applyFont="1" applyFill="1" applyBorder="1" applyAlignment="1">
      <alignment vertical="top" wrapText="1"/>
    </xf>
    <xf numFmtId="0" fontId="11" fillId="0" borderId="88" xfId="0" applyFont="1" applyBorder="1" applyAlignment="1">
      <alignment vertical="top" wrapText="1"/>
    </xf>
    <xf numFmtId="0" fontId="29" fillId="7" borderId="6" xfId="0" applyFont="1" applyFill="1" applyBorder="1" applyAlignment="1">
      <alignment vertical="top" wrapText="1"/>
    </xf>
    <xf numFmtId="0" fontId="31" fillId="7" borderId="6" xfId="0" applyFont="1" applyFill="1" applyBorder="1" applyAlignment="1">
      <alignment vertical="top" wrapText="1"/>
    </xf>
    <xf numFmtId="0" fontId="11" fillId="0" borderId="35" xfId="0" applyFont="1" applyBorder="1" applyAlignment="1"/>
    <xf numFmtId="0" fontId="11" fillId="0" borderId="11" xfId="0" applyFont="1" applyBorder="1" applyAlignment="1"/>
    <xf numFmtId="0" fontId="11" fillId="0" borderId="50" xfId="0" applyFont="1" applyBorder="1" applyAlignment="1"/>
    <xf numFmtId="0" fontId="11" fillId="0" borderId="7" xfId="0" applyFont="1" applyBorder="1" applyAlignment="1"/>
    <xf numFmtId="3" fontId="3" fillId="0" borderId="46" xfId="0" applyNumberFormat="1" applyFont="1" applyBorder="1" applyAlignment="1">
      <alignment horizontal="center" vertical="center" textRotation="90" shrinkToFit="1"/>
    </xf>
    <xf numFmtId="3" fontId="3" fillId="0" borderId="35" xfId="0" applyNumberFormat="1" applyFont="1" applyBorder="1" applyAlignment="1">
      <alignment horizontal="center" vertical="center" textRotation="90" shrinkToFit="1"/>
    </xf>
    <xf numFmtId="3" fontId="3" fillId="0" borderId="75" xfId="0" applyNumberFormat="1" applyFont="1" applyBorder="1" applyAlignment="1">
      <alignment horizontal="center" vertical="center" textRotation="90" shrinkToFit="1"/>
    </xf>
    <xf numFmtId="0" fontId="31" fillId="7" borderId="6" xfId="0" applyFont="1" applyFill="1" applyBorder="1" applyAlignment="1">
      <alignment vertical="top"/>
    </xf>
    <xf numFmtId="0" fontId="27" fillId="0" borderId="0" xfId="0" applyFont="1" applyAlignment="1">
      <alignment horizontal="right" vertical="top"/>
    </xf>
    <xf numFmtId="0" fontId="28" fillId="0" borderId="0" xfId="0" applyFont="1" applyAlignment="1">
      <alignment horizontal="right" vertical="top"/>
    </xf>
    <xf numFmtId="0" fontId="3" fillId="7" borderId="70" xfId="0" applyFont="1" applyFill="1" applyBorder="1" applyAlignment="1">
      <alignment horizontal="left" vertical="top" wrapText="1"/>
    </xf>
    <xf numFmtId="0" fontId="3" fillId="7" borderId="66" xfId="0" applyFont="1" applyFill="1" applyBorder="1" applyAlignment="1">
      <alignment horizontal="left" vertical="top" wrapText="1"/>
    </xf>
    <xf numFmtId="0" fontId="3" fillId="7" borderId="44" xfId="0" applyFont="1" applyFill="1" applyBorder="1" applyAlignment="1">
      <alignment horizontal="left" vertical="top" wrapText="1"/>
    </xf>
    <xf numFmtId="0" fontId="3" fillId="3" borderId="120" xfId="0" applyFont="1" applyFill="1" applyBorder="1" applyAlignment="1">
      <alignment horizontal="left" vertical="top" wrapText="1"/>
    </xf>
    <xf numFmtId="0" fontId="0" fillId="0" borderId="88" xfId="0" applyBorder="1" applyAlignment="1">
      <alignment horizontal="left" vertical="top" wrapText="1"/>
    </xf>
    <xf numFmtId="0" fontId="3" fillId="0" borderId="18" xfId="0" applyFont="1" applyBorder="1" applyAlignment="1">
      <alignment vertical="top" wrapText="1"/>
    </xf>
    <xf numFmtId="3" fontId="3" fillId="7" borderId="21" xfId="0" applyNumberFormat="1" applyFont="1" applyFill="1" applyBorder="1" applyAlignment="1">
      <alignment horizontal="center" vertical="top" wrapText="1"/>
    </xf>
    <xf numFmtId="0" fontId="11" fillId="7" borderId="18" xfId="0" applyFont="1" applyFill="1" applyBorder="1" applyAlignment="1">
      <alignment horizontal="center" vertical="top" wrapText="1"/>
    </xf>
    <xf numFmtId="0" fontId="11" fillId="7" borderId="87" xfId="0" applyFont="1" applyFill="1" applyBorder="1" applyAlignment="1">
      <alignment vertical="top"/>
    </xf>
    <xf numFmtId="49" fontId="3" fillId="7" borderId="48" xfId="0" applyNumberFormat="1" applyFont="1" applyFill="1" applyBorder="1" applyAlignment="1">
      <alignment horizontal="center" vertical="top"/>
    </xf>
    <xf numFmtId="0" fontId="11" fillId="7" borderId="110" xfId="0" applyFont="1" applyFill="1" applyBorder="1" applyAlignment="1">
      <alignment vertical="top"/>
    </xf>
    <xf numFmtId="0" fontId="3" fillId="7" borderId="49" xfId="0" applyFont="1" applyFill="1" applyBorder="1" applyAlignment="1">
      <alignment vertical="top" wrapText="1"/>
    </xf>
    <xf numFmtId="0" fontId="11" fillId="0" borderId="54" xfId="0" applyFont="1" applyBorder="1" applyAlignment="1">
      <alignment vertical="top" wrapText="1"/>
    </xf>
    <xf numFmtId="3" fontId="34" fillId="0" borderId="26" xfId="0" applyNumberFormat="1" applyFont="1" applyBorder="1" applyAlignment="1">
      <alignment horizontal="center" vertical="center" textRotation="90" wrapText="1"/>
    </xf>
    <xf numFmtId="3" fontId="34" fillId="0" borderId="11" xfId="0" applyNumberFormat="1" applyFont="1" applyBorder="1" applyAlignment="1">
      <alignment horizontal="center" vertical="center" textRotation="90" wrapText="1"/>
    </xf>
    <xf numFmtId="3" fontId="34" fillId="0" borderId="31" xfId="0" applyNumberFormat="1" applyFont="1" applyBorder="1" applyAlignment="1">
      <alignment horizontal="center" vertical="center" textRotation="90" wrapText="1"/>
    </xf>
    <xf numFmtId="3" fontId="34" fillId="0" borderId="52" xfId="0" applyNumberFormat="1" applyFont="1" applyBorder="1" applyAlignment="1">
      <alignment horizontal="center" vertical="center" textRotation="90" wrapText="1"/>
    </xf>
    <xf numFmtId="3" fontId="34" fillId="0" borderId="45" xfId="0" applyNumberFormat="1" applyFont="1" applyBorder="1" applyAlignment="1">
      <alignment horizontal="center" vertical="center" textRotation="90" wrapText="1"/>
    </xf>
    <xf numFmtId="3" fontId="34" fillId="0" borderId="34" xfId="0" applyNumberFormat="1" applyFont="1" applyBorder="1" applyAlignment="1">
      <alignment horizontal="center" vertical="center" textRotation="90" wrapText="1"/>
    </xf>
    <xf numFmtId="0" fontId="5" fillId="0" borderId="4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7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 fillId="7" borderId="28" xfId="0" applyFont="1" applyFill="1" applyBorder="1" applyAlignment="1">
      <alignment horizontal="left" vertical="top" wrapText="1"/>
    </xf>
    <xf numFmtId="0" fontId="3" fillId="0" borderId="28" xfId="0" applyFont="1" applyBorder="1" applyAlignment="1">
      <alignment horizontal="left" vertical="top" wrapText="1"/>
    </xf>
    <xf numFmtId="0" fontId="0" fillId="7" borderId="11" xfId="0" applyFill="1" applyBorder="1" applyAlignment="1">
      <alignment horizontal="left" vertical="top" wrapText="1"/>
    </xf>
    <xf numFmtId="166" fontId="9" fillId="0" borderId="26" xfId="0" applyNumberFormat="1" applyFont="1" applyFill="1" applyBorder="1" applyAlignment="1">
      <alignment horizontal="center" vertical="top" textRotation="90" wrapText="1"/>
    </xf>
    <xf numFmtId="166" fontId="9" fillId="0" borderId="11" xfId="0" applyNumberFormat="1" applyFont="1" applyFill="1" applyBorder="1" applyAlignment="1">
      <alignment horizontal="center" vertical="top" textRotation="90" wrapText="1"/>
    </xf>
    <xf numFmtId="166" fontId="9" fillId="0" borderId="31" xfId="0" applyNumberFormat="1" applyFont="1" applyFill="1" applyBorder="1" applyAlignment="1">
      <alignment horizontal="center" vertical="top" textRotation="90" wrapText="1"/>
    </xf>
    <xf numFmtId="0" fontId="5" fillId="7" borderId="7" xfId="0" applyFont="1" applyFill="1" applyBorder="1" applyAlignment="1">
      <alignment horizontal="center" vertical="center" textRotation="90" wrapText="1"/>
    </xf>
    <xf numFmtId="0" fontId="20" fillId="0" borderId="7" xfId="0" applyFont="1" applyBorder="1" applyAlignment="1">
      <alignment horizontal="center" vertical="center" textRotation="90" wrapText="1"/>
    </xf>
    <xf numFmtId="0" fontId="11" fillId="7" borderId="18" xfId="0" applyFont="1" applyFill="1" applyBorder="1" applyAlignment="1">
      <alignment horizontal="left" vertical="top" wrapText="1"/>
    </xf>
    <xf numFmtId="0" fontId="3" fillId="7" borderId="8" xfId="0" applyFont="1" applyFill="1" applyBorder="1" applyAlignment="1">
      <alignment vertical="top" wrapText="1"/>
    </xf>
    <xf numFmtId="0" fontId="11" fillId="0" borderId="24" xfId="0" applyFont="1" applyBorder="1" applyAlignment="1">
      <alignment vertical="top" wrapText="1"/>
    </xf>
    <xf numFmtId="0" fontId="3" fillId="0" borderId="7" xfId="0" applyFont="1" applyBorder="1" applyAlignment="1">
      <alignment vertical="top" wrapText="1"/>
    </xf>
    <xf numFmtId="0" fontId="0" fillId="0" borderId="30" xfId="0" applyBorder="1" applyAlignment="1">
      <alignment vertical="top" wrapText="1"/>
    </xf>
    <xf numFmtId="0" fontId="11" fillId="7" borderId="6" xfId="0" applyFont="1" applyFill="1" applyBorder="1" applyAlignment="1">
      <alignment vertical="top" wrapText="1"/>
    </xf>
    <xf numFmtId="0" fontId="11" fillId="7" borderId="24" xfId="0" applyFont="1" applyFill="1" applyBorder="1" applyAlignment="1">
      <alignment vertical="top" wrapText="1"/>
    </xf>
    <xf numFmtId="0" fontId="3" fillId="7" borderId="6" xfId="0" applyFont="1" applyFill="1" applyBorder="1" applyAlignment="1">
      <alignment vertical="top" wrapText="1"/>
    </xf>
    <xf numFmtId="165" fontId="5" fillId="7" borderId="35" xfId="0" applyNumberFormat="1" applyFont="1" applyFill="1" applyBorder="1" applyAlignment="1">
      <alignment horizontal="center" vertical="center" textRotation="90" wrapText="1"/>
    </xf>
    <xf numFmtId="0" fontId="20" fillId="7" borderId="35" xfId="0" applyFont="1" applyFill="1" applyBorder="1" applyAlignment="1">
      <alignment horizontal="center" vertical="center" textRotation="90" wrapText="1"/>
    </xf>
    <xf numFmtId="0" fontId="3" fillId="7" borderId="81" xfId="0" applyFont="1" applyFill="1" applyBorder="1" applyAlignment="1">
      <alignment horizontal="left" vertical="top" wrapText="1"/>
    </xf>
    <xf numFmtId="0" fontId="11" fillId="0" borderId="92" xfId="0" applyFont="1" applyBorder="1" applyAlignment="1">
      <alignment horizontal="left" vertical="top" wrapText="1"/>
    </xf>
    <xf numFmtId="0" fontId="35" fillId="0" borderId="8" xfId="0" applyFont="1" applyBorder="1" applyAlignment="1">
      <alignment horizontal="left" vertical="top" wrapText="1"/>
    </xf>
    <xf numFmtId="0" fontId="35" fillId="0" borderId="6" xfId="0" applyFont="1" applyBorder="1" applyAlignment="1">
      <alignment horizontal="left" vertical="top" wrapText="1"/>
    </xf>
    <xf numFmtId="0" fontId="35" fillId="0" borderId="24" xfId="0" applyFont="1" applyBorder="1" applyAlignment="1">
      <alignment horizontal="left" vertical="top" wrapText="1"/>
    </xf>
    <xf numFmtId="0" fontId="29" fillId="0" borderId="6" xfId="0" applyFont="1" applyBorder="1" applyAlignment="1">
      <alignment vertical="top" wrapText="1"/>
    </xf>
    <xf numFmtId="3" fontId="29" fillId="3" borderId="120" xfId="0" applyNumberFormat="1" applyFont="1" applyFill="1" applyBorder="1" applyAlignment="1">
      <alignment horizontal="center" vertical="top" wrapText="1"/>
    </xf>
    <xf numFmtId="0" fontId="31" fillId="0" borderId="88" xfId="0" applyFont="1" applyBorder="1" applyAlignment="1">
      <alignment horizontal="center" vertical="top"/>
    </xf>
    <xf numFmtId="0" fontId="3" fillId="7" borderId="8"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24" xfId="0" applyFont="1" applyFill="1" applyBorder="1" applyAlignment="1">
      <alignment horizontal="left" vertical="top" wrapText="1"/>
    </xf>
    <xf numFmtId="0" fontId="3" fillId="7" borderId="28" xfId="0" applyFont="1" applyFill="1" applyBorder="1" applyAlignment="1">
      <alignment vertical="top" wrapText="1"/>
    </xf>
    <xf numFmtId="0" fontId="7" fillId="0" borderId="51" xfId="0" applyFont="1" applyFill="1" applyBorder="1" applyAlignment="1">
      <alignment horizontal="center" vertical="top" textRotation="90" wrapText="1"/>
    </xf>
    <xf numFmtId="0" fontId="32" fillId="0" borderId="35" xfId="0" applyFont="1" applyBorder="1" applyAlignment="1">
      <alignment horizontal="center" vertical="top" wrapText="1"/>
    </xf>
    <xf numFmtId="0" fontId="32" fillId="0" borderId="35" xfId="0" applyFont="1" applyBorder="1" applyAlignment="1">
      <alignment horizontal="center" wrapText="1"/>
    </xf>
    <xf numFmtId="0" fontId="32" fillId="0" borderId="67" xfId="0" applyFont="1" applyBorder="1" applyAlignment="1">
      <alignment horizontal="center" wrapText="1"/>
    </xf>
    <xf numFmtId="0" fontId="15" fillId="0" borderId="51" xfId="0" applyFont="1" applyFill="1" applyBorder="1" applyAlignment="1">
      <alignment horizontal="center" vertical="top" textRotation="90" wrapText="1"/>
    </xf>
    <xf numFmtId="0" fontId="15" fillId="0" borderId="67" xfId="0" applyFont="1" applyFill="1" applyBorder="1" applyAlignment="1">
      <alignment horizontal="center" vertical="top" textRotation="90" wrapText="1"/>
    </xf>
    <xf numFmtId="3" fontId="18" fillId="0" borderId="43" xfId="0" applyNumberFormat="1" applyFont="1" applyBorder="1" applyAlignment="1">
      <alignment horizontal="center" vertical="center" textRotation="90" wrapText="1"/>
    </xf>
    <xf numFmtId="3" fontId="18" fillId="0" borderId="50" xfId="0" applyNumberFormat="1" applyFont="1" applyBorder="1" applyAlignment="1">
      <alignment horizontal="center" vertical="center" textRotation="90" wrapText="1"/>
    </xf>
    <xf numFmtId="3" fontId="18" fillId="0" borderId="58" xfId="0" applyNumberFormat="1" applyFont="1" applyBorder="1" applyAlignment="1">
      <alignment horizontal="center" vertical="center" textRotation="90" wrapText="1"/>
    </xf>
    <xf numFmtId="3" fontId="18" fillId="0" borderId="27" xfId="0" applyNumberFormat="1" applyFont="1" applyBorder="1" applyAlignment="1">
      <alignment horizontal="center" vertical="center" textRotation="90" wrapText="1"/>
    </xf>
    <xf numFmtId="3" fontId="18" fillId="0" borderId="18" xfId="0" applyNumberFormat="1" applyFont="1" applyBorder="1" applyAlignment="1">
      <alignment horizontal="center" vertical="center" textRotation="90" wrapText="1"/>
    </xf>
    <xf numFmtId="3" fontId="18" fillId="0" borderId="32" xfId="0" applyNumberFormat="1" applyFont="1" applyBorder="1" applyAlignment="1">
      <alignment horizontal="center" vertical="center" textRotation="90" wrapText="1"/>
    </xf>
    <xf numFmtId="0" fontId="11" fillId="7" borderId="69" xfId="0" applyFont="1" applyFill="1" applyBorder="1" applyAlignment="1">
      <alignment vertical="top"/>
    </xf>
    <xf numFmtId="0" fontId="11" fillId="7" borderId="31" xfId="0" applyFont="1" applyFill="1" applyBorder="1" applyAlignment="1"/>
    <xf numFmtId="0" fontId="3" fillId="0" borderId="24" xfId="0" applyFont="1" applyBorder="1" applyAlignment="1">
      <alignment vertical="top" wrapText="1"/>
    </xf>
    <xf numFmtId="0" fontId="11" fillId="0" borderId="6" xfId="0" applyFont="1" applyBorder="1" applyAlignment="1">
      <alignment vertical="top" wrapText="1"/>
    </xf>
    <xf numFmtId="3" fontId="3" fillId="0" borderId="46" xfId="0" applyNumberFormat="1" applyFont="1" applyBorder="1" applyAlignment="1">
      <alignment horizontal="center" vertical="center" textRotation="90" wrapText="1"/>
    </xf>
    <xf numFmtId="0" fontId="11" fillId="0" borderId="35" xfId="0" applyFont="1" applyBorder="1" applyAlignment="1">
      <alignment horizontal="center" vertical="center" wrapText="1"/>
    </xf>
    <xf numFmtId="0" fontId="11" fillId="0" borderId="75" xfId="0" applyFont="1" applyBorder="1" applyAlignment="1">
      <alignment horizontal="center" vertical="center" wrapText="1"/>
    </xf>
    <xf numFmtId="3" fontId="18" fillId="0" borderId="26" xfId="0" applyNumberFormat="1" applyFont="1" applyBorder="1" applyAlignment="1">
      <alignment horizontal="center" vertical="center" textRotation="90" wrapText="1"/>
    </xf>
    <xf numFmtId="3" fontId="18" fillId="0" borderId="11" xfId="0" applyNumberFormat="1" applyFont="1" applyBorder="1" applyAlignment="1">
      <alignment horizontal="center" vertical="center" textRotation="90" wrapText="1"/>
    </xf>
    <xf numFmtId="3" fontId="18" fillId="0" borderId="31" xfId="0" applyNumberFormat="1" applyFont="1" applyBorder="1" applyAlignment="1">
      <alignment horizontal="center" vertical="center" textRotation="90" wrapText="1"/>
    </xf>
    <xf numFmtId="3" fontId="18" fillId="0" borderId="52" xfId="0" applyNumberFormat="1" applyFont="1" applyBorder="1" applyAlignment="1">
      <alignment horizontal="center" vertical="center" textRotation="90" wrapText="1"/>
    </xf>
    <xf numFmtId="3" fontId="18" fillId="0" borderId="45" xfId="0" applyNumberFormat="1" applyFont="1" applyBorder="1" applyAlignment="1">
      <alignment horizontal="center" vertical="center" textRotation="90" wrapText="1"/>
    </xf>
    <xf numFmtId="3" fontId="18" fillId="0" borderId="34" xfId="0" applyNumberFormat="1" applyFont="1" applyBorder="1" applyAlignment="1">
      <alignment horizontal="center" vertical="center" textRotation="90" wrapText="1"/>
    </xf>
    <xf numFmtId="0" fontId="3" fillId="3" borderId="116" xfId="0" applyFont="1" applyFill="1" applyBorder="1" applyAlignment="1">
      <alignment horizontal="left" vertical="center" wrapText="1"/>
    </xf>
    <xf numFmtId="0" fontId="11" fillId="0" borderId="7" xfId="0" applyFont="1" applyBorder="1" applyAlignment="1">
      <alignment horizontal="left" vertical="center" wrapText="1"/>
    </xf>
    <xf numFmtId="3" fontId="29" fillId="3" borderId="120" xfId="0" applyNumberFormat="1" applyFont="1" applyFill="1" applyBorder="1" applyAlignment="1">
      <alignment horizontal="center" vertical="center" wrapText="1"/>
    </xf>
    <xf numFmtId="0" fontId="31" fillId="0" borderId="18" xfId="0" applyFont="1" applyBorder="1" applyAlignment="1">
      <alignment horizontal="center" vertical="center"/>
    </xf>
    <xf numFmtId="0" fontId="11" fillId="7" borderId="6" xfId="0" applyFont="1" applyFill="1" applyBorder="1" applyAlignment="1">
      <alignment vertical="top"/>
    </xf>
    <xf numFmtId="0" fontId="11" fillId="7" borderId="24" xfId="0" applyFont="1" applyFill="1" applyBorder="1" applyAlignment="1">
      <alignment vertical="top"/>
    </xf>
    <xf numFmtId="0" fontId="11" fillId="0" borderId="30" xfId="0" applyFont="1" applyBorder="1" applyAlignment="1">
      <alignment vertical="top" wrapText="1"/>
    </xf>
    <xf numFmtId="3" fontId="3" fillId="7" borderId="11" xfId="0" applyNumberFormat="1" applyFont="1" applyFill="1" applyBorder="1" applyAlignment="1">
      <alignment horizontal="center" vertical="top" wrapText="1"/>
    </xf>
    <xf numFmtId="0" fontId="11" fillId="7" borderId="11" xfId="0" applyFont="1" applyFill="1" applyBorder="1" applyAlignment="1"/>
    <xf numFmtId="49" fontId="5" fillId="2" borderId="11" xfId="0" applyNumberFormat="1" applyFont="1" applyFill="1" applyBorder="1" applyAlignment="1">
      <alignment horizontal="left" vertical="top"/>
    </xf>
    <xf numFmtId="49" fontId="5" fillId="2" borderId="31" xfId="0" applyNumberFormat="1" applyFont="1" applyFill="1" applyBorder="1" applyAlignment="1">
      <alignment horizontal="left" vertical="top"/>
    </xf>
    <xf numFmtId="0" fontId="15" fillId="7" borderId="5" xfId="0" applyFont="1" applyFill="1" applyBorder="1" applyAlignment="1">
      <alignment horizontal="center" vertical="center" textRotation="90" wrapText="1"/>
    </xf>
    <xf numFmtId="0" fontId="33" fillId="7" borderId="7" xfId="0" applyFont="1" applyFill="1" applyBorder="1" applyAlignment="1">
      <alignment horizontal="center" vertical="center" textRotation="90" wrapText="1"/>
    </xf>
    <xf numFmtId="0" fontId="33" fillId="7" borderId="67" xfId="0" applyFont="1" applyFill="1" applyBorder="1" applyAlignment="1">
      <alignment horizontal="center" vertical="center" textRotation="90" wrapText="1"/>
    </xf>
    <xf numFmtId="0" fontId="11" fillId="7" borderId="9" xfId="0" applyFont="1" applyFill="1" applyBorder="1" applyAlignment="1"/>
    <xf numFmtId="0" fontId="29" fillId="7" borderId="8" xfId="0" applyFont="1" applyFill="1" applyBorder="1" applyAlignment="1">
      <alignment vertical="top" wrapText="1"/>
    </xf>
    <xf numFmtId="0" fontId="31" fillId="7" borderId="6" xfId="0" applyFont="1" applyFill="1" applyBorder="1" applyAlignment="1"/>
    <xf numFmtId="0" fontId="31" fillId="7" borderId="24" xfId="0" applyFont="1" applyFill="1" applyBorder="1" applyAlignment="1"/>
    <xf numFmtId="0" fontId="3" fillId="0" borderId="120" xfId="0" applyFont="1" applyBorder="1" applyAlignment="1">
      <alignment horizontal="left" vertical="top" wrapText="1"/>
    </xf>
    <xf numFmtId="3" fontId="34" fillId="0" borderId="27" xfId="0" applyNumberFormat="1" applyFont="1" applyBorder="1" applyAlignment="1">
      <alignment horizontal="center" vertical="center" textRotation="90" wrapText="1"/>
    </xf>
    <xf numFmtId="3" fontId="34" fillId="0" borderId="18" xfId="0" applyNumberFormat="1" applyFont="1" applyBorder="1" applyAlignment="1">
      <alignment horizontal="center" vertical="center" textRotation="90" wrapText="1"/>
    </xf>
    <xf numFmtId="3" fontId="34" fillId="0" borderId="32" xfId="0" applyNumberFormat="1" applyFont="1" applyBorder="1" applyAlignment="1">
      <alignment horizontal="center" vertical="center" textRotation="90" wrapText="1"/>
    </xf>
    <xf numFmtId="3" fontId="9" fillId="0" borderId="5" xfId="0" applyNumberFormat="1" applyFont="1" applyBorder="1" applyAlignment="1">
      <alignment horizontal="center" vertical="center" textRotation="90" wrapText="1"/>
    </xf>
    <xf numFmtId="3" fontId="9" fillId="0" borderId="7" xfId="0" applyNumberFormat="1" applyFont="1" applyBorder="1" applyAlignment="1">
      <alignment horizontal="center" vertical="center" textRotation="90" wrapText="1"/>
    </xf>
    <xf numFmtId="3" fontId="9" fillId="0" borderId="9" xfId="0" applyNumberFormat="1" applyFont="1" applyBorder="1" applyAlignment="1">
      <alignment horizontal="center" vertical="center" textRotation="90" wrapText="1"/>
    </xf>
    <xf numFmtId="3" fontId="34" fillId="0" borderId="43" xfId="0" applyNumberFormat="1" applyFont="1" applyBorder="1" applyAlignment="1">
      <alignment horizontal="center" vertical="center" textRotation="90" wrapText="1"/>
    </xf>
    <xf numFmtId="3" fontId="34" fillId="0" borderId="50" xfId="0" applyNumberFormat="1" applyFont="1" applyBorder="1" applyAlignment="1">
      <alignment horizontal="center" vertical="center" textRotation="90" wrapText="1"/>
    </xf>
    <xf numFmtId="3" fontId="34" fillId="0" borderId="58" xfId="0" applyNumberFormat="1" applyFont="1" applyBorder="1" applyAlignment="1">
      <alignment horizontal="center" vertical="center" textRotation="90" wrapText="1"/>
    </xf>
    <xf numFmtId="49" fontId="5" fillId="2" borderId="77" xfId="0" applyNumberFormat="1" applyFont="1" applyFill="1" applyBorder="1" applyAlignment="1">
      <alignment horizontal="right" vertical="top"/>
    </xf>
    <xf numFmtId="0" fontId="0" fillId="0" borderId="7" xfId="0" applyBorder="1" applyAlignment="1">
      <alignment horizontal="center" vertical="top" textRotation="90"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20" fillId="7" borderId="28" xfId="0" applyFont="1" applyFill="1" applyBorder="1" applyAlignment="1">
      <alignment vertical="top" wrapText="1"/>
    </xf>
    <xf numFmtId="0" fontId="3" fillId="7" borderId="49" xfId="0" applyFont="1" applyFill="1" applyBorder="1" applyAlignment="1">
      <alignment horizontal="left" vertical="top" wrapText="1"/>
    </xf>
    <xf numFmtId="0" fontId="11" fillId="7" borderId="19" xfId="0" applyFont="1" applyFill="1" applyBorder="1" applyAlignment="1">
      <alignment horizontal="left" vertical="top" wrapText="1"/>
    </xf>
    <xf numFmtId="49" fontId="5" fillId="9" borderId="67" xfId="0" applyNumberFormat="1" applyFont="1" applyFill="1" applyBorder="1" applyAlignment="1">
      <alignment horizontal="center" vertical="top"/>
    </xf>
    <xf numFmtId="49" fontId="5" fillId="9" borderId="70" xfId="0" applyNumberFormat="1" applyFont="1" applyFill="1" applyBorder="1" applyAlignment="1">
      <alignment horizontal="center" vertical="top"/>
    </xf>
    <xf numFmtId="49" fontId="5" fillId="9" borderId="51" xfId="0" applyNumberFormat="1" applyFont="1" applyFill="1" applyBorder="1" applyAlignment="1">
      <alignment horizontal="center" vertical="top"/>
    </xf>
    <xf numFmtId="0" fontId="11" fillId="7" borderId="7" xfId="0" applyFont="1" applyFill="1" applyBorder="1" applyAlignment="1"/>
    <xf numFmtId="0" fontId="11" fillId="7" borderId="30" xfId="0" applyFont="1" applyFill="1" applyBorder="1" applyAlignment="1"/>
    <xf numFmtId="0" fontId="11" fillId="7" borderId="7" xfId="0" applyFont="1" applyFill="1" applyBorder="1" applyAlignment="1">
      <alignment horizontal="left" vertical="top" wrapText="1"/>
    </xf>
    <xf numFmtId="3" fontId="3" fillId="7" borderId="11" xfId="0" applyNumberFormat="1" applyFont="1" applyFill="1" applyBorder="1" applyAlignment="1">
      <alignment horizontal="center" vertical="center"/>
    </xf>
    <xf numFmtId="3" fontId="3" fillId="7" borderId="18" xfId="0" applyNumberFormat="1" applyFont="1" applyFill="1" applyBorder="1" applyAlignment="1">
      <alignment horizontal="center" vertical="center"/>
    </xf>
    <xf numFmtId="0" fontId="0" fillId="7" borderId="87" xfId="0" applyFill="1" applyBorder="1" applyAlignment="1">
      <alignment horizontal="left" vertical="top" wrapText="1"/>
    </xf>
    <xf numFmtId="165" fontId="19" fillId="7" borderId="38" xfId="0" applyNumberFormat="1" applyFont="1" applyFill="1" applyBorder="1" applyAlignment="1">
      <alignment horizontal="left" vertical="center" textRotation="90" wrapText="1"/>
    </xf>
    <xf numFmtId="0" fontId="0" fillId="0" borderId="7" xfId="0" applyBorder="1" applyAlignment="1">
      <alignment horizontal="left" vertical="center" textRotation="90" wrapText="1"/>
    </xf>
    <xf numFmtId="0" fontId="3" fillId="7" borderId="41" xfId="0" applyFont="1" applyFill="1" applyBorder="1" applyAlignment="1">
      <alignment vertical="top" wrapText="1"/>
    </xf>
    <xf numFmtId="0" fontId="11" fillId="0" borderId="6" xfId="0" applyFont="1" applyBorder="1" applyAlignment="1">
      <alignment vertical="top"/>
    </xf>
    <xf numFmtId="0" fontId="5" fillId="7" borderId="43" xfId="0" applyFont="1" applyFill="1" applyBorder="1" applyAlignment="1">
      <alignment vertical="top" wrapText="1"/>
    </xf>
    <xf numFmtId="0" fontId="20" fillId="7" borderId="50" xfId="0" applyFont="1" applyFill="1" applyBorder="1" applyAlignment="1">
      <alignment vertical="top" wrapText="1"/>
    </xf>
    <xf numFmtId="0" fontId="3" fillId="7" borderId="116" xfId="0" applyFont="1" applyFill="1" applyBorder="1" applyAlignment="1">
      <alignment horizontal="left" vertical="top" wrapText="1"/>
    </xf>
    <xf numFmtId="0" fontId="0" fillId="0" borderId="86" xfId="0" applyBorder="1" applyAlignment="1">
      <alignment horizontal="left" vertical="top" wrapText="1"/>
    </xf>
    <xf numFmtId="0" fontId="11" fillId="7" borderId="69" xfId="0" applyFont="1" applyFill="1" applyBorder="1" applyAlignment="1">
      <alignment horizontal="left" vertical="top" wrapText="1"/>
    </xf>
    <xf numFmtId="0" fontId="3" fillId="7" borderId="118" xfId="0" applyFont="1" applyFill="1" applyBorder="1" applyAlignment="1">
      <alignment horizontal="left" vertical="top" wrapText="1"/>
    </xf>
    <xf numFmtId="0" fontId="11" fillId="0" borderId="109" xfId="0" applyFont="1" applyBorder="1" applyAlignment="1">
      <alignment vertical="top" wrapText="1"/>
    </xf>
    <xf numFmtId="0" fontId="11" fillId="7" borderId="7" xfId="0" applyFont="1" applyFill="1" applyBorder="1" applyAlignment="1">
      <alignment vertical="top" wrapText="1"/>
    </xf>
    <xf numFmtId="0" fontId="11" fillId="7" borderId="30" xfId="0" applyFont="1" applyFill="1" applyBorder="1" applyAlignment="1">
      <alignment vertical="top" wrapText="1"/>
    </xf>
    <xf numFmtId="0" fontId="4" fillId="0" borderId="0" xfId="0" applyFont="1" applyAlignment="1">
      <alignment horizontal="right" vertical="top" wrapText="1"/>
    </xf>
    <xf numFmtId="49" fontId="5" fillId="10" borderId="11" xfId="0" applyNumberFormat="1" applyFont="1" applyFill="1" applyBorder="1" applyAlignment="1">
      <alignment horizontal="center" vertical="top"/>
    </xf>
    <xf numFmtId="165" fontId="19" fillId="7" borderId="7" xfId="0" applyNumberFormat="1" applyFont="1" applyFill="1" applyBorder="1" applyAlignment="1">
      <alignment horizontal="center" vertical="center" textRotation="90" wrapText="1"/>
    </xf>
    <xf numFmtId="0" fontId="21" fillId="7" borderId="30" xfId="0" applyFont="1" applyFill="1" applyBorder="1" applyAlignment="1">
      <alignment horizontal="center" vertical="center" wrapText="1"/>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10" borderId="26"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7" borderId="38" xfId="0" applyFont="1" applyFill="1" applyBorder="1" applyAlignment="1">
      <alignment horizontal="center" vertical="top" textRotation="90" wrapText="1"/>
    </xf>
    <xf numFmtId="0" fontId="11" fillId="0" borderId="7" xfId="0" applyFont="1" applyBorder="1" applyAlignment="1">
      <alignment horizontal="center" vertical="top" wrapText="1"/>
    </xf>
    <xf numFmtId="49" fontId="5" fillId="9" borderId="29" xfId="0" applyNumberFormat="1" applyFont="1" applyFill="1" applyBorder="1" applyAlignment="1">
      <alignment horizontal="center" vertical="top"/>
    </xf>
    <xf numFmtId="49" fontId="5" fillId="9" borderId="1" xfId="0" applyNumberFormat="1" applyFont="1" applyFill="1" applyBorder="1" applyAlignment="1">
      <alignment horizontal="center" vertical="top"/>
    </xf>
    <xf numFmtId="49" fontId="5" fillId="9" borderId="20" xfId="0" applyNumberFormat="1" applyFont="1" applyFill="1" applyBorder="1" applyAlignment="1">
      <alignment horizontal="center" vertical="top"/>
    </xf>
    <xf numFmtId="49" fontId="5" fillId="0" borderId="11" xfId="0" applyNumberFormat="1" applyFont="1" applyBorder="1" applyAlignment="1">
      <alignment horizontal="center" vertical="top"/>
    </xf>
    <xf numFmtId="49" fontId="3" fillId="7" borderId="52" xfId="0" applyNumberFormat="1" applyFont="1" applyFill="1" applyBorder="1" applyAlignment="1">
      <alignment horizontal="center" vertical="top" wrapText="1"/>
    </xf>
    <xf numFmtId="49" fontId="3" fillId="7" borderId="45" xfId="0" applyNumberFormat="1" applyFont="1" applyFill="1" applyBorder="1" applyAlignment="1">
      <alignment horizontal="center" vertical="top" wrapText="1"/>
    </xf>
    <xf numFmtId="0" fontId="3" fillId="3" borderId="28" xfId="0" applyFont="1" applyFill="1" applyBorder="1" applyAlignment="1">
      <alignment vertical="top" wrapText="1"/>
    </xf>
    <xf numFmtId="0" fontId="3" fillId="10" borderId="62" xfId="0"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49" fontId="3" fillId="7" borderId="8"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3" fillId="10" borderId="33" xfId="0" applyFont="1" applyFill="1" applyBorder="1" applyAlignment="1">
      <alignment horizontal="center" vertical="top" wrapText="1"/>
    </xf>
    <xf numFmtId="0" fontId="3" fillId="10" borderId="34" xfId="0" applyFont="1" applyFill="1" applyBorder="1" applyAlignment="1">
      <alignment horizontal="center"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0" fontId="11" fillId="10" borderId="33" xfId="0" applyFont="1" applyFill="1" applyBorder="1" applyAlignment="1">
      <alignment horizontal="right" vertical="top"/>
    </xf>
    <xf numFmtId="49" fontId="3" fillId="0" borderId="41" xfId="0" applyNumberFormat="1" applyFont="1" applyBorder="1" applyAlignment="1">
      <alignment horizontal="center" vertical="center" wrapText="1"/>
    </xf>
    <xf numFmtId="49" fontId="3" fillId="0" borderId="6"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0" fontId="18" fillId="0" borderId="7" xfId="0" applyFont="1" applyFill="1" applyBorder="1" applyAlignment="1">
      <alignment horizontal="left" vertical="top" wrapText="1"/>
    </xf>
    <xf numFmtId="49" fontId="5" fillId="0" borderId="20"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11" fillId="0" borderId="30" xfId="0" applyFont="1" applyBorder="1" applyAlignment="1"/>
    <xf numFmtId="49" fontId="5" fillId="0" borderId="50" xfId="0" applyNumberFormat="1" applyFont="1" applyBorder="1" applyAlignment="1">
      <alignment horizontal="center" vertical="top"/>
    </xf>
    <xf numFmtId="0" fontId="3" fillId="3" borderId="53" xfId="0" applyFont="1" applyFill="1" applyBorder="1" applyAlignment="1">
      <alignment vertical="top" wrapText="1"/>
    </xf>
    <xf numFmtId="0" fontId="3" fillId="3" borderId="0" xfId="0" applyFont="1" applyFill="1" applyBorder="1" applyAlignment="1">
      <alignment vertical="top" wrapText="1"/>
    </xf>
    <xf numFmtId="49" fontId="9" fillId="0" borderId="6" xfId="0" applyNumberFormat="1" applyFont="1" applyBorder="1" applyAlignment="1">
      <alignment horizontal="center" vertical="top" wrapText="1"/>
    </xf>
    <xf numFmtId="0" fontId="11" fillId="0" borderId="109" xfId="0"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29"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3"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49" fontId="3" fillId="0" borderId="6" xfId="0" applyNumberFormat="1" applyFont="1" applyFill="1" applyBorder="1" applyAlignment="1">
      <alignment horizontal="center" vertical="top" wrapText="1"/>
    </xf>
    <xf numFmtId="0" fontId="15" fillId="0" borderId="38" xfId="0" applyFont="1" applyFill="1" applyBorder="1" applyAlignment="1">
      <alignment horizontal="center" vertical="top" textRotation="90" wrapText="1"/>
    </xf>
    <xf numFmtId="0" fontId="15" fillId="0" borderId="30" xfId="0" applyFont="1" applyFill="1" applyBorder="1" applyAlignment="1">
      <alignment horizontal="center" vertical="top" textRotation="90" wrapText="1"/>
    </xf>
    <xf numFmtId="49" fontId="3" fillId="0" borderId="6"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0" fontId="3" fillId="0" borderId="21" xfId="0" applyFont="1" applyBorder="1" applyAlignment="1">
      <alignment horizontal="left" vertical="top" wrapText="1"/>
    </xf>
    <xf numFmtId="0" fontId="20" fillId="7" borderId="7" xfId="0" applyFont="1" applyFill="1" applyBorder="1" applyAlignment="1">
      <alignment horizontal="center" vertical="top" wrapText="1"/>
    </xf>
    <xf numFmtId="0" fontId="20" fillId="7" borderId="67" xfId="0" applyFont="1" applyFill="1" applyBorder="1" applyAlignment="1">
      <alignment horizontal="center" vertical="top" wrapText="1"/>
    </xf>
    <xf numFmtId="0" fontId="5" fillId="0" borderId="67" xfId="0" applyFont="1" applyFill="1" applyBorder="1" applyAlignment="1">
      <alignment horizontal="center"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69" xfId="0" applyNumberFormat="1" applyFont="1" applyBorder="1" applyAlignment="1">
      <alignment horizontal="center" textRotation="90" shrinkToFit="1"/>
    </xf>
    <xf numFmtId="0" fontId="11" fillId="10" borderId="62" xfId="0" applyFont="1" applyFill="1" applyBorder="1" applyAlignment="1">
      <alignment horizontal="right" vertical="top"/>
    </xf>
    <xf numFmtId="0" fontId="5" fillId="0" borderId="7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2" xfId="0" applyFont="1" applyBorder="1" applyAlignment="1">
      <alignment horizontal="center" vertical="center" wrapText="1"/>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49" fontId="3" fillId="0" borderId="5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67" xfId="0" applyNumberFormat="1" applyFont="1" applyBorder="1" applyAlignment="1">
      <alignment horizontal="center" vertical="top"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165" fontId="5" fillId="0" borderId="7" xfId="0" applyNumberFormat="1" applyFont="1" applyFill="1" applyBorder="1" applyAlignment="1">
      <alignment horizontal="center" vertical="center" textRotation="90" wrapText="1"/>
    </xf>
    <xf numFmtId="0" fontId="11" fillId="7" borderId="28" xfId="0" applyFont="1" applyFill="1" applyBorder="1" applyAlignment="1">
      <alignment vertical="top" wrapText="1"/>
    </xf>
    <xf numFmtId="165"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69" xfId="0" applyNumberFormat="1" applyFont="1" applyFill="1" applyBorder="1" applyAlignment="1">
      <alignment horizontal="center" vertical="center" textRotation="90" shrinkToFi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49" fontId="5" fillId="10" borderId="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3" fillId="0" borderId="8" xfId="0" applyNumberFormat="1" applyFont="1" applyBorder="1" applyAlignment="1">
      <alignment horizontal="center" vertical="top" wrapText="1"/>
    </xf>
    <xf numFmtId="0" fontId="3" fillId="3" borderId="94" xfId="0" applyFont="1" applyFill="1" applyBorder="1" applyAlignment="1">
      <alignment horizontal="left" vertical="top" wrapText="1"/>
    </xf>
    <xf numFmtId="49" fontId="3" fillId="7" borderId="41"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3" fontId="5" fillId="5" borderId="71" xfId="0" applyNumberFormat="1" applyFont="1" applyFill="1" applyBorder="1" applyAlignment="1">
      <alignment horizontal="center" vertical="top" wrapText="1"/>
    </xf>
    <xf numFmtId="3" fontId="5" fillId="5" borderId="76"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49" fontId="3" fillId="0" borderId="1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41" xfId="0" applyFont="1" applyBorder="1" applyAlignment="1">
      <alignment horizontal="center"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3" fillId="7" borderId="0" xfId="0" applyNumberFormat="1" applyFont="1" applyFill="1" applyAlignment="1">
      <alignment vertical="top"/>
    </xf>
    <xf numFmtId="3" fontId="11" fillId="7" borderId="0" xfId="0" applyNumberFormat="1" applyFont="1" applyFill="1" applyAlignment="1">
      <alignment vertical="top"/>
    </xf>
    <xf numFmtId="0" fontId="11" fillId="7" borderId="6" xfId="0" applyFont="1" applyFill="1" applyBorder="1" applyAlignment="1">
      <alignment horizontal="center" wrapText="1"/>
    </xf>
    <xf numFmtId="0" fontId="11" fillId="7" borderId="24" xfId="0" applyFont="1" applyFill="1" applyBorder="1" applyAlignment="1">
      <alignment horizontal="center" wrapText="1"/>
    </xf>
    <xf numFmtId="3" fontId="3" fillId="7" borderId="70"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3" fontId="5" fillId="4" borderId="75"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3" fillId="7" borderId="38" xfId="0" applyFont="1" applyFill="1" applyBorder="1" applyAlignment="1">
      <alignment horizontal="center" vertical="center" textRotation="90" wrapText="1"/>
    </xf>
    <xf numFmtId="0" fontId="3" fillId="0" borderId="47" xfId="0" applyFont="1" applyFill="1" applyBorder="1" applyAlignment="1">
      <alignment horizontal="left" vertical="top" wrapText="1"/>
    </xf>
    <xf numFmtId="0" fontId="11" fillId="0" borderId="49" xfId="0" applyFont="1" applyBorder="1" applyAlignment="1">
      <alignment horizontal="left" vertical="top" wrapText="1"/>
    </xf>
    <xf numFmtId="3" fontId="3" fillId="0" borderId="11" xfId="0" applyNumberFormat="1" applyFont="1" applyFill="1" applyBorder="1" applyAlignment="1">
      <alignment horizontal="center" vertical="center"/>
    </xf>
    <xf numFmtId="0" fontId="3" fillId="7" borderId="45" xfId="0" applyFont="1" applyFill="1" applyBorder="1" applyAlignment="1">
      <alignment vertical="top" wrapText="1"/>
    </xf>
    <xf numFmtId="0" fontId="19" fillId="0" borderId="51" xfId="0" applyFont="1" applyFill="1" applyBorder="1" applyAlignment="1">
      <alignment horizontal="center" vertical="top" textRotation="90" wrapText="1"/>
    </xf>
    <xf numFmtId="0" fontId="19" fillId="0" borderId="35" xfId="0" applyFont="1" applyFill="1" applyBorder="1" applyAlignment="1">
      <alignment horizontal="center" vertical="top" textRotation="90" wrapText="1"/>
    </xf>
    <xf numFmtId="0" fontId="21" fillId="0" borderId="35" xfId="0" applyFont="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0" fontId="3" fillId="7" borderId="41" xfId="0" applyFont="1" applyFill="1" applyBorder="1" applyAlignment="1">
      <alignment horizontal="center" vertical="center" wrapText="1"/>
    </xf>
    <xf numFmtId="49" fontId="3" fillId="7" borderId="44"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9" fillId="7" borderId="8"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11" fillId="7" borderId="38" xfId="0" applyFont="1" applyFill="1" applyBorder="1" applyAlignment="1">
      <alignment vertical="top"/>
    </xf>
    <xf numFmtId="166" fontId="3" fillId="0" borderId="11" xfId="0" applyNumberFormat="1" applyFont="1" applyFill="1" applyBorder="1" applyAlignment="1">
      <alignment horizontal="center" vertical="center"/>
    </xf>
    <xf numFmtId="0" fontId="11" fillId="0" borderId="29" xfId="0" applyFont="1" applyBorder="1" applyAlignment="1"/>
    <xf numFmtId="0" fontId="11" fillId="0" borderId="28" xfId="0" applyFont="1" applyBorder="1" applyAlignment="1"/>
    <xf numFmtId="0" fontId="3" fillId="0" borderId="38" xfId="0" applyFont="1" applyFill="1" applyBorder="1" applyAlignment="1">
      <alignment vertical="top" wrapText="1"/>
    </xf>
    <xf numFmtId="49" fontId="3" fillId="7" borderId="6" xfId="0" applyNumberFormat="1" applyFont="1" applyFill="1" applyBorder="1" applyAlignment="1">
      <alignment horizontal="center" vertical="center" wrapText="1"/>
    </xf>
    <xf numFmtId="0" fontId="18" fillId="7" borderId="120" xfId="0" applyFont="1" applyFill="1" applyBorder="1" applyAlignment="1">
      <alignment vertical="top" wrapText="1"/>
    </xf>
    <xf numFmtId="0" fontId="3" fillId="7" borderId="41" xfId="0" applyFont="1" applyFill="1" applyBorder="1" applyAlignment="1">
      <alignment horizontal="center" vertical="top" wrapText="1"/>
    </xf>
    <xf numFmtId="0" fontId="3" fillId="3" borderId="39"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3" fontId="3" fillId="0" borderId="18" xfId="0" applyNumberFormat="1" applyFont="1" applyFill="1" applyBorder="1" applyAlignment="1">
      <alignment horizontal="center" vertical="center"/>
    </xf>
    <xf numFmtId="0" fontId="11" fillId="7" borderId="7" xfId="0" applyFont="1" applyFill="1" applyBorder="1" applyAlignment="1">
      <alignment horizontal="left" wrapText="1"/>
    </xf>
    <xf numFmtId="0" fontId="11" fillId="0" borderId="6" xfId="0" applyFont="1" applyBorder="1" applyAlignment="1">
      <alignment horizontal="center" wrapText="1"/>
    </xf>
    <xf numFmtId="0" fontId="11" fillId="0" borderId="24" xfId="0" applyFont="1" applyBorder="1" applyAlignment="1">
      <alignment horizontal="center" wrapText="1"/>
    </xf>
    <xf numFmtId="0" fontId="3" fillId="10" borderId="65" xfId="0" applyFont="1" applyFill="1" applyBorder="1" applyAlignment="1">
      <alignment horizontal="center" vertical="top" wrapText="1"/>
    </xf>
    <xf numFmtId="49" fontId="5" fillId="3" borderId="18" xfId="0" applyNumberFormat="1" applyFont="1" applyFill="1" applyBorder="1" applyAlignment="1">
      <alignment horizontal="center" vertical="top" wrapText="1"/>
    </xf>
    <xf numFmtId="0" fontId="11" fillId="7" borderId="24"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38" xfId="0"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8"/>
  <sheetViews>
    <sheetView tabSelected="1" zoomScaleNormal="100" zoomScaleSheetLayoutView="100" workbookViewId="0">
      <selection activeCell="R21" sqref="R21"/>
    </sheetView>
  </sheetViews>
  <sheetFormatPr defaultRowHeight="12.75" x14ac:dyDescent="0.2"/>
  <cols>
    <col min="1" max="3" width="2.7109375" style="7" customWidth="1"/>
    <col min="4" max="4" width="35.7109375" style="7" customWidth="1"/>
    <col min="5" max="5" width="2.7109375" style="32" customWidth="1"/>
    <col min="6" max="6" width="3.140625" style="47" customWidth="1"/>
    <col min="7" max="7" width="8.42578125" style="8" customWidth="1"/>
    <col min="8" max="8" width="10" style="7" customWidth="1"/>
    <col min="9" max="9" width="9.85546875" style="7" customWidth="1"/>
    <col min="10" max="10" width="9.28515625" style="7" customWidth="1"/>
    <col min="11" max="11" width="35" style="7" customWidth="1"/>
    <col min="12" max="14" width="3.7109375" style="7" customWidth="1"/>
    <col min="15" max="16384" width="9.140625" style="6"/>
  </cols>
  <sheetData>
    <row r="1" spans="1:15" ht="15.75" x14ac:dyDescent="0.2">
      <c r="A1" s="2028" t="s">
        <v>257</v>
      </c>
      <c r="B1" s="2028"/>
      <c r="C1" s="2028"/>
      <c r="D1" s="2028"/>
      <c r="E1" s="2028"/>
      <c r="F1" s="2028"/>
      <c r="G1" s="2028"/>
      <c r="H1" s="2028"/>
      <c r="I1" s="2028"/>
      <c r="J1" s="2028"/>
      <c r="K1" s="2028"/>
      <c r="L1" s="2028"/>
      <c r="M1" s="2028"/>
      <c r="N1" s="2028"/>
    </row>
    <row r="2" spans="1:15" ht="15.75" x14ac:dyDescent="0.2">
      <c r="A2" s="2029" t="s">
        <v>44</v>
      </c>
      <c r="B2" s="2029"/>
      <c r="C2" s="2029"/>
      <c r="D2" s="2029"/>
      <c r="E2" s="2029"/>
      <c r="F2" s="2029"/>
      <c r="G2" s="2029"/>
      <c r="H2" s="2029"/>
      <c r="I2" s="2029"/>
      <c r="J2" s="2029"/>
      <c r="K2" s="2029"/>
      <c r="L2" s="2029"/>
      <c r="M2" s="2029"/>
      <c r="N2" s="2029"/>
    </row>
    <row r="3" spans="1:15" ht="15.75" x14ac:dyDescent="0.2">
      <c r="A3" s="2030" t="s">
        <v>30</v>
      </c>
      <c r="B3" s="2030"/>
      <c r="C3" s="2030"/>
      <c r="D3" s="2030"/>
      <c r="E3" s="2030"/>
      <c r="F3" s="2030"/>
      <c r="G3" s="2030"/>
      <c r="H3" s="2030"/>
      <c r="I3" s="2030"/>
      <c r="J3" s="2030"/>
      <c r="K3" s="2030"/>
      <c r="L3" s="2030"/>
      <c r="M3" s="2030"/>
      <c r="N3" s="2030"/>
      <c r="O3" s="4"/>
    </row>
    <row r="4" spans="1:15" ht="13.5" thickBot="1" x14ac:dyDescent="0.25">
      <c r="A4" s="85"/>
      <c r="B4" s="85"/>
      <c r="C4" s="85"/>
      <c r="D4" s="85"/>
      <c r="E4" s="86"/>
      <c r="F4" s="87"/>
      <c r="G4" s="1806"/>
      <c r="H4" s="85"/>
      <c r="I4" s="85"/>
      <c r="J4" s="85"/>
      <c r="K4" s="85"/>
      <c r="L4" s="2031" t="s">
        <v>252</v>
      </c>
      <c r="M4" s="2031"/>
      <c r="N4" s="2031"/>
    </row>
    <row r="5" spans="1:15" ht="21" customHeight="1" x14ac:dyDescent="0.2">
      <c r="A5" s="2032" t="s">
        <v>31</v>
      </c>
      <c r="B5" s="2035" t="s">
        <v>1</v>
      </c>
      <c r="C5" s="2035" t="s">
        <v>2</v>
      </c>
      <c r="D5" s="2038" t="s">
        <v>15</v>
      </c>
      <c r="E5" s="2041" t="s">
        <v>3</v>
      </c>
      <c r="F5" s="2044" t="s">
        <v>4</v>
      </c>
      <c r="G5" s="2047" t="s">
        <v>5</v>
      </c>
      <c r="H5" s="2050" t="s">
        <v>256</v>
      </c>
      <c r="I5" s="2047" t="s">
        <v>122</v>
      </c>
      <c r="J5" s="2047" t="s">
        <v>191</v>
      </c>
      <c r="K5" s="2053" t="s">
        <v>14</v>
      </c>
      <c r="L5" s="2054"/>
      <c r="M5" s="2054"/>
      <c r="N5" s="2055"/>
    </row>
    <row r="6" spans="1:15" ht="17.25" customHeight="1" x14ac:dyDescent="0.2">
      <c r="A6" s="2033"/>
      <c r="B6" s="2036"/>
      <c r="C6" s="2036"/>
      <c r="D6" s="2039"/>
      <c r="E6" s="2042"/>
      <c r="F6" s="2045"/>
      <c r="G6" s="2048"/>
      <c r="H6" s="2051"/>
      <c r="I6" s="2048"/>
      <c r="J6" s="2048"/>
      <c r="K6" s="2056" t="s">
        <v>15</v>
      </c>
      <c r="L6" s="2058" t="s">
        <v>171</v>
      </c>
      <c r="M6" s="2059"/>
      <c r="N6" s="2060"/>
    </row>
    <row r="7" spans="1:15" ht="86.25" customHeight="1" thickBot="1" x14ac:dyDescent="0.25">
      <c r="A7" s="2034"/>
      <c r="B7" s="2037"/>
      <c r="C7" s="2037"/>
      <c r="D7" s="2040"/>
      <c r="E7" s="2043"/>
      <c r="F7" s="2046"/>
      <c r="G7" s="2049"/>
      <c r="H7" s="2052"/>
      <c r="I7" s="2049"/>
      <c r="J7" s="2049"/>
      <c r="K7" s="2057"/>
      <c r="L7" s="422" t="s">
        <v>93</v>
      </c>
      <c r="M7" s="422" t="s">
        <v>123</v>
      </c>
      <c r="N7" s="423" t="s">
        <v>192</v>
      </c>
    </row>
    <row r="8" spans="1:15" s="44" customFormat="1" x14ac:dyDescent="0.2">
      <c r="A8" s="2000" t="s">
        <v>89</v>
      </c>
      <c r="B8" s="2001"/>
      <c r="C8" s="2001"/>
      <c r="D8" s="2001"/>
      <c r="E8" s="2001"/>
      <c r="F8" s="2001"/>
      <c r="G8" s="2001"/>
      <c r="H8" s="2001"/>
      <c r="I8" s="2001"/>
      <c r="J8" s="2001"/>
      <c r="K8" s="2001"/>
      <c r="L8" s="2001"/>
      <c r="M8" s="2001"/>
      <c r="N8" s="2002"/>
    </row>
    <row r="9" spans="1:15" s="44" customFormat="1" x14ac:dyDescent="0.2">
      <c r="A9" s="2003" t="s">
        <v>41</v>
      </c>
      <c r="B9" s="2004"/>
      <c r="C9" s="2004"/>
      <c r="D9" s="2004"/>
      <c r="E9" s="2004"/>
      <c r="F9" s="2004"/>
      <c r="G9" s="2004"/>
      <c r="H9" s="2004"/>
      <c r="I9" s="2004"/>
      <c r="J9" s="2004"/>
      <c r="K9" s="2004"/>
      <c r="L9" s="2004"/>
      <c r="M9" s="2004"/>
      <c r="N9" s="2005"/>
    </row>
    <row r="10" spans="1:15" ht="15.75" customHeight="1" x14ac:dyDescent="0.2">
      <c r="A10" s="91" t="s">
        <v>8</v>
      </c>
      <c r="B10" s="2006" t="s">
        <v>45</v>
      </c>
      <c r="C10" s="2007"/>
      <c r="D10" s="2007"/>
      <c r="E10" s="2007"/>
      <c r="F10" s="2007"/>
      <c r="G10" s="2007"/>
      <c r="H10" s="2007"/>
      <c r="I10" s="2007"/>
      <c r="J10" s="2007"/>
      <c r="K10" s="2007"/>
      <c r="L10" s="2007"/>
      <c r="M10" s="2007"/>
      <c r="N10" s="2008"/>
    </row>
    <row r="11" spans="1:15" x14ac:dyDescent="0.2">
      <c r="A11" s="1830" t="s">
        <v>8</v>
      </c>
      <c r="B11" s="64" t="s">
        <v>8</v>
      </c>
      <c r="C11" s="2009" t="s">
        <v>46</v>
      </c>
      <c r="D11" s="2010"/>
      <c r="E11" s="2010"/>
      <c r="F11" s="2010"/>
      <c r="G11" s="2010"/>
      <c r="H11" s="2010"/>
      <c r="I11" s="2010"/>
      <c r="J11" s="2010"/>
      <c r="K11" s="2010"/>
      <c r="L11" s="2010"/>
      <c r="M11" s="2010"/>
      <c r="N11" s="2011"/>
    </row>
    <row r="12" spans="1:15" ht="34.5" x14ac:dyDescent="0.2">
      <c r="A12" s="1801" t="s">
        <v>8</v>
      </c>
      <c r="B12" s="1802" t="s">
        <v>8</v>
      </c>
      <c r="C12" s="1803" t="s">
        <v>8</v>
      </c>
      <c r="D12" s="823" t="s">
        <v>71</v>
      </c>
      <c r="E12" s="850" t="s">
        <v>141</v>
      </c>
      <c r="F12" s="1804" t="s">
        <v>63</v>
      </c>
      <c r="G12" s="1427"/>
      <c r="H12" s="1958"/>
      <c r="I12" s="690"/>
      <c r="J12" s="824"/>
      <c r="K12" s="114"/>
      <c r="L12" s="53"/>
      <c r="M12" s="55"/>
      <c r="N12" s="56"/>
    </row>
    <row r="13" spans="1:15" ht="13.5" customHeight="1" x14ac:dyDescent="0.2">
      <c r="A13" s="1998"/>
      <c r="B13" s="1999"/>
      <c r="C13" s="2012"/>
      <c r="D13" s="2022" t="s">
        <v>378</v>
      </c>
      <c r="E13" s="1807" t="s">
        <v>68</v>
      </c>
      <c r="F13" s="2013"/>
      <c r="G13" s="1119" t="s">
        <v>40</v>
      </c>
      <c r="H13" s="1977">
        <v>376.6</v>
      </c>
      <c r="I13" s="1101">
        <v>557.70000000000005</v>
      </c>
      <c r="J13" s="1416">
        <f>486.2-267.9</f>
        <v>218.3</v>
      </c>
      <c r="K13" s="1391" t="s">
        <v>200</v>
      </c>
      <c r="L13" s="178"/>
      <c r="M13" s="1967" t="s">
        <v>245</v>
      </c>
      <c r="N13" s="179"/>
    </row>
    <row r="14" spans="1:15" ht="13.5" customHeight="1" x14ac:dyDescent="0.2">
      <c r="A14" s="1998"/>
      <c r="B14" s="1999"/>
      <c r="C14" s="2012"/>
      <c r="D14" s="2023"/>
      <c r="E14" s="2014" t="s">
        <v>241</v>
      </c>
      <c r="F14" s="2013"/>
      <c r="G14" s="739" t="s">
        <v>188</v>
      </c>
      <c r="H14" s="1190">
        <v>193.5</v>
      </c>
      <c r="I14" s="682"/>
      <c r="J14" s="1658">
        <f>46.2-13.1</f>
        <v>33.1</v>
      </c>
      <c r="K14" s="208" t="s">
        <v>158</v>
      </c>
      <c r="L14" s="201"/>
      <c r="M14" s="491" t="s">
        <v>79</v>
      </c>
      <c r="N14" s="54"/>
    </row>
    <row r="15" spans="1:15" ht="15.75" customHeight="1" x14ac:dyDescent="0.2">
      <c r="A15" s="1998"/>
      <c r="B15" s="1999"/>
      <c r="C15" s="2012"/>
      <c r="D15" s="2023"/>
      <c r="E15" s="2015"/>
      <c r="F15" s="2013"/>
      <c r="G15" s="739" t="s">
        <v>205</v>
      </c>
      <c r="H15" s="1190"/>
      <c r="I15" s="682"/>
      <c r="J15" s="1658">
        <f>227-162.1</f>
        <v>64.900000000000006</v>
      </c>
      <c r="K15" s="2025" t="s">
        <v>361</v>
      </c>
      <c r="L15" s="1426"/>
      <c r="M15" s="1549"/>
      <c r="N15" s="494">
        <v>15</v>
      </c>
      <c r="O15" s="683"/>
    </row>
    <row r="16" spans="1:15" ht="23.25" customHeight="1" x14ac:dyDescent="0.2">
      <c r="A16" s="1998"/>
      <c r="B16" s="1999"/>
      <c r="C16" s="2012"/>
      <c r="D16" s="2023"/>
      <c r="E16" s="2015"/>
      <c r="F16" s="2013"/>
      <c r="G16" s="1428" t="s">
        <v>64</v>
      </c>
      <c r="H16" s="677"/>
      <c r="I16" s="1425"/>
      <c r="J16" s="1661">
        <f>2946.7-1960.5</f>
        <v>986.2</v>
      </c>
      <c r="K16" s="2026"/>
      <c r="L16" s="1390"/>
      <c r="M16" s="1550"/>
      <c r="N16" s="256"/>
      <c r="O16" s="683"/>
    </row>
    <row r="17" spans="1:15" ht="12.75" customHeight="1" x14ac:dyDescent="0.2">
      <c r="A17" s="1998"/>
      <c r="B17" s="1999"/>
      <c r="C17" s="2012"/>
      <c r="D17" s="2024" t="s">
        <v>366</v>
      </c>
      <c r="E17" s="2015"/>
      <c r="F17" s="2013"/>
      <c r="G17" s="799"/>
      <c r="H17" s="677"/>
      <c r="I17" s="680"/>
      <c r="J17" s="681"/>
      <c r="K17" s="2025" t="s">
        <v>362</v>
      </c>
      <c r="L17" s="492"/>
      <c r="M17" s="493"/>
      <c r="N17" s="494">
        <v>15</v>
      </c>
      <c r="O17" s="683"/>
    </row>
    <row r="18" spans="1:15" ht="25.5" customHeight="1" x14ac:dyDescent="0.2">
      <c r="A18" s="1998"/>
      <c r="B18" s="1999"/>
      <c r="C18" s="2012"/>
      <c r="D18" s="2023"/>
      <c r="E18" s="2015"/>
      <c r="F18" s="2013"/>
      <c r="G18" s="799"/>
      <c r="H18" s="677"/>
      <c r="I18" s="680"/>
      <c r="J18" s="681"/>
      <c r="K18" s="2027"/>
      <c r="L18" s="1832"/>
      <c r="M18" s="491"/>
      <c r="N18" s="54"/>
      <c r="O18" s="683"/>
    </row>
    <row r="19" spans="1:15" ht="12.75" customHeight="1" x14ac:dyDescent="0.2">
      <c r="A19" s="1998"/>
      <c r="B19" s="1999"/>
      <c r="C19" s="2012"/>
      <c r="D19" s="2016" t="s">
        <v>379</v>
      </c>
      <c r="E19" s="2015"/>
      <c r="F19" s="2013"/>
      <c r="G19" s="630"/>
      <c r="H19" s="677"/>
      <c r="I19" s="680"/>
      <c r="J19" s="681"/>
      <c r="K19" s="2027"/>
      <c r="L19" s="1832"/>
      <c r="M19" s="491"/>
      <c r="N19" s="54"/>
    </row>
    <row r="20" spans="1:15" ht="51.75" customHeight="1" x14ac:dyDescent="0.2">
      <c r="A20" s="1998"/>
      <c r="B20" s="1999"/>
      <c r="C20" s="2012"/>
      <c r="D20" s="2016"/>
      <c r="E20" s="851"/>
      <c r="F20" s="2013"/>
      <c r="G20" s="119"/>
      <c r="H20" s="534"/>
      <c r="I20" s="685"/>
      <c r="J20" s="686"/>
      <c r="K20" s="2027"/>
      <c r="L20" s="1832"/>
      <c r="M20" s="491"/>
      <c r="N20" s="54"/>
    </row>
    <row r="21" spans="1:15" x14ac:dyDescent="0.2">
      <c r="A21" s="1998"/>
      <c r="B21" s="1999"/>
      <c r="C21" s="2012"/>
      <c r="D21" s="2017" t="s">
        <v>367</v>
      </c>
      <c r="E21" s="2019" t="s">
        <v>241</v>
      </c>
      <c r="F21" s="2021"/>
      <c r="G21" s="83" t="s">
        <v>187</v>
      </c>
      <c r="H21" s="696"/>
      <c r="I21" s="688"/>
      <c r="J21" s="689"/>
      <c r="K21" s="164" t="s">
        <v>158</v>
      </c>
      <c r="L21" s="211">
        <v>1</v>
      </c>
      <c r="M21" s="209"/>
      <c r="N21" s="210"/>
    </row>
    <row r="22" spans="1:15" ht="26.25" customHeight="1" x14ac:dyDescent="0.2">
      <c r="A22" s="1998"/>
      <c r="B22" s="1999"/>
      <c r="C22" s="2012"/>
      <c r="D22" s="2018"/>
      <c r="E22" s="2020"/>
      <c r="F22" s="2021"/>
      <c r="G22" s="79" t="s">
        <v>40</v>
      </c>
      <c r="H22" s="536">
        <v>45.3</v>
      </c>
      <c r="I22" s="685"/>
      <c r="J22" s="686"/>
      <c r="K22" s="1833" t="s">
        <v>137</v>
      </c>
      <c r="L22" s="201">
        <v>1</v>
      </c>
      <c r="M22" s="21"/>
      <c r="N22" s="22"/>
      <c r="O22" s="683"/>
    </row>
    <row r="23" spans="1:15" x14ac:dyDescent="0.2">
      <c r="A23" s="1998"/>
      <c r="B23" s="1999"/>
      <c r="C23" s="2012"/>
      <c r="D23" s="2017" t="s">
        <v>179</v>
      </c>
      <c r="E23" s="2068" t="s">
        <v>68</v>
      </c>
      <c r="F23" s="2021"/>
      <c r="G23" s="496" t="s">
        <v>188</v>
      </c>
      <c r="H23" s="696">
        <v>0</v>
      </c>
      <c r="I23" s="691">
        <v>35</v>
      </c>
      <c r="J23" s="689"/>
      <c r="K23" s="2072" t="s">
        <v>206</v>
      </c>
      <c r="L23" s="88"/>
      <c r="M23" s="34">
        <v>1</v>
      </c>
      <c r="N23" s="35"/>
    </row>
    <row r="24" spans="1:15" x14ac:dyDescent="0.2">
      <c r="A24" s="1998"/>
      <c r="B24" s="1999"/>
      <c r="C24" s="2012"/>
      <c r="D24" s="2067"/>
      <c r="E24" s="2069"/>
      <c r="F24" s="2021"/>
      <c r="G24" s="786" t="s">
        <v>40</v>
      </c>
      <c r="H24" s="534"/>
      <c r="I24" s="685"/>
      <c r="J24" s="686"/>
      <c r="K24" s="2071"/>
      <c r="L24" s="159"/>
      <c r="M24" s="30"/>
      <c r="N24" s="31"/>
    </row>
    <row r="25" spans="1:15" x14ac:dyDescent="0.2">
      <c r="A25" s="1801"/>
      <c r="B25" s="1802"/>
      <c r="C25" s="1803"/>
      <c r="D25" s="2065" t="s">
        <v>294</v>
      </c>
      <c r="E25" s="1881" t="s">
        <v>68</v>
      </c>
      <c r="F25" s="2021"/>
      <c r="G25" s="13" t="s">
        <v>40</v>
      </c>
      <c r="H25" s="1072">
        <v>46</v>
      </c>
      <c r="I25" s="678"/>
      <c r="J25" s="679"/>
      <c r="K25" s="1452" t="s">
        <v>365</v>
      </c>
      <c r="L25" s="1842">
        <v>100</v>
      </c>
      <c r="M25" s="1842"/>
      <c r="N25" s="1865"/>
    </row>
    <row r="26" spans="1:15" ht="14.25" customHeight="1" x14ac:dyDescent="0.2">
      <c r="A26" s="1801"/>
      <c r="B26" s="1802"/>
      <c r="C26" s="1803"/>
      <c r="D26" s="2065"/>
      <c r="E26" s="2061" t="s">
        <v>145</v>
      </c>
      <c r="F26" s="2021"/>
      <c r="G26" s="206" t="s">
        <v>188</v>
      </c>
      <c r="H26" s="1072">
        <v>962.5</v>
      </c>
      <c r="I26" s="678"/>
      <c r="J26" s="679"/>
      <c r="K26" s="1093" t="s">
        <v>315</v>
      </c>
      <c r="L26" s="1842">
        <v>2</v>
      </c>
      <c r="M26" s="1842"/>
      <c r="N26" s="1865"/>
    </row>
    <row r="27" spans="1:15" x14ac:dyDescent="0.2">
      <c r="A27" s="1801"/>
      <c r="B27" s="1802"/>
      <c r="C27" s="1803"/>
      <c r="D27" s="2066"/>
      <c r="E27" s="2062"/>
      <c r="F27" s="2021"/>
      <c r="G27" s="119" t="s">
        <v>65</v>
      </c>
      <c r="H27" s="534"/>
      <c r="I27" s="692"/>
      <c r="J27" s="693"/>
      <c r="K27" s="504"/>
      <c r="L27" s="53"/>
      <c r="M27" s="53"/>
      <c r="N27" s="258"/>
    </row>
    <row r="28" spans="1:15" x14ac:dyDescent="0.2">
      <c r="A28" s="1801"/>
      <c r="B28" s="1802"/>
      <c r="C28" s="196"/>
      <c r="D28" s="2065" t="s">
        <v>295</v>
      </c>
      <c r="E28" s="2063"/>
      <c r="F28" s="1805"/>
      <c r="G28" s="496" t="s">
        <v>65</v>
      </c>
      <c r="H28" s="696">
        <v>25</v>
      </c>
      <c r="I28" s="691">
        <v>52</v>
      </c>
      <c r="J28" s="689"/>
      <c r="K28" s="2070" t="s">
        <v>158</v>
      </c>
      <c r="L28" s="603"/>
      <c r="M28" s="604">
        <v>1</v>
      </c>
      <c r="N28" s="605"/>
    </row>
    <row r="29" spans="1:15" x14ac:dyDescent="0.2">
      <c r="A29" s="1801"/>
      <c r="B29" s="1802"/>
      <c r="C29" s="196"/>
      <c r="D29" s="2066"/>
      <c r="E29" s="2064"/>
      <c r="F29" s="1805"/>
      <c r="G29" s="79"/>
      <c r="H29" s="534"/>
      <c r="I29" s="694"/>
      <c r="J29" s="695"/>
      <c r="K29" s="2071"/>
      <c r="L29" s="645"/>
      <c r="M29" s="106"/>
      <c r="N29" s="608"/>
    </row>
    <row r="30" spans="1:15" ht="27" customHeight="1" x14ac:dyDescent="0.2">
      <c r="A30" s="1801"/>
      <c r="B30" s="1802"/>
      <c r="C30" s="1803"/>
      <c r="D30" s="2075" t="s">
        <v>380</v>
      </c>
      <c r="E30" s="743"/>
      <c r="F30" s="1804"/>
      <c r="G30" s="496" t="s">
        <v>40</v>
      </c>
      <c r="H30" s="696">
        <v>15</v>
      </c>
      <c r="I30" s="687">
        <v>35</v>
      </c>
      <c r="J30" s="696"/>
      <c r="K30" s="1808" t="s">
        <v>381</v>
      </c>
      <c r="L30" s="130"/>
      <c r="M30" s="130">
        <v>1</v>
      </c>
      <c r="N30" s="131"/>
    </row>
    <row r="31" spans="1:15" ht="27" customHeight="1" x14ac:dyDescent="0.2">
      <c r="A31" s="1801"/>
      <c r="B31" s="1802"/>
      <c r="C31" s="1803"/>
      <c r="D31" s="2076"/>
      <c r="E31" s="743"/>
      <c r="F31" s="1804"/>
      <c r="G31" s="630" t="s">
        <v>188</v>
      </c>
      <c r="H31" s="677"/>
      <c r="I31" s="677">
        <v>75</v>
      </c>
      <c r="J31" s="704">
        <v>150</v>
      </c>
      <c r="K31" s="157" t="s">
        <v>359</v>
      </c>
      <c r="L31" s="139"/>
      <c r="M31" s="139">
        <v>1</v>
      </c>
      <c r="N31" s="140"/>
    </row>
    <row r="32" spans="1:15" ht="25.5" customHeight="1" x14ac:dyDescent="0.2">
      <c r="A32" s="1801"/>
      <c r="B32" s="1802"/>
      <c r="C32" s="1803"/>
      <c r="D32" s="2077"/>
      <c r="E32" s="1812"/>
      <c r="F32" s="1804"/>
      <c r="G32" s="1429"/>
      <c r="H32" s="684"/>
      <c r="I32" s="684"/>
      <c r="J32" s="534"/>
      <c r="K32" s="1551" t="s">
        <v>358</v>
      </c>
      <c r="L32" s="106"/>
      <c r="M32" s="106"/>
      <c r="N32" s="107">
        <v>30</v>
      </c>
    </row>
    <row r="33" spans="1:15" ht="14.25" customHeight="1" x14ac:dyDescent="0.2">
      <c r="A33" s="1998"/>
      <c r="B33" s="1999"/>
      <c r="C33" s="2012"/>
      <c r="D33" s="2017" t="s">
        <v>382</v>
      </c>
      <c r="E33" s="2080"/>
      <c r="F33" s="2013"/>
      <c r="G33" s="5" t="s">
        <v>188</v>
      </c>
      <c r="H33" s="677"/>
      <c r="I33" s="678"/>
      <c r="J33" s="681">
        <v>60</v>
      </c>
      <c r="K33" s="1821" t="s">
        <v>355</v>
      </c>
      <c r="L33" s="1411"/>
      <c r="M33" s="1412"/>
      <c r="N33" s="1552">
        <v>1</v>
      </c>
    </row>
    <row r="34" spans="1:15" ht="26.25" customHeight="1" x14ac:dyDescent="0.2">
      <c r="A34" s="1998"/>
      <c r="B34" s="1999"/>
      <c r="C34" s="2012"/>
      <c r="D34" s="2078"/>
      <c r="E34" s="2080"/>
      <c r="F34" s="2082"/>
      <c r="G34" s="802" t="s">
        <v>40</v>
      </c>
      <c r="H34" s="677"/>
      <c r="I34" s="678"/>
      <c r="J34" s="681"/>
      <c r="K34" s="1824" t="s">
        <v>356</v>
      </c>
      <c r="L34" s="1411"/>
      <c r="M34" s="1869"/>
      <c r="N34" s="1413"/>
    </row>
    <row r="35" spans="1:15" ht="13.5" thickBot="1" x14ac:dyDescent="0.25">
      <c r="A35" s="1801"/>
      <c r="B35" s="1802"/>
      <c r="C35" s="1803"/>
      <c r="D35" s="2079"/>
      <c r="E35" s="2081"/>
      <c r="F35" s="2083"/>
      <c r="G35" s="804" t="s">
        <v>9</v>
      </c>
      <c r="H35" s="746">
        <f>SUM(H13:H34)</f>
        <v>1663.9</v>
      </c>
      <c r="I35" s="746">
        <f>SUM(I13:I34)</f>
        <v>754.7</v>
      </c>
      <c r="J35" s="745">
        <f>SUM(J13:J34)</f>
        <v>1512.5</v>
      </c>
      <c r="K35" s="1825"/>
      <c r="L35" s="1827"/>
      <c r="M35" s="1827"/>
      <c r="N35" s="1414"/>
    </row>
    <row r="36" spans="1:15" ht="31.5" customHeight="1" x14ac:dyDescent="0.2">
      <c r="A36" s="1845" t="s">
        <v>8</v>
      </c>
      <c r="B36" s="1847" t="s">
        <v>8</v>
      </c>
      <c r="C36" s="1851" t="s">
        <v>10</v>
      </c>
      <c r="D36" s="66" t="s">
        <v>72</v>
      </c>
      <c r="E36" s="852" t="s">
        <v>144</v>
      </c>
      <c r="F36" s="1042" t="s">
        <v>63</v>
      </c>
      <c r="G36" s="806"/>
      <c r="H36" s="1084"/>
      <c r="I36" s="700"/>
      <c r="J36" s="701"/>
      <c r="K36" s="127"/>
      <c r="L36" s="146"/>
      <c r="M36" s="155"/>
      <c r="N36" s="156"/>
    </row>
    <row r="37" spans="1:15" ht="18" customHeight="1" x14ac:dyDescent="0.2">
      <c r="A37" s="2073"/>
      <c r="B37" s="1999"/>
      <c r="C37" s="2012"/>
      <c r="D37" s="2074" t="s">
        <v>85</v>
      </c>
      <c r="E37" s="560" t="s">
        <v>68</v>
      </c>
      <c r="F37" s="2013"/>
      <c r="G37" s="573" t="s">
        <v>188</v>
      </c>
      <c r="H37" s="1080">
        <v>9</v>
      </c>
      <c r="I37" s="688">
        <v>700</v>
      </c>
      <c r="J37" s="702">
        <v>1200</v>
      </c>
      <c r="K37" s="1833" t="s">
        <v>66</v>
      </c>
      <c r="L37" s="21">
        <v>1</v>
      </c>
      <c r="M37" s="21"/>
      <c r="N37" s="22"/>
    </row>
    <row r="38" spans="1:15" ht="29.25" customHeight="1" x14ac:dyDescent="0.2">
      <c r="A38" s="2073"/>
      <c r="B38" s="1999"/>
      <c r="C38" s="2012"/>
      <c r="D38" s="2074"/>
      <c r="E38" s="560"/>
      <c r="F38" s="2013"/>
      <c r="G38" s="807" t="s">
        <v>40</v>
      </c>
      <c r="H38" s="1081"/>
      <c r="I38" s="694">
        <v>900</v>
      </c>
      <c r="J38" s="695">
        <v>1600</v>
      </c>
      <c r="K38" s="165" t="s">
        <v>178</v>
      </c>
      <c r="L38" s="30"/>
      <c r="M38" s="30">
        <v>30</v>
      </c>
      <c r="N38" s="31">
        <v>70</v>
      </c>
    </row>
    <row r="39" spans="1:15" ht="26.25" customHeight="1" x14ac:dyDescent="0.2">
      <c r="A39" s="2073"/>
      <c r="B39" s="1999"/>
      <c r="C39" s="2012"/>
      <c r="D39" s="2088" t="s">
        <v>161</v>
      </c>
      <c r="E39" s="2090" t="s">
        <v>68</v>
      </c>
      <c r="F39" s="2013"/>
      <c r="G39" s="630" t="s">
        <v>188</v>
      </c>
      <c r="H39" s="1082">
        <v>260</v>
      </c>
      <c r="I39" s="703"/>
      <c r="J39" s="704"/>
      <c r="K39" s="1858" t="s">
        <v>134</v>
      </c>
      <c r="L39" s="501">
        <v>100</v>
      </c>
      <c r="M39" s="1412"/>
      <c r="N39" s="1870"/>
    </row>
    <row r="40" spans="1:15" ht="18.75" customHeight="1" x14ac:dyDescent="0.2">
      <c r="A40" s="2073"/>
      <c r="B40" s="1999"/>
      <c r="C40" s="2012"/>
      <c r="D40" s="2074"/>
      <c r="E40" s="2091"/>
      <c r="F40" s="2013"/>
      <c r="G40" s="630" t="s">
        <v>40</v>
      </c>
      <c r="H40" s="1082">
        <v>101.1</v>
      </c>
      <c r="I40" s="680"/>
      <c r="J40" s="681"/>
      <c r="K40" s="149" t="s">
        <v>84</v>
      </c>
      <c r="L40" s="499"/>
      <c r="M40" s="150"/>
      <c r="N40" s="151"/>
    </row>
    <row r="41" spans="1:15" ht="32.25" customHeight="1" x14ac:dyDescent="0.2">
      <c r="A41" s="2073"/>
      <c r="B41" s="1999"/>
      <c r="C41" s="2012"/>
      <c r="D41" s="2089"/>
      <c r="E41" s="2092"/>
      <c r="F41" s="2013"/>
      <c r="G41" s="200" t="s">
        <v>40</v>
      </c>
      <c r="H41" s="1083"/>
      <c r="I41" s="685"/>
      <c r="J41" s="686"/>
      <c r="K41" s="167" t="s">
        <v>135</v>
      </c>
      <c r="L41" s="500">
        <v>100</v>
      </c>
      <c r="M41" s="170"/>
      <c r="N41" s="163"/>
      <c r="O41" s="683"/>
    </row>
    <row r="42" spans="1:15" ht="32.25" customHeight="1" x14ac:dyDescent="0.2">
      <c r="A42" s="1809"/>
      <c r="B42" s="1802"/>
      <c r="C42" s="1803"/>
      <c r="D42" s="1810" t="s">
        <v>148</v>
      </c>
      <c r="E42" s="1820"/>
      <c r="F42" s="1804"/>
      <c r="G42" s="807" t="s">
        <v>187</v>
      </c>
      <c r="H42" s="1214">
        <v>7.9</v>
      </c>
      <c r="I42" s="732"/>
      <c r="J42" s="731"/>
      <c r="K42" s="1831" t="s">
        <v>316</v>
      </c>
      <c r="L42" s="1095">
        <v>100</v>
      </c>
      <c r="M42" s="1096"/>
      <c r="N42" s="1455"/>
      <c r="O42" s="683"/>
    </row>
    <row r="43" spans="1:15" ht="42" customHeight="1" x14ac:dyDescent="0.2">
      <c r="A43" s="2073"/>
      <c r="B43" s="1999"/>
      <c r="C43" s="2012"/>
      <c r="D43" s="2022" t="s">
        <v>368</v>
      </c>
      <c r="E43" s="543" t="s">
        <v>68</v>
      </c>
      <c r="F43" s="2013"/>
      <c r="G43" s="630" t="s">
        <v>188</v>
      </c>
      <c r="H43" s="1082">
        <v>6.4</v>
      </c>
      <c r="I43" s="687">
        <f>450+93.6</f>
        <v>543.6</v>
      </c>
      <c r="J43" s="704">
        <v>600</v>
      </c>
      <c r="K43" s="1833" t="s">
        <v>374</v>
      </c>
      <c r="L43" s="21"/>
      <c r="M43" s="21">
        <v>1</v>
      </c>
      <c r="N43" s="22"/>
    </row>
    <row r="44" spans="1:15" ht="55.5" customHeight="1" x14ac:dyDescent="0.2">
      <c r="A44" s="2073"/>
      <c r="B44" s="1999"/>
      <c r="C44" s="2012"/>
      <c r="D44" s="2016"/>
      <c r="E44" s="560"/>
      <c r="F44" s="2013"/>
      <c r="G44" s="630" t="s">
        <v>40</v>
      </c>
      <c r="H44" s="1082">
        <v>130</v>
      </c>
      <c r="I44" s="677">
        <v>30</v>
      </c>
      <c r="J44" s="704">
        <v>30</v>
      </c>
      <c r="K44" s="135" t="s">
        <v>375</v>
      </c>
      <c r="L44" s="1456"/>
      <c r="M44" s="1456">
        <v>1</v>
      </c>
      <c r="N44" s="1457"/>
    </row>
    <row r="45" spans="1:15" ht="44.25" customHeight="1" x14ac:dyDescent="0.2">
      <c r="A45" s="2073"/>
      <c r="B45" s="1999"/>
      <c r="C45" s="2012"/>
      <c r="D45" s="2016"/>
      <c r="E45" s="560"/>
      <c r="F45" s="2013"/>
      <c r="G45" s="630"/>
      <c r="H45" s="1082"/>
      <c r="I45" s="677"/>
      <c r="J45" s="704"/>
      <c r="K45" s="157" t="s">
        <v>376</v>
      </c>
      <c r="L45" s="1456"/>
      <c r="M45" s="1553" t="s">
        <v>240</v>
      </c>
      <c r="N45" s="1554"/>
    </row>
    <row r="46" spans="1:15" ht="42.75" customHeight="1" x14ac:dyDescent="0.2">
      <c r="A46" s="2073"/>
      <c r="B46" s="1999"/>
      <c r="C46" s="2012"/>
      <c r="D46" s="2016"/>
      <c r="E46" s="560"/>
      <c r="F46" s="2013"/>
      <c r="G46" s="630"/>
      <c r="H46" s="1082"/>
      <c r="I46" s="677"/>
      <c r="J46" s="704"/>
      <c r="K46" s="1551" t="s">
        <v>377</v>
      </c>
      <c r="L46" s="30"/>
      <c r="M46" s="1555"/>
      <c r="N46" s="1556" t="s">
        <v>240</v>
      </c>
    </row>
    <row r="47" spans="1:15" ht="21" customHeight="1" thickBot="1" x14ac:dyDescent="0.25">
      <c r="A47" s="305"/>
      <c r="B47" s="1857"/>
      <c r="C47" s="904"/>
      <c r="D47" s="1073"/>
      <c r="E47" s="838"/>
      <c r="F47" s="1852"/>
      <c r="G47" s="804" t="s">
        <v>9</v>
      </c>
      <c r="H47" s="759">
        <f>SUM(H37:H46)</f>
        <v>514.4</v>
      </c>
      <c r="I47" s="746">
        <f>SUM(I37:I46)</f>
        <v>2173.6</v>
      </c>
      <c r="J47" s="747">
        <f>SUM(J37:J46)</f>
        <v>3430</v>
      </c>
      <c r="K47" s="1454"/>
      <c r="L47" s="25"/>
      <c r="M47" s="839"/>
      <c r="N47" s="840"/>
    </row>
    <row r="48" spans="1:15" ht="28.5" customHeight="1" x14ac:dyDescent="0.2">
      <c r="A48" s="1845" t="s">
        <v>8</v>
      </c>
      <c r="B48" s="1847" t="s">
        <v>8</v>
      </c>
      <c r="C48" s="1849" t="s">
        <v>43</v>
      </c>
      <c r="D48" s="58" t="s">
        <v>180</v>
      </c>
      <c r="E48" s="705" t="s">
        <v>147</v>
      </c>
      <c r="F48" s="1042" t="s">
        <v>63</v>
      </c>
      <c r="G48" s="699"/>
      <c r="H48" s="1215"/>
      <c r="I48" s="1897"/>
      <c r="J48" s="706"/>
      <c r="K48" s="1045"/>
      <c r="L48" s="36"/>
      <c r="M48" s="36"/>
      <c r="N48" s="37"/>
    </row>
    <row r="49" spans="1:15" ht="18" customHeight="1" x14ac:dyDescent="0.2">
      <c r="A49" s="1998"/>
      <c r="B49" s="1999"/>
      <c r="C49" s="2084"/>
      <c r="D49" s="2093" t="s">
        <v>406</v>
      </c>
      <c r="E49" s="2085" t="s">
        <v>68</v>
      </c>
      <c r="F49" s="2087"/>
      <c r="G49" s="80" t="s">
        <v>188</v>
      </c>
      <c r="H49" s="1127">
        <v>1.7</v>
      </c>
      <c r="I49" s="691">
        <f>67.5+98.3</f>
        <v>165.8</v>
      </c>
      <c r="J49" s="689">
        <v>101.2</v>
      </c>
      <c r="K49" s="1821" t="s">
        <v>352</v>
      </c>
      <c r="L49" s="45"/>
      <c r="M49" s="45">
        <v>1</v>
      </c>
      <c r="N49" s="57"/>
    </row>
    <row r="50" spans="1:15" ht="21" customHeight="1" x14ac:dyDescent="0.2">
      <c r="A50" s="1998"/>
      <c r="B50" s="1999"/>
      <c r="C50" s="2084"/>
      <c r="D50" s="2094"/>
      <c r="E50" s="2086"/>
      <c r="F50" s="2087"/>
      <c r="G50" s="206" t="s">
        <v>188</v>
      </c>
      <c r="H50" s="1133"/>
      <c r="I50" s="680">
        <v>1992.2</v>
      </c>
      <c r="J50" s="681">
        <v>2656.3</v>
      </c>
      <c r="K50" s="215" t="s">
        <v>351</v>
      </c>
      <c r="L50" s="216"/>
      <c r="M50" s="216">
        <v>1</v>
      </c>
      <c r="N50" s="218"/>
    </row>
    <row r="51" spans="1:15" ht="25.5" x14ac:dyDescent="0.2">
      <c r="A51" s="1998"/>
      <c r="B51" s="1999"/>
      <c r="C51" s="2084"/>
      <c r="D51" s="2095" t="s">
        <v>419</v>
      </c>
      <c r="E51" s="2086"/>
      <c r="F51" s="2087"/>
      <c r="G51" s="206" t="s">
        <v>40</v>
      </c>
      <c r="H51" s="1133">
        <v>403</v>
      </c>
      <c r="I51" s="680">
        <f>28.9</f>
        <v>28.9</v>
      </c>
      <c r="J51" s="681">
        <v>43.4</v>
      </c>
      <c r="K51" s="1824" t="s">
        <v>353</v>
      </c>
      <c r="L51" s="1832"/>
      <c r="M51" s="1832"/>
      <c r="N51" s="54"/>
    </row>
    <row r="52" spans="1:15" ht="27" customHeight="1" x14ac:dyDescent="0.2">
      <c r="A52" s="1998"/>
      <c r="B52" s="1999"/>
      <c r="C52" s="2084"/>
      <c r="D52" s="2096"/>
      <c r="E52" s="2086"/>
      <c r="F52" s="2087"/>
      <c r="G52" s="206" t="s">
        <v>64</v>
      </c>
      <c r="H52" s="1133"/>
      <c r="I52" s="680">
        <v>546.1</v>
      </c>
      <c r="J52" s="681">
        <v>819</v>
      </c>
      <c r="K52" s="1994" t="s">
        <v>84</v>
      </c>
      <c r="L52" s="1995">
        <v>10</v>
      </c>
      <c r="M52" s="1995">
        <v>50</v>
      </c>
      <c r="N52" s="54">
        <v>100</v>
      </c>
    </row>
    <row r="53" spans="1:15" ht="25.5" x14ac:dyDescent="0.2">
      <c r="A53" s="1998"/>
      <c r="B53" s="1999"/>
      <c r="C53" s="2084"/>
      <c r="D53" s="1989" t="s">
        <v>407</v>
      </c>
      <c r="E53" s="2086"/>
      <c r="F53" s="2087"/>
      <c r="G53" s="206"/>
      <c r="H53" s="1133"/>
      <c r="I53" s="680"/>
      <c r="J53" s="681"/>
      <c r="K53" s="1985"/>
      <c r="L53" s="1986"/>
      <c r="M53" s="1986"/>
      <c r="N53" s="54"/>
    </row>
    <row r="54" spans="1:15" ht="54" customHeight="1" x14ac:dyDescent="0.2">
      <c r="A54" s="1998"/>
      <c r="B54" s="1999"/>
      <c r="C54" s="2084"/>
      <c r="D54" s="1990" t="s">
        <v>415</v>
      </c>
      <c r="E54" s="2086"/>
      <c r="F54" s="2087"/>
      <c r="G54" s="206"/>
      <c r="H54" s="1133"/>
      <c r="I54" s="680"/>
      <c r="J54" s="681"/>
      <c r="K54" s="1985"/>
      <c r="L54" s="1986"/>
      <c r="M54" s="1986"/>
      <c r="N54" s="54"/>
    </row>
    <row r="55" spans="1:15" ht="38.25" x14ac:dyDescent="0.2">
      <c r="A55" s="1998"/>
      <c r="B55" s="1999"/>
      <c r="C55" s="2084"/>
      <c r="D55" s="1991" t="s">
        <v>408</v>
      </c>
      <c r="E55" s="2086"/>
      <c r="F55" s="2087"/>
      <c r="G55" s="206"/>
      <c r="H55" s="1133"/>
      <c r="I55" s="680"/>
      <c r="J55" s="681"/>
      <c r="K55" s="1985"/>
      <c r="L55" s="1986"/>
      <c r="M55" s="1986"/>
      <c r="N55" s="54"/>
    </row>
    <row r="56" spans="1:15" ht="51.75" customHeight="1" x14ac:dyDescent="0.2">
      <c r="A56" s="1998"/>
      <c r="B56" s="1999"/>
      <c r="C56" s="2084"/>
      <c r="D56" s="1990" t="s">
        <v>416</v>
      </c>
      <c r="E56" s="2086"/>
      <c r="F56" s="2087"/>
      <c r="G56" s="119"/>
      <c r="H56" s="896"/>
      <c r="I56" s="685"/>
      <c r="J56" s="686"/>
      <c r="K56" s="1824"/>
      <c r="L56" s="1832"/>
      <c r="M56" s="1832"/>
      <c r="N56" s="54"/>
    </row>
    <row r="57" spans="1:15" ht="21.75" customHeight="1" x14ac:dyDescent="0.2">
      <c r="A57" s="1801"/>
      <c r="B57" s="1802"/>
      <c r="C57" s="1855"/>
      <c r="D57" s="2017" t="s">
        <v>296</v>
      </c>
      <c r="E57" s="2085" t="s">
        <v>68</v>
      </c>
      <c r="F57" s="2087"/>
      <c r="G57" s="496" t="s">
        <v>188</v>
      </c>
      <c r="H57" s="1127">
        <v>15.4</v>
      </c>
      <c r="I57" s="687">
        <v>150</v>
      </c>
      <c r="J57" s="696"/>
      <c r="K57" s="1808" t="s">
        <v>66</v>
      </c>
      <c r="L57" s="130">
        <v>2</v>
      </c>
      <c r="M57" s="130"/>
      <c r="N57" s="131"/>
    </row>
    <row r="58" spans="1:15" ht="21" customHeight="1" x14ac:dyDescent="0.2">
      <c r="A58" s="1801"/>
      <c r="B58" s="1802"/>
      <c r="C58" s="1855"/>
      <c r="D58" s="2067"/>
      <c r="E58" s="2101"/>
      <c r="F58" s="2087"/>
      <c r="G58" s="19" t="s">
        <v>65</v>
      </c>
      <c r="H58" s="896"/>
      <c r="I58" s="684"/>
      <c r="J58" s="534"/>
      <c r="K58" s="1889" t="s">
        <v>154</v>
      </c>
      <c r="L58" s="89"/>
      <c r="M58" s="106">
        <v>100</v>
      </c>
      <c r="N58" s="107"/>
    </row>
    <row r="59" spans="1:15" ht="15" customHeight="1" x14ac:dyDescent="0.2">
      <c r="A59" s="1801"/>
      <c r="B59" s="1802"/>
      <c r="C59" s="1815"/>
      <c r="D59" s="2102" t="s">
        <v>86</v>
      </c>
      <c r="E59" s="1816" t="s">
        <v>68</v>
      </c>
      <c r="F59" s="1817"/>
      <c r="G59" s="496" t="s">
        <v>188</v>
      </c>
      <c r="H59" s="1127"/>
      <c r="I59" s="687"/>
      <c r="J59" s="696">
        <v>50</v>
      </c>
      <c r="K59" s="1808" t="s">
        <v>66</v>
      </c>
      <c r="L59" s="1412"/>
      <c r="M59" s="130"/>
      <c r="N59" s="131">
        <v>1</v>
      </c>
    </row>
    <row r="60" spans="1:15" ht="17.25" customHeight="1" x14ac:dyDescent="0.2">
      <c r="A60" s="1801"/>
      <c r="B60" s="1802"/>
      <c r="C60" s="1815"/>
      <c r="D60" s="2077"/>
      <c r="E60" s="1816"/>
      <c r="F60" s="1817"/>
      <c r="G60" s="19" t="s">
        <v>65</v>
      </c>
      <c r="H60" s="896"/>
      <c r="I60" s="707"/>
      <c r="J60" s="693">
        <v>30</v>
      </c>
      <c r="K60" s="1822"/>
      <c r="L60" s="1411"/>
      <c r="M60" s="1832"/>
      <c r="N60" s="54"/>
    </row>
    <row r="61" spans="1:15" x14ac:dyDescent="0.2">
      <c r="A61" s="1998"/>
      <c r="B61" s="1999"/>
      <c r="C61" s="2084"/>
      <c r="D61" s="2097" t="s">
        <v>172</v>
      </c>
      <c r="E61" s="1896" t="s">
        <v>68</v>
      </c>
      <c r="F61" s="1817"/>
      <c r="G61" s="496" t="s">
        <v>40</v>
      </c>
      <c r="H61" s="1127"/>
      <c r="I61" s="688"/>
      <c r="J61" s="702"/>
      <c r="K61" s="2099" t="s">
        <v>66</v>
      </c>
      <c r="L61" s="45"/>
      <c r="M61" s="45"/>
      <c r="N61" s="57">
        <v>1</v>
      </c>
    </row>
    <row r="62" spans="1:15" ht="29.25" customHeight="1" x14ac:dyDescent="0.2">
      <c r="A62" s="1998"/>
      <c r="B62" s="1999"/>
      <c r="C62" s="2084"/>
      <c r="D62" s="2098"/>
      <c r="E62" s="171"/>
      <c r="F62" s="830"/>
      <c r="G62" s="76" t="s">
        <v>188</v>
      </c>
      <c r="H62" s="1081"/>
      <c r="I62" s="692">
        <v>10</v>
      </c>
      <c r="J62" s="693">
        <v>60</v>
      </c>
      <c r="K62" s="2100"/>
      <c r="L62" s="89"/>
      <c r="M62" s="89"/>
      <c r="N62" s="90"/>
    </row>
    <row r="63" spans="1:15" ht="25.5" x14ac:dyDescent="0.2">
      <c r="A63" s="1998"/>
      <c r="B63" s="1999"/>
      <c r="C63" s="2012"/>
      <c r="D63" s="2102" t="s">
        <v>298</v>
      </c>
      <c r="E63" s="1816" t="s">
        <v>68</v>
      </c>
      <c r="F63" s="1817"/>
      <c r="G63" s="630" t="s">
        <v>40</v>
      </c>
      <c r="H63" s="1082"/>
      <c r="I63" s="678"/>
      <c r="J63" s="679"/>
      <c r="K63" s="2106" t="s">
        <v>263</v>
      </c>
      <c r="L63" s="1832"/>
      <c r="M63" s="161" t="s">
        <v>211</v>
      </c>
      <c r="N63" s="168">
        <v>100</v>
      </c>
      <c r="O63" s="2103"/>
    </row>
    <row r="64" spans="1:15" ht="18" customHeight="1" x14ac:dyDescent="0.2">
      <c r="A64" s="1998"/>
      <c r="B64" s="1999"/>
      <c r="C64" s="2012"/>
      <c r="D64" s="2102"/>
      <c r="E64" s="2107"/>
      <c r="F64" s="2108"/>
      <c r="G64" s="76" t="s">
        <v>188</v>
      </c>
      <c r="H64" s="1081"/>
      <c r="I64" s="692">
        <f>206.8</f>
        <v>206.8</v>
      </c>
      <c r="J64" s="693">
        <v>150</v>
      </c>
      <c r="K64" s="2106"/>
      <c r="L64" s="2110"/>
      <c r="M64" s="2110"/>
      <c r="N64" s="2112"/>
      <c r="O64" s="2104"/>
    </row>
    <row r="65" spans="1:15" ht="16.5" customHeight="1" thickBot="1" x14ac:dyDescent="0.25">
      <c r="A65" s="1856"/>
      <c r="B65" s="1857"/>
      <c r="C65" s="904"/>
      <c r="D65" s="2079"/>
      <c r="E65" s="2081"/>
      <c r="F65" s="2083"/>
      <c r="G65" s="804" t="s">
        <v>9</v>
      </c>
      <c r="H65" s="759">
        <f>SUM(H49:H62)</f>
        <v>420.1</v>
      </c>
      <c r="I65" s="812">
        <f>SUM(I49:I64)</f>
        <v>3099.8</v>
      </c>
      <c r="J65" s="813">
        <f>SUM(J49:J64)</f>
        <v>3909.9</v>
      </c>
      <c r="K65" s="2109"/>
      <c r="L65" s="2111"/>
      <c r="M65" s="2111"/>
      <c r="N65" s="2083"/>
    </row>
    <row r="66" spans="1:15" ht="29.25" customHeight="1" x14ac:dyDescent="0.2">
      <c r="A66" s="1845" t="s">
        <v>8</v>
      </c>
      <c r="B66" s="1847" t="s">
        <v>8</v>
      </c>
      <c r="C66" s="1851" t="s">
        <v>48</v>
      </c>
      <c r="D66" s="805" t="s">
        <v>73</v>
      </c>
      <c r="E66" s="808" t="s">
        <v>143</v>
      </c>
      <c r="F66" s="564" t="s">
        <v>63</v>
      </c>
      <c r="G66" s="75"/>
      <c r="H66" s="1087"/>
      <c r="I66" s="708"/>
      <c r="J66" s="709"/>
      <c r="K66" s="145"/>
      <c r="L66" s="146"/>
      <c r="M66" s="146"/>
      <c r="N66" s="147"/>
    </row>
    <row r="67" spans="1:15" ht="12.75" customHeight="1" x14ac:dyDescent="0.2">
      <c r="A67" s="1801"/>
      <c r="B67" s="1802"/>
      <c r="C67" s="1803"/>
      <c r="D67" s="2102" t="s">
        <v>87</v>
      </c>
      <c r="E67" s="2086" t="s">
        <v>68</v>
      </c>
      <c r="F67" s="2105"/>
      <c r="G67" s="573" t="s">
        <v>188</v>
      </c>
      <c r="H67" s="687">
        <v>33.4</v>
      </c>
      <c r="I67" s="687">
        <v>450</v>
      </c>
      <c r="J67" s="696">
        <v>800</v>
      </c>
      <c r="K67" s="2106" t="s">
        <v>140</v>
      </c>
      <c r="L67" s="1826">
        <v>1</v>
      </c>
      <c r="M67" s="1826"/>
      <c r="N67" s="1828"/>
    </row>
    <row r="68" spans="1:15" ht="29.25" customHeight="1" x14ac:dyDescent="0.2">
      <c r="A68" s="1801"/>
      <c r="B68" s="1802"/>
      <c r="C68" s="1803"/>
      <c r="D68" s="2102"/>
      <c r="E68" s="2086"/>
      <c r="F68" s="2105"/>
      <c r="G68" s="710" t="s">
        <v>40</v>
      </c>
      <c r="H68" s="684"/>
      <c r="I68" s="707">
        <v>30</v>
      </c>
      <c r="J68" s="693">
        <v>50</v>
      </c>
      <c r="K68" s="2106"/>
      <c r="L68" s="1826"/>
      <c r="M68" s="1826">
        <v>10</v>
      </c>
      <c r="N68" s="1828">
        <v>25</v>
      </c>
    </row>
    <row r="69" spans="1:15" ht="19.5" customHeight="1" x14ac:dyDescent="0.2">
      <c r="A69" s="1998"/>
      <c r="B69" s="1999"/>
      <c r="C69" s="2012"/>
      <c r="D69" s="2097" t="s">
        <v>305</v>
      </c>
      <c r="E69" s="2113" t="s">
        <v>68</v>
      </c>
      <c r="F69" s="2013"/>
      <c r="G69" s="630" t="s">
        <v>188</v>
      </c>
      <c r="H69" s="677">
        <f>88.8-4.4</f>
        <v>84.4</v>
      </c>
      <c r="I69" s="677"/>
      <c r="J69" s="704">
        <v>100</v>
      </c>
      <c r="K69" s="164" t="s">
        <v>66</v>
      </c>
      <c r="L69" s="178">
        <v>1</v>
      </c>
      <c r="M69" s="178"/>
      <c r="N69" s="179"/>
    </row>
    <row r="70" spans="1:15" ht="30.75" customHeight="1" x14ac:dyDescent="0.2">
      <c r="A70" s="1998"/>
      <c r="B70" s="1999"/>
      <c r="C70" s="2012"/>
      <c r="D70" s="2102"/>
      <c r="E70" s="2114"/>
      <c r="F70" s="2013"/>
      <c r="G70" s="200" t="s">
        <v>40</v>
      </c>
      <c r="H70" s="684"/>
      <c r="I70" s="692"/>
      <c r="J70" s="711">
        <v>30</v>
      </c>
      <c r="K70" s="1822" t="s">
        <v>306</v>
      </c>
      <c r="L70" s="1832"/>
      <c r="M70" s="1832"/>
      <c r="N70" s="168">
        <v>10</v>
      </c>
    </row>
    <row r="71" spans="1:15" x14ac:dyDescent="0.2">
      <c r="A71" s="1998"/>
      <c r="B71" s="1999"/>
      <c r="C71" s="2012"/>
      <c r="D71" s="2017" t="s">
        <v>149</v>
      </c>
      <c r="E71" s="2113" t="s">
        <v>68</v>
      </c>
      <c r="F71" s="2013"/>
      <c r="G71" s="573" t="s">
        <v>188</v>
      </c>
      <c r="H71" s="687">
        <v>10.4</v>
      </c>
      <c r="I71" s="687">
        <v>150</v>
      </c>
      <c r="J71" s="696">
        <v>455.7</v>
      </c>
      <c r="K71" s="2072" t="s">
        <v>167</v>
      </c>
      <c r="L71" s="45">
        <v>1</v>
      </c>
      <c r="M71" s="45"/>
      <c r="N71" s="57"/>
    </row>
    <row r="72" spans="1:15" x14ac:dyDescent="0.2">
      <c r="A72" s="1998"/>
      <c r="B72" s="1999"/>
      <c r="C72" s="2012"/>
      <c r="D72" s="2018"/>
      <c r="E72" s="2114"/>
      <c r="F72" s="2013"/>
      <c r="G72" s="630" t="s">
        <v>40</v>
      </c>
      <c r="H72" s="677"/>
      <c r="I72" s="677"/>
      <c r="J72" s="704"/>
      <c r="K72" s="2140"/>
      <c r="L72" s="1832"/>
      <c r="M72" s="1832"/>
      <c r="N72" s="54"/>
    </row>
    <row r="73" spans="1:15" x14ac:dyDescent="0.2">
      <c r="A73" s="1998"/>
      <c r="B73" s="1999"/>
      <c r="C73" s="2012"/>
      <c r="D73" s="2018"/>
      <c r="E73" s="2114"/>
      <c r="F73" s="2013"/>
      <c r="G73" s="574" t="s">
        <v>65</v>
      </c>
      <c r="H73" s="684"/>
      <c r="I73" s="692">
        <v>30</v>
      </c>
      <c r="J73" s="711"/>
      <c r="K73" s="2252"/>
      <c r="L73" s="55">
        <v>35</v>
      </c>
      <c r="M73" s="55">
        <v>100</v>
      </c>
      <c r="N73" s="56"/>
      <c r="O73" s="683"/>
    </row>
    <row r="74" spans="1:15" x14ac:dyDescent="0.2">
      <c r="A74" s="1998"/>
      <c r="B74" s="1999"/>
      <c r="C74" s="2012"/>
      <c r="D74" s="2017" t="s">
        <v>299</v>
      </c>
      <c r="E74" s="2113" t="s">
        <v>68</v>
      </c>
      <c r="F74" s="2013"/>
      <c r="G74" s="630" t="s">
        <v>188</v>
      </c>
      <c r="H74" s="677">
        <v>0</v>
      </c>
      <c r="I74" s="677">
        <v>950</v>
      </c>
      <c r="J74" s="704"/>
      <c r="K74" s="2072" t="s">
        <v>220</v>
      </c>
      <c r="L74" s="1832"/>
      <c r="M74" s="1832">
        <v>100</v>
      </c>
      <c r="N74" s="54"/>
      <c r="O74" s="2103"/>
    </row>
    <row r="75" spans="1:15" x14ac:dyDescent="0.2">
      <c r="A75" s="1998"/>
      <c r="B75" s="1999"/>
      <c r="C75" s="2012"/>
      <c r="D75" s="2018"/>
      <c r="E75" s="2114"/>
      <c r="F75" s="2013"/>
      <c r="G75" s="200" t="s">
        <v>40</v>
      </c>
      <c r="H75" s="684"/>
      <c r="I75" s="692"/>
      <c r="J75" s="711"/>
      <c r="K75" s="2027"/>
      <c r="L75" s="2137"/>
      <c r="M75" s="2138"/>
      <c r="N75" s="2139"/>
      <c r="O75" s="2104"/>
    </row>
    <row r="76" spans="1:15" ht="19.5" customHeight="1" thickBot="1" x14ac:dyDescent="0.25">
      <c r="A76" s="1856"/>
      <c r="B76" s="1857"/>
      <c r="C76" s="803"/>
      <c r="D76" s="2079"/>
      <c r="E76" s="2081"/>
      <c r="F76" s="2115"/>
      <c r="G76" s="804" t="s">
        <v>9</v>
      </c>
      <c r="H76" s="812">
        <f>SUM(H67:H74)</f>
        <v>128.19999999999999</v>
      </c>
      <c r="I76" s="812">
        <f>SUM(I67:I75)</f>
        <v>1610</v>
      </c>
      <c r="J76" s="812">
        <f>SUM(J67:J74)</f>
        <v>1435.7</v>
      </c>
      <c r="K76" s="2109"/>
      <c r="L76" s="2111"/>
      <c r="M76" s="2111"/>
      <c r="N76" s="2083"/>
      <c r="O76" s="2131"/>
    </row>
    <row r="77" spans="1:15" ht="28.5" customHeight="1" x14ac:dyDescent="0.2">
      <c r="A77" s="1845" t="s">
        <v>8</v>
      </c>
      <c r="B77" s="1847" t="s">
        <v>8</v>
      </c>
      <c r="C77" s="1851" t="s">
        <v>49</v>
      </c>
      <c r="D77" s="228" t="s">
        <v>173</v>
      </c>
      <c r="E77" s="808" t="s">
        <v>136</v>
      </c>
      <c r="F77" s="1042" t="s">
        <v>63</v>
      </c>
      <c r="G77" s="144"/>
      <c r="H77" s="1296"/>
      <c r="I77" s="712"/>
      <c r="J77" s="712"/>
      <c r="K77" s="12"/>
      <c r="L77" s="36"/>
      <c r="M77" s="779"/>
      <c r="N77" s="37"/>
    </row>
    <row r="78" spans="1:15" x14ac:dyDescent="0.2">
      <c r="A78" s="1801"/>
      <c r="B78" s="1802"/>
      <c r="C78" s="1803"/>
      <c r="D78" s="2017" t="s">
        <v>174</v>
      </c>
      <c r="E78" s="809" t="s">
        <v>68</v>
      </c>
      <c r="F78" s="1804"/>
      <c r="G78" s="206" t="s">
        <v>188</v>
      </c>
      <c r="H78" s="1127">
        <v>16.7</v>
      </c>
      <c r="I78" s="688">
        <f>434+17.3</f>
        <v>451.3</v>
      </c>
      <c r="J78" s="688">
        <v>890</v>
      </c>
      <c r="K78" s="2099" t="s">
        <v>288</v>
      </c>
      <c r="L78" s="46"/>
      <c r="M78" s="780">
        <v>1</v>
      </c>
      <c r="N78" s="35"/>
    </row>
    <row r="79" spans="1:15" x14ac:dyDescent="0.2">
      <c r="A79" s="1801"/>
      <c r="B79" s="1802"/>
      <c r="C79" s="1803"/>
      <c r="D79" s="2018"/>
      <c r="E79" s="2134"/>
      <c r="F79" s="1804"/>
      <c r="G79" s="206" t="s">
        <v>64</v>
      </c>
      <c r="H79" s="1133"/>
      <c r="I79" s="678"/>
      <c r="J79" s="678"/>
      <c r="K79" s="2106"/>
      <c r="L79" s="1411"/>
      <c r="M79" s="781"/>
      <c r="N79" s="22"/>
    </row>
    <row r="80" spans="1:15" x14ac:dyDescent="0.2">
      <c r="A80" s="1801"/>
      <c r="B80" s="1802"/>
      <c r="C80" s="1803"/>
      <c r="D80" s="2132"/>
      <c r="E80" s="2135"/>
      <c r="F80" s="1804"/>
      <c r="G80" s="19" t="s">
        <v>67</v>
      </c>
      <c r="H80" s="896"/>
      <c r="I80" s="685">
        <v>70</v>
      </c>
      <c r="J80" s="685">
        <v>3</v>
      </c>
      <c r="K80" s="2133"/>
      <c r="L80" s="30"/>
      <c r="M80" s="782">
        <v>45</v>
      </c>
      <c r="N80" s="31">
        <v>100</v>
      </c>
    </row>
    <row r="81" spans="1:14" ht="15" customHeight="1" x14ac:dyDescent="0.2">
      <c r="A81" s="1801"/>
      <c r="B81" s="1802"/>
      <c r="C81" s="1803"/>
      <c r="D81" s="2075" t="s">
        <v>175</v>
      </c>
      <c r="E81" s="810" t="s">
        <v>68</v>
      </c>
      <c r="F81" s="1804"/>
      <c r="G81" s="496" t="s">
        <v>188</v>
      </c>
      <c r="H81" s="1127">
        <v>69</v>
      </c>
      <c r="I81" s="688">
        <f>600+70</f>
        <v>670</v>
      </c>
      <c r="J81" s="688">
        <v>1500</v>
      </c>
      <c r="K81" s="164" t="s">
        <v>158</v>
      </c>
      <c r="L81" s="296"/>
      <c r="M81" s="1557">
        <v>1</v>
      </c>
      <c r="N81" s="297"/>
    </row>
    <row r="82" spans="1:14" ht="34.5" customHeight="1" x14ac:dyDescent="0.2">
      <c r="A82" s="1801"/>
      <c r="B82" s="1802"/>
      <c r="C82" s="1803"/>
      <c r="D82" s="2136"/>
      <c r="E82" s="811" t="s">
        <v>255</v>
      </c>
      <c r="F82" s="1804"/>
      <c r="G82" s="188" t="s">
        <v>40</v>
      </c>
      <c r="H82" s="1297"/>
      <c r="I82" s="716">
        <v>20</v>
      </c>
      <c r="J82" s="716">
        <v>30</v>
      </c>
      <c r="K82" s="1202" t="s">
        <v>289</v>
      </c>
      <c r="L82" s="122"/>
      <c r="M82" s="783">
        <v>10</v>
      </c>
      <c r="N82" s="123">
        <v>30</v>
      </c>
    </row>
    <row r="83" spans="1:14" ht="14.25" customHeight="1" x14ac:dyDescent="0.2">
      <c r="A83" s="1801"/>
      <c r="B83" s="1802"/>
      <c r="C83" s="1803"/>
      <c r="D83" s="2141" t="s">
        <v>300</v>
      </c>
      <c r="E83" s="1834"/>
      <c r="F83" s="1804"/>
      <c r="G83" s="298" t="s">
        <v>40</v>
      </c>
      <c r="H83" s="1298">
        <v>150</v>
      </c>
      <c r="I83" s="717"/>
      <c r="J83" s="717"/>
      <c r="K83" s="1876" t="s">
        <v>301</v>
      </c>
      <c r="L83" s="455">
        <v>100</v>
      </c>
      <c r="M83" s="784"/>
      <c r="N83" s="300"/>
    </row>
    <row r="84" spans="1:14" ht="16.5" customHeight="1" x14ac:dyDescent="0.2">
      <c r="A84" s="1801"/>
      <c r="B84" s="1802"/>
      <c r="C84" s="1803"/>
      <c r="D84" s="2078"/>
      <c r="E84" s="2142"/>
      <c r="F84" s="2013"/>
      <c r="G84" s="119" t="s">
        <v>188</v>
      </c>
      <c r="H84" s="896"/>
      <c r="I84" s="685"/>
      <c r="J84" s="685"/>
      <c r="K84" s="2140"/>
      <c r="L84" s="2110"/>
      <c r="M84" s="2110"/>
      <c r="N84" s="2112"/>
    </row>
    <row r="85" spans="1:14" ht="13.5" thickBot="1" x14ac:dyDescent="0.25">
      <c r="A85" s="1856"/>
      <c r="B85" s="1857"/>
      <c r="C85" s="904"/>
      <c r="D85" s="2079"/>
      <c r="E85" s="2081"/>
      <c r="F85" s="2083"/>
      <c r="G85" s="81" t="s">
        <v>9</v>
      </c>
      <c r="H85" s="816">
        <f>SUM(H78:H84)</f>
        <v>235.7</v>
      </c>
      <c r="I85" s="812">
        <f>SUM(I78:I84)</f>
        <v>1211.3</v>
      </c>
      <c r="J85" s="812">
        <f>SUM(J78:J84)</f>
        <v>2423</v>
      </c>
      <c r="K85" s="2109"/>
      <c r="L85" s="2111"/>
      <c r="M85" s="2111"/>
      <c r="N85" s="2083"/>
    </row>
    <row r="86" spans="1:14" ht="32.25" customHeight="1" x14ac:dyDescent="0.2">
      <c r="A86" s="2116" t="s">
        <v>8</v>
      </c>
      <c r="B86" s="2119" t="s">
        <v>8</v>
      </c>
      <c r="C86" s="2122" t="s">
        <v>51</v>
      </c>
      <c r="D86" s="718" t="s">
        <v>103</v>
      </c>
      <c r="E86" s="853" t="s">
        <v>145</v>
      </c>
      <c r="F86" s="1042" t="s">
        <v>63</v>
      </c>
      <c r="G86" s="719"/>
      <c r="H86" s="1216"/>
      <c r="I86" s="720"/>
      <c r="J86" s="721"/>
      <c r="K86" s="477"/>
      <c r="L86" s="30"/>
      <c r="M86" s="782"/>
      <c r="N86" s="153"/>
    </row>
    <row r="87" spans="1:14" ht="12.75" customHeight="1" x14ac:dyDescent="0.2">
      <c r="A87" s="2117"/>
      <c r="B87" s="2120"/>
      <c r="C87" s="2123"/>
      <c r="D87" s="2017" t="s">
        <v>244</v>
      </c>
      <c r="E87" s="2125" t="s">
        <v>68</v>
      </c>
      <c r="F87" s="2013"/>
      <c r="G87" s="1879" t="s">
        <v>40</v>
      </c>
      <c r="H87" s="1235">
        <f>21.4+248.6</f>
        <v>270</v>
      </c>
      <c r="I87" s="713"/>
      <c r="J87" s="688"/>
      <c r="K87" s="2126" t="s">
        <v>164</v>
      </c>
      <c r="L87" s="619">
        <v>100</v>
      </c>
      <c r="M87" s="1412"/>
      <c r="N87" s="1870"/>
    </row>
    <row r="88" spans="1:14" ht="42.75" customHeight="1" x14ac:dyDescent="0.2">
      <c r="A88" s="2117"/>
      <c r="B88" s="2120"/>
      <c r="C88" s="2123"/>
      <c r="D88" s="2067"/>
      <c r="E88" s="2125"/>
      <c r="F88" s="2013"/>
      <c r="G88" s="786" t="s">
        <v>69</v>
      </c>
      <c r="H88" s="536">
        <v>0</v>
      </c>
      <c r="I88" s="722"/>
      <c r="J88" s="684"/>
      <c r="K88" s="2127"/>
      <c r="L88" s="723"/>
      <c r="M88" s="542"/>
      <c r="N88" s="163"/>
    </row>
    <row r="89" spans="1:14" ht="21" customHeight="1" x14ac:dyDescent="0.2">
      <c r="A89" s="2117"/>
      <c r="B89" s="2120"/>
      <c r="C89" s="2123"/>
      <c r="D89" s="2018" t="s">
        <v>237</v>
      </c>
      <c r="E89" s="1816"/>
      <c r="F89" s="2013"/>
      <c r="G89" s="2128" t="s">
        <v>69</v>
      </c>
      <c r="H89" s="1250">
        <f>758.8-465.5</f>
        <v>293.3</v>
      </c>
      <c r="I89" s="724"/>
      <c r="J89" s="677"/>
      <c r="K89" s="1873" t="s">
        <v>239</v>
      </c>
      <c r="L89" s="1842">
        <v>2</v>
      </c>
      <c r="M89" s="1875"/>
      <c r="N89" s="1208"/>
    </row>
    <row r="90" spans="1:14" ht="18.75" customHeight="1" x14ac:dyDescent="0.2">
      <c r="A90" s="2117"/>
      <c r="B90" s="2120"/>
      <c r="C90" s="2123"/>
      <c r="D90" s="2067"/>
      <c r="E90" s="1880"/>
      <c r="F90" s="2013"/>
      <c r="G90" s="2129"/>
      <c r="H90" s="536"/>
      <c r="I90" s="722"/>
      <c r="J90" s="684"/>
      <c r="K90" s="165" t="s">
        <v>238</v>
      </c>
      <c r="L90" s="106">
        <v>2</v>
      </c>
      <c r="M90" s="542"/>
      <c r="N90" s="163"/>
    </row>
    <row r="91" spans="1:14" ht="24" customHeight="1" x14ac:dyDescent="0.2">
      <c r="A91" s="2117"/>
      <c r="B91" s="2120"/>
      <c r="C91" s="2123"/>
      <c r="D91" s="2017" t="s">
        <v>251</v>
      </c>
      <c r="E91" s="1816"/>
      <c r="F91" s="1804"/>
      <c r="G91" s="1887" t="s">
        <v>69</v>
      </c>
      <c r="H91" s="1072">
        <v>60</v>
      </c>
      <c r="I91" s="724">
        <v>624</v>
      </c>
      <c r="J91" s="677">
        <v>1316</v>
      </c>
      <c r="K91" s="726" t="s">
        <v>66</v>
      </c>
      <c r="L91" s="130"/>
      <c r="M91" s="1412">
        <v>1</v>
      </c>
      <c r="N91" s="1870"/>
    </row>
    <row r="92" spans="1:14" ht="20.25" customHeight="1" x14ac:dyDescent="0.2">
      <c r="A92" s="2117"/>
      <c r="B92" s="2120"/>
      <c r="C92" s="2123"/>
      <c r="D92" s="2077"/>
      <c r="E92" s="1816"/>
      <c r="F92" s="1804"/>
      <c r="G92" s="1887"/>
      <c r="H92" s="1072"/>
      <c r="I92" s="724"/>
      <c r="J92" s="677"/>
      <c r="K92" s="1873" t="s">
        <v>250</v>
      </c>
      <c r="L92" s="106"/>
      <c r="M92" s="542">
        <v>30</v>
      </c>
      <c r="N92" s="163">
        <v>100</v>
      </c>
    </row>
    <row r="93" spans="1:14" ht="44.25" customHeight="1" x14ac:dyDescent="0.2">
      <c r="A93" s="2118"/>
      <c r="B93" s="2121"/>
      <c r="C93" s="2124"/>
      <c r="D93" s="548" t="s">
        <v>120</v>
      </c>
      <c r="E93" s="488" t="s">
        <v>68</v>
      </c>
      <c r="F93" s="1804"/>
      <c r="G93" s="17" t="s">
        <v>69</v>
      </c>
      <c r="H93" s="1251"/>
      <c r="I93" s="727"/>
      <c r="J93" s="728">
        <v>300</v>
      </c>
      <c r="K93" s="1831" t="s">
        <v>312</v>
      </c>
      <c r="L93" s="132"/>
      <c r="M93" s="729"/>
      <c r="N93" s="175" t="s">
        <v>165</v>
      </c>
    </row>
    <row r="94" spans="1:14" ht="15" customHeight="1" x14ac:dyDescent="0.2">
      <c r="A94" s="1801"/>
      <c r="B94" s="1802"/>
      <c r="C94" s="1803"/>
      <c r="D94" s="2088" t="s">
        <v>176</v>
      </c>
      <c r="E94" s="809" t="s">
        <v>68</v>
      </c>
      <c r="F94" s="1804"/>
      <c r="G94" s="496" t="s">
        <v>65</v>
      </c>
      <c r="H94" s="1072">
        <v>29</v>
      </c>
      <c r="I94" s="713"/>
      <c r="J94" s="688"/>
      <c r="K94" s="1808" t="s">
        <v>265</v>
      </c>
      <c r="L94" s="1892" t="s">
        <v>133</v>
      </c>
      <c r="M94" s="785"/>
      <c r="N94" s="74"/>
    </row>
    <row r="95" spans="1:14" ht="18.75" customHeight="1" x14ac:dyDescent="0.2">
      <c r="A95" s="1801"/>
      <c r="B95" s="1802"/>
      <c r="C95" s="1803"/>
      <c r="D95" s="2023"/>
      <c r="E95" s="1317"/>
      <c r="F95" s="1804"/>
      <c r="G95" s="206" t="s">
        <v>69</v>
      </c>
      <c r="H95" s="1072">
        <v>0</v>
      </c>
      <c r="I95" s="714"/>
      <c r="J95" s="678"/>
      <c r="K95" s="1836"/>
      <c r="L95" s="1886"/>
      <c r="M95" s="1318"/>
      <c r="N95" s="1828"/>
    </row>
    <row r="96" spans="1:14" ht="17.25" customHeight="1" x14ac:dyDescent="0.2">
      <c r="A96" s="1846"/>
      <c r="B96" s="1848"/>
      <c r="C96" s="1544"/>
      <c r="D96" s="2130"/>
      <c r="E96" s="1545"/>
      <c r="F96" s="1388"/>
      <c r="G96" s="188" t="s">
        <v>40</v>
      </c>
      <c r="H96" s="1248">
        <f>113+82.6</f>
        <v>195.6</v>
      </c>
      <c r="I96" s="716"/>
      <c r="J96" s="716"/>
      <c r="K96" s="1546"/>
      <c r="L96" s="1547"/>
      <c r="M96" s="122"/>
      <c r="N96" s="123"/>
    </row>
    <row r="97" spans="1:14" ht="36.75" customHeight="1" x14ac:dyDescent="0.2">
      <c r="A97" s="1801"/>
      <c r="B97" s="1802"/>
      <c r="C97" s="1803"/>
      <c r="D97" s="1810" t="s">
        <v>369</v>
      </c>
      <c r="E97" s="1317" t="s">
        <v>68</v>
      </c>
      <c r="F97" s="1804"/>
      <c r="G97" s="19" t="s">
        <v>40</v>
      </c>
      <c r="H97" s="536"/>
      <c r="I97" s="1558">
        <v>50</v>
      </c>
      <c r="J97" s="707">
        <v>50</v>
      </c>
      <c r="K97" s="1093" t="s">
        <v>360</v>
      </c>
      <c r="L97" s="1559"/>
      <c r="M97" s="1842"/>
      <c r="N97" s="1865">
        <v>1</v>
      </c>
    </row>
    <row r="98" spans="1:14" ht="13.5" thickBot="1" x14ac:dyDescent="0.25">
      <c r="A98" s="1856"/>
      <c r="B98" s="1857"/>
      <c r="C98" s="904"/>
      <c r="D98" s="1811"/>
      <c r="E98" s="1813"/>
      <c r="F98" s="1814"/>
      <c r="G98" s="825" t="s">
        <v>9</v>
      </c>
      <c r="H98" s="812">
        <f>SUM(H87:H96)</f>
        <v>847.9</v>
      </c>
      <c r="I98" s="814">
        <f>SUM(I87:I97)</f>
        <v>674</v>
      </c>
      <c r="J98" s="812">
        <f>SUM(J87:J97)</f>
        <v>1666</v>
      </c>
      <c r="K98" s="1825"/>
      <c r="L98" s="1827"/>
      <c r="M98" s="1827"/>
      <c r="N98" s="1814"/>
    </row>
    <row r="99" spans="1:14" ht="30" customHeight="1" x14ac:dyDescent="0.2">
      <c r="A99" s="1801" t="s">
        <v>8</v>
      </c>
      <c r="B99" s="1802" t="s">
        <v>8</v>
      </c>
      <c r="C99" s="196" t="s">
        <v>52</v>
      </c>
      <c r="D99" s="138" t="s">
        <v>253</v>
      </c>
      <c r="E99" s="1868"/>
      <c r="F99" s="1804" t="s">
        <v>63</v>
      </c>
      <c r="G99" s="141"/>
      <c r="H99" s="1219"/>
      <c r="I99" s="730"/>
      <c r="J99" s="731"/>
      <c r="K99" s="124"/>
      <c r="L99" s="126"/>
      <c r="M99" s="126"/>
      <c r="N99" s="125"/>
    </row>
    <row r="100" spans="1:14" ht="22.5" customHeight="1" x14ac:dyDescent="0.2">
      <c r="A100" s="1801"/>
      <c r="B100" s="1802"/>
      <c r="C100" s="196"/>
      <c r="D100" s="1877" t="s">
        <v>131</v>
      </c>
      <c r="E100" s="1860"/>
      <c r="F100" s="1804"/>
      <c r="G100" s="141" t="s">
        <v>188</v>
      </c>
      <c r="H100" s="1219">
        <v>4.4000000000000004</v>
      </c>
      <c r="I100" s="732">
        <v>3</v>
      </c>
      <c r="J100" s="731">
        <v>3</v>
      </c>
      <c r="K100" s="2072" t="s">
        <v>266</v>
      </c>
      <c r="L100" s="130">
        <v>100</v>
      </c>
      <c r="M100" s="130">
        <v>100</v>
      </c>
      <c r="N100" s="131">
        <v>100</v>
      </c>
    </row>
    <row r="101" spans="1:14" s="33" customFormat="1" ht="31.5" customHeight="1" x14ac:dyDescent="0.2">
      <c r="A101" s="1801"/>
      <c r="B101" s="1802"/>
      <c r="C101" s="1803"/>
      <c r="D101" s="2088" t="s">
        <v>113</v>
      </c>
      <c r="E101" s="2146"/>
      <c r="F101" s="2021"/>
      <c r="G101" s="815" t="s">
        <v>40</v>
      </c>
      <c r="H101" s="1220">
        <v>6</v>
      </c>
      <c r="I101" s="733">
        <v>3</v>
      </c>
      <c r="J101" s="734">
        <v>3</v>
      </c>
      <c r="K101" s="2027"/>
      <c r="L101" s="2158"/>
      <c r="M101" s="2158"/>
      <c r="N101" s="2159"/>
    </row>
    <row r="102" spans="1:14" ht="21.75" customHeight="1" thickBot="1" x14ac:dyDescent="0.25">
      <c r="A102" s="1801"/>
      <c r="B102" s="1802"/>
      <c r="C102" s="1803"/>
      <c r="D102" s="2083"/>
      <c r="E102" s="2081"/>
      <c r="F102" s="2083"/>
      <c r="G102" s="81" t="s">
        <v>9</v>
      </c>
      <c r="H102" s="816">
        <f>SUM(H100:H101)</f>
        <v>10.4</v>
      </c>
      <c r="I102" s="812">
        <f>SUM(I100:I101)</f>
        <v>6</v>
      </c>
      <c r="J102" s="816">
        <f t="shared" ref="J102" si="0">SUM(J100:J101)</f>
        <v>6</v>
      </c>
      <c r="K102" s="2109"/>
      <c r="L102" s="2111"/>
      <c r="M102" s="2111"/>
      <c r="N102" s="2083"/>
    </row>
    <row r="103" spans="1:14" ht="13.5" thickBot="1" x14ac:dyDescent="0.25">
      <c r="A103" s="92" t="s">
        <v>8</v>
      </c>
      <c r="B103" s="9" t="s">
        <v>8</v>
      </c>
      <c r="C103" s="2147" t="s">
        <v>11</v>
      </c>
      <c r="D103" s="2147"/>
      <c r="E103" s="2147"/>
      <c r="F103" s="2147"/>
      <c r="G103" s="2148"/>
      <c r="H103" s="735">
        <f>H98+H65+H47+H35+H85+H76+H102</f>
        <v>3820.6</v>
      </c>
      <c r="I103" s="736">
        <f>I98+I65+I47+I35+I85+I76+I102</f>
        <v>9529.4</v>
      </c>
      <c r="J103" s="735">
        <f>J98+J65+J47+J35+J85+J76+J102</f>
        <v>14383.1</v>
      </c>
      <c r="K103" s="1859"/>
      <c r="L103" s="27"/>
      <c r="M103" s="27"/>
      <c r="N103" s="28"/>
    </row>
    <row r="104" spans="1:14" ht="15.75" customHeight="1" thickBot="1" x14ac:dyDescent="0.25">
      <c r="A104" s="92" t="s">
        <v>8</v>
      </c>
      <c r="B104" s="9" t="s">
        <v>10</v>
      </c>
      <c r="C104" s="2149" t="s">
        <v>47</v>
      </c>
      <c r="D104" s="2149"/>
      <c r="E104" s="2149"/>
      <c r="F104" s="2149"/>
      <c r="G104" s="2149"/>
      <c r="H104" s="2150"/>
      <c r="I104" s="2149"/>
      <c r="J104" s="2149"/>
      <c r="K104" s="2149"/>
      <c r="L104" s="2149"/>
      <c r="M104" s="2149"/>
      <c r="N104" s="2151"/>
    </row>
    <row r="105" spans="1:14" x14ac:dyDescent="0.2">
      <c r="A105" s="1845" t="s">
        <v>8</v>
      </c>
      <c r="B105" s="1847" t="s">
        <v>10</v>
      </c>
      <c r="C105" s="1849" t="s">
        <v>8</v>
      </c>
      <c r="D105" s="2152" t="s">
        <v>80</v>
      </c>
      <c r="E105" s="2155" t="s">
        <v>170</v>
      </c>
      <c r="F105" s="1042" t="s">
        <v>53</v>
      </c>
      <c r="G105" s="737" t="s">
        <v>40</v>
      </c>
      <c r="H105" s="1088">
        <f>5030.1+3.4</f>
        <v>5033.5</v>
      </c>
      <c r="I105" s="738">
        <v>5362.8</v>
      </c>
      <c r="J105" s="738">
        <v>5464.8</v>
      </c>
      <c r="K105" s="38"/>
      <c r="L105" s="39"/>
      <c r="M105" s="52"/>
      <c r="N105" s="48"/>
    </row>
    <row r="106" spans="1:14" x14ac:dyDescent="0.2">
      <c r="A106" s="1801"/>
      <c r="B106" s="1802"/>
      <c r="C106" s="1815"/>
      <c r="D106" s="2153"/>
      <c r="E106" s="2156"/>
      <c r="F106" s="1804"/>
      <c r="G106" s="739" t="s">
        <v>99</v>
      </c>
      <c r="H106" s="1089">
        <v>30.1</v>
      </c>
      <c r="I106" s="740">
        <v>30.1</v>
      </c>
      <c r="J106" s="741">
        <v>30.1</v>
      </c>
      <c r="K106" s="29"/>
      <c r="L106" s="42"/>
      <c r="M106" s="6"/>
      <c r="N106" s="43"/>
    </row>
    <row r="107" spans="1:14" x14ac:dyDescent="0.2">
      <c r="A107" s="1801"/>
      <c r="B107" s="1802"/>
      <c r="C107" s="1815"/>
      <c r="D107" s="2154"/>
      <c r="E107" s="2157"/>
      <c r="F107" s="1862"/>
      <c r="G107" s="574" t="s">
        <v>88</v>
      </c>
      <c r="H107" s="1090"/>
      <c r="I107" s="742">
        <v>36.700000000000003</v>
      </c>
      <c r="J107" s="742">
        <v>36.700000000000003</v>
      </c>
      <c r="K107" s="114"/>
      <c r="L107" s="53"/>
      <c r="M107" s="115"/>
      <c r="N107" s="116"/>
    </row>
    <row r="108" spans="1:14" ht="16.5" customHeight="1" x14ac:dyDescent="0.2">
      <c r="A108" s="1801"/>
      <c r="B108" s="1802"/>
      <c r="C108" s="1815"/>
      <c r="D108" s="1835" t="s">
        <v>74</v>
      </c>
      <c r="E108" s="743"/>
      <c r="F108" s="1804"/>
      <c r="G108" s="190"/>
      <c r="H108" s="1217"/>
      <c r="I108" s="697"/>
      <c r="J108" s="698"/>
      <c r="K108" s="29"/>
      <c r="L108" s="42"/>
      <c r="M108" s="6"/>
      <c r="N108" s="43"/>
    </row>
    <row r="109" spans="1:14" ht="28.5" customHeight="1" x14ac:dyDescent="0.2">
      <c r="A109" s="1801"/>
      <c r="B109" s="1802"/>
      <c r="C109" s="1815"/>
      <c r="D109" s="1885" t="s">
        <v>116</v>
      </c>
      <c r="E109" s="1331"/>
      <c r="F109" s="1804"/>
      <c r="G109" s="630"/>
      <c r="H109" s="1218"/>
      <c r="I109" s="678"/>
      <c r="J109" s="681"/>
      <c r="K109" s="135" t="s">
        <v>60</v>
      </c>
      <c r="L109" s="192">
        <v>5</v>
      </c>
      <c r="M109" s="192">
        <v>5</v>
      </c>
      <c r="N109" s="193">
        <v>5</v>
      </c>
    </row>
    <row r="110" spans="1:14" ht="63" customHeight="1" x14ac:dyDescent="0.2">
      <c r="A110" s="1801"/>
      <c r="B110" s="1802"/>
      <c r="C110" s="1815"/>
      <c r="D110" s="1386" t="s">
        <v>348</v>
      </c>
      <c r="E110" s="1330"/>
      <c r="F110" s="1804"/>
      <c r="G110" s="630"/>
      <c r="H110" s="1218"/>
      <c r="I110" s="678"/>
      <c r="J110" s="681"/>
      <c r="K110" s="135" t="s">
        <v>96</v>
      </c>
      <c r="L110" s="192">
        <v>36</v>
      </c>
      <c r="M110" s="192">
        <v>36</v>
      </c>
      <c r="N110" s="193">
        <v>36</v>
      </c>
    </row>
    <row r="111" spans="1:14" ht="17.25" customHeight="1" x14ac:dyDescent="0.2">
      <c r="A111" s="1801"/>
      <c r="B111" s="1802"/>
      <c r="C111" s="1815"/>
      <c r="D111" s="195" t="s">
        <v>117</v>
      </c>
      <c r="E111" s="207"/>
      <c r="F111" s="1804"/>
      <c r="G111" s="190"/>
      <c r="H111" s="1218"/>
      <c r="I111" s="680"/>
      <c r="J111" s="681"/>
      <c r="K111" s="157" t="s">
        <v>160</v>
      </c>
      <c r="L111" s="139">
        <v>3</v>
      </c>
      <c r="M111" s="139">
        <v>3</v>
      </c>
      <c r="N111" s="140">
        <v>3</v>
      </c>
    </row>
    <row r="112" spans="1:14" ht="27" customHeight="1" x14ac:dyDescent="0.2">
      <c r="A112" s="1846"/>
      <c r="B112" s="1848"/>
      <c r="C112" s="1850"/>
      <c r="D112" s="1377" t="s">
        <v>118</v>
      </c>
      <c r="E112" s="1387"/>
      <c r="F112" s="1388"/>
      <c r="G112" s="1119"/>
      <c r="H112" s="1221"/>
      <c r="I112" s="1101"/>
      <c r="J112" s="1101"/>
      <c r="K112" s="1202" t="s">
        <v>159</v>
      </c>
      <c r="L112" s="513">
        <v>6</v>
      </c>
      <c r="M112" s="513">
        <v>6</v>
      </c>
      <c r="N112" s="514">
        <v>6</v>
      </c>
    </row>
    <row r="113" spans="1:17" ht="31.5" customHeight="1" x14ac:dyDescent="0.2">
      <c r="A113" s="1801"/>
      <c r="B113" s="1802"/>
      <c r="C113" s="1815"/>
      <c r="D113" s="1835" t="s">
        <v>61</v>
      </c>
      <c r="E113" s="1829"/>
      <c r="F113" s="1804"/>
      <c r="G113" s="630"/>
      <c r="H113" s="1218"/>
      <c r="I113" s="678"/>
      <c r="J113" s="679"/>
      <c r="K113" s="1833" t="s">
        <v>76</v>
      </c>
      <c r="L113" s="1891">
        <v>6.8</v>
      </c>
      <c r="M113" s="1890">
        <v>7</v>
      </c>
      <c r="N113" s="1895">
        <v>7</v>
      </c>
    </row>
    <row r="114" spans="1:17" x14ac:dyDescent="0.2">
      <c r="A114" s="1998"/>
      <c r="B114" s="1999"/>
      <c r="C114" s="2084"/>
      <c r="D114" s="2143" t="s">
        <v>177</v>
      </c>
      <c r="E114" s="2113"/>
      <c r="F114" s="2013"/>
      <c r="G114" s="630"/>
      <c r="H114" s="1218"/>
      <c r="I114" s="678"/>
      <c r="J114" s="679"/>
      <c r="K114" s="2070" t="s">
        <v>62</v>
      </c>
      <c r="L114" s="130">
        <v>3</v>
      </c>
      <c r="M114" s="130">
        <v>3</v>
      </c>
      <c r="N114" s="131">
        <v>3</v>
      </c>
      <c r="P114" s="683"/>
      <c r="Q114" s="683"/>
    </row>
    <row r="115" spans="1:17" ht="40.5" customHeight="1" x14ac:dyDescent="0.2">
      <c r="A115" s="1998"/>
      <c r="B115" s="1999"/>
      <c r="C115" s="2084"/>
      <c r="D115" s="2144"/>
      <c r="E115" s="2114"/>
      <c r="F115" s="2013"/>
      <c r="G115" s="1119"/>
      <c r="H115" s="1221"/>
      <c r="I115" s="1101"/>
      <c r="J115" s="1120"/>
      <c r="K115" s="2145"/>
      <c r="L115" s="1842"/>
      <c r="M115" s="1842"/>
      <c r="N115" s="1865"/>
      <c r="O115" s="51"/>
    </row>
    <row r="116" spans="1:17" ht="13.5" thickBot="1" x14ac:dyDescent="0.25">
      <c r="A116" s="1856"/>
      <c r="B116" s="1857"/>
      <c r="C116" s="904"/>
      <c r="D116" s="1204"/>
      <c r="E116" s="1395"/>
      <c r="F116" s="1396"/>
      <c r="G116" s="81" t="s">
        <v>9</v>
      </c>
      <c r="H116" s="817">
        <f>H105+H106+H107</f>
        <v>5063.6000000000004</v>
      </c>
      <c r="I116" s="817">
        <f>I105+I106+I107</f>
        <v>5429.6</v>
      </c>
      <c r="J116" s="817">
        <f>J105+J106+J107</f>
        <v>5531.6</v>
      </c>
      <c r="K116" s="1395"/>
      <c r="L116" s="1205"/>
      <c r="M116" s="1205"/>
      <c r="N116" s="1204"/>
      <c r="O116" s="683"/>
      <c r="P116" s="683"/>
      <c r="Q116" s="683"/>
    </row>
    <row r="117" spans="1:17" ht="14.25" customHeight="1" x14ac:dyDescent="0.2">
      <c r="A117" s="1845" t="s">
        <v>8</v>
      </c>
      <c r="B117" s="1847" t="s">
        <v>10</v>
      </c>
      <c r="C117" s="1851" t="s">
        <v>10</v>
      </c>
      <c r="D117" s="2175" t="s">
        <v>320</v>
      </c>
      <c r="E117" s="2177" t="s">
        <v>68</v>
      </c>
      <c r="F117" s="2178" t="s">
        <v>63</v>
      </c>
      <c r="G117" s="13" t="s">
        <v>188</v>
      </c>
      <c r="H117" s="1072">
        <f>150+120+39.2</f>
        <v>309.2</v>
      </c>
      <c r="I117" s="678"/>
      <c r="J117" s="678"/>
      <c r="K117" s="2160" t="s">
        <v>308</v>
      </c>
      <c r="L117" s="1841">
        <v>10</v>
      </c>
      <c r="M117" s="1841"/>
      <c r="N117" s="1864"/>
    </row>
    <row r="118" spans="1:17" x14ac:dyDescent="0.2">
      <c r="A118" s="1809"/>
      <c r="B118" s="1802"/>
      <c r="C118" s="1803"/>
      <c r="D118" s="2144"/>
      <c r="E118" s="2091"/>
      <c r="F118" s="2013"/>
      <c r="G118" s="142" t="s">
        <v>40</v>
      </c>
      <c r="H118" s="1234">
        <f>395.8</f>
        <v>395.8</v>
      </c>
      <c r="I118" s="818"/>
      <c r="J118" s="818"/>
      <c r="K118" s="2161"/>
      <c r="L118" s="1842"/>
      <c r="M118" s="1842"/>
      <c r="N118" s="1865"/>
    </row>
    <row r="119" spans="1:17" ht="14.25" customHeight="1" x14ac:dyDescent="0.2">
      <c r="A119" s="1809"/>
      <c r="B119" s="1802"/>
      <c r="C119" s="1803"/>
      <c r="D119" s="2144"/>
      <c r="E119" s="2091"/>
      <c r="F119" s="2013"/>
      <c r="G119" s="224" t="s">
        <v>99</v>
      </c>
      <c r="H119" s="1085">
        <v>116.2</v>
      </c>
      <c r="I119" s="685"/>
      <c r="J119" s="685"/>
      <c r="K119" s="2161"/>
      <c r="L119" s="1842"/>
      <c r="M119" s="1842"/>
      <c r="N119" s="1865"/>
    </row>
    <row r="120" spans="1:17" ht="13.5" thickBot="1" x14ac:dyDescent="0.25">
      <c r="A120" s="1809"/>
      <c r="B120" s="1802"/>
      <c r="C120" s="1855"/>
      <c r="D120" s="2176"/>
      <c r="E120" s="583"/>
      <c r="F120" s="1852"/>
      <c r="G120" s="81" t="s">
        <v>9</v>
      </c>
      <c r="H120" s="745">
        <f>SUM(H117:H119)</f>
        <v>821.2</v>
      </c>
      <c r="I120" s="746">
        <f>SUM(I117:I119)</f>
        <v>0</v>
      </c>
      <c r="J120" s="747">
        <f t="shared" ref="J120" si="1">SUM(J117:J119)</f>
        <v>0</v>
      </c>
      <c r="K120" s="2162"/>
      <c r="L120" s="25"/>
      <c r="M120" s="25"/>
      <c r="N120" s="26"/>
    </row>
    <row r="121" spans="1:17" ht="14.25" customHeight="1" x14ac:dyDescent="0.2">
      <c r="A121" s="1845" t="s">
        <v>8</v>
      </c>
      <c r="B121" s="1847" t="s">
        <v>10</v>
      </c>
      <c r="C121" s="1851" t="s">
        <v>43</v>
      </c>
      <c r="D121" s="2175" t="s">
        <v>328</v>
      </c>
      <c r="E121" s="2177" t="s">
        <v>68</v>
      </c>
      <c r="F121" s="2178" t="s">
        <v>63</v>
      </c>
      <c r="G121" s="13" t="s">
        <v>64</v>
      </c>
      <c r="H121" s="1191"/>
      <c r="I121" s="1142">
        <v>4264</v>
      </c>
      <c r="J121" s="678"/>
      <c r="K121" s="1837" t="s">
        <v>324</v>
      </c>
      <c r="L121" s="1841"/>
      <c r="M121" s="1841">
        <v>20</v>
      </c>
      <c r="N121" s="1864"/>
    </row>
    <row r="122" spans="1:17" x14ac:dyDescent="0.2">
      <c r="A122" s="1809"/>
      <c r="B122" s="1802"/>
      <c r="C122" s="1803"/>
      <c r="D122" s="2144"/>
      <c r="E122" s="2091"/>
      <c r="F122" s="2013"/>
      <c r="G122" s="142" t="s">
        <v>65</v>
      </c>
      <c r="H122" s="1091"/>
      <c r="I122" s="694">
        <v>752.5</v>
      </c>
      <c r="J122" s="818"/>
      <c r="K122" s="1838"/>
      <c r="L122" s="1842"/>
      <c r="M122" s="1842"/>
      <c r="N122" s="1865"/>
    </row>
    <row r="123" spans="1:17" ht="13.5" thickBot="1" x14ac:dyDescent="0.25">
      <c r="A123" s="1809"/>
      <c r="B123" s="1802"/>
      <c r="C123" s="1855"/>
      <c r="D123" s="2176"/>
      <c r="E123" s="583"/>
      <c r="F123" s="1852"/>
      <c r="G123" s="81" t="s">
        <v>9</v>
      </c>
      <c r="H123" s="745">
        <f>SUM(H121:H122)</f>
        <v>0</v>
      </c>
      <c r="I123" s="746">
        <f>SUM(I121:I122)</f>
        <v>5016.5</v>
      </c>
      <c r="J123" s="747">
        <f>SUM(J121:J122)</f>
        <v>0</v>
      </c>
      <c r="K123" s="1839"/>
      <c r="L123" s="25"/>
      <c r="M123" s="25"/>
      <c r="N123" s="26"/>
    </row>
    <row r="124" spans="1:17" ht="13.5" thickBot="1" x14ac:dyDescent="0.25">
      <c r="A124" s="93" t="s">
        <v>8</v>
      </c>
      <c r="B124" s="9" t="s">
        <v>10</v>
      </c>
      <c r="C124" s="2147" t="s">
        <v>11</v>
      </c>
      <c r="D124" s="2147"/>
      <c r="E124" s="2147"/>
      <c r="F124" s="2147"/>
      <c r="G124" s="2148"/>
      <c r="H124" s="748">
        <f>H116+H120+H123</f>
        <v>5884.8</v>
      </c>
      <c r="I124" s="748">
        <f t="shared" ref="I124:J124" si="2">I116+I120+I123</f>
        <v>10446.1</v>
      </c>
      <c r="J124" s="748">
        <f t="shared" si="2"/>
        <v>5531.6</v>
      </c>
      <c r="K124" s="2166"/>
      <c r="L124" s="2166"/>
      <c r="M124" s="2166"/>
      <c r="N124" s="2167"/>
    </row>
    <row r="125" spans="1:17" ht="13.5" thickBot="1" x14ac:dyDescent="0.25">
      <c r="A125" s="92" t="s">
        <v>8</v>
      </c>
      <c r="B125" s="9" t="s">
        <v>43</v>
      </c>
      <c r="C125" s="2168" t="s">
        <v>254</v>
      </c>
      <c r="D125" s="2169"/>
      <c r="E125" s="2169"/>
      <c r="F125" s="2169"/>
      <c r="G125" s="2169"/>
      <c r="H125" s="2169"/>
      <c r="I125" s="2169"/>
      <c r="J125" s="2169"/>
      <c r="K125" s="2169"/>
      <c r="L125" s="2169"/>
      <c r="M125" s="2169"/>
      <c r="N125" s="2170"/>
    </row>
    <row r="126" spans="1:17" ht="13.5" customHeight="1" x14ac:dyDescent="0.2">
      <c r="A126" s="2183" t="s">
        <v>8</v>
      </c>
      <c r="B126" s="2185" t="s">
        <v>43</v>
      </c>
      <c r="C126" s="2187" t="s">
        <v>8</v>
      </c>
      <c r="D126" s="2152" t="s">
        <v>228</v>
      </c>
      <c r="E126" s="551" t="s">
        <v>111</v>
      </c>
      <c r="F126" s="1851" t="s">
        <v>53</v>
      </c>
      <c r="G126" s="749" t="s">
        <v>40</v>
      </c>
      <c r="H126" s="1968">
        <f>211.5-30</f>
        <v>181.5</v>
      </c>
      <c r="I126" s="1969">
        <f>61+30</f>
        <v>91</v>
      </c>
      <c r="J126" s="750">
        <v>3</v>
      </c>
      <c r="K126" s="2171"/>
      <c r="L126" s="2173"/>
      <c r="M126" s="2173"/>
      <c r="N126" s="2255"/>
    </row>
    <row r="127" spans="1:17" x14ac:dyDescent="0.2">
      <c r="A127" s="1998"/>
      <c r="B127" s="1999"/>
      <c r="C127" s="2084"/>
      <c r="D127" s="2189"/>
      <c r="E127" s="1860"/>
      <c r="F127" s="1803"/>
      <c r="G127" s="154" t="s">
        <v>188</v>
      </c>
      <c r="H127" s="1092">
        <v>290</v>
      </c>
      <c r="I127" s="751">
        <v>305</v>
      </c>
      <c r="J127" s="751">
        <v>305</v>
      </c>
      <c r="K127" s="2145"/>
      <c r="L127" s="2174"/>
      <c r="M127" s="2174"/>
      <c r="N127" s="2256"/>
    </row>
    <row r="128" spans="1:17" x14ac:dyDescent="0.2">
      <c r="A128" s="1998"/>
      <c r="B128" s="1999"/>
      <c r="C128" s="2084"/>
      <c r="D128" s="2189"/>
      <c r="E128" s="1860"/>
      <c r="F128" s="1803"/>
      <c r="G128" s="154" t="s">
        <v>99</v>
      </c>
      <c r="H128" s="1234">
        <f>791.6</f>
        <v>791.6</v>
      </c>
      <c r="I128" s="751">
        <v>744.1</v>
      </c>
      <c r="J128" s="751">
        <v>627.1</v>
      </c>
      <c r="K128" s="2145"/>
      <c r="L128" s="1842"/>
      <c r="M128" s="1842"/>
      <c r="N128" s="1865"/>
    </row>
    <row r="129" spans="1:14" x14ac:dyDescent="0.2">
      <c r="A129" s="1998"/>
      <c r="B129" s="1999"/>
      <c r="C129" s="2084"/>
      <c r="D129" s="2154"/>
      <c r="E129" s="1861"/>
      <c r="F129" s="552"/>
      <c r="G129" s="119" t="s">
        <v>107</v>
      </c>
      <c r="H129" s="1081">
        <f>14.3+3+53.3+41.4</f>
        <v>112</v>
      </c>
      <c r="I129" s="690">
        <v>0</v>
      </c>
      <c r="J129" s="753">
        <v>0</v>
      </c>
      <c r="K129" s="2172"/>
      <c r="L129" s="106"/>
      <c r="M129" s="106"/>
      <c r="N129" s="107"/>
    </row>
    <row r="130" spans="1:14" ht="25.5" customHeight="1" x14ac:dyDescent="0.2">
      <c r="A130" s="1998"/>
      <c r="B130" s="1999"/>
      <c r="C130" s="2084"/>
      <c r="D130" s="1818" t="s">
        <v>222</v>
      </c>
      <c r="E130" s="2181" t="s">
        <v>109</v>
      </c>
      <c r="F130" s="1804"/>
      <c r="G130" s="206"/>
      <c r="H130" s="1080"/>
      <c r="I130" s="691"/>
      <c r="J130" s="680"/>
      <c r="K130" s="121" t="s">
        <v>267</v>
      </c>
      <c r="L130" s="540" t="s">
        <v>213</v>
      </c>
      <c r="M130" s="540" t="s">
        <v>213</v>
      </c>
      <c r="N130" s="541" t="s">
        <v>213</v>
      </c>
    </row>
    <row r="131" spans="1:14" ht="24" customHeight="1" x14ac:dyDescent="0.2">
      <c r="A131" s="1998"/>
      <c r="B131" s="1999"/>
      <c r="C131" s="2084"/>
      <c r="D131" s="1810"/>
      <c r="E131" s="2182"/>
      <c r="F131" s="1804"/>
      <c r="G131" s="206"/>
      <c r="H131" s="1082"/>
      <c r="I131" s="680"/>
      <c r="J131" s="680"/>
      <c r="K131" s="203" t="s">
        <v>119</v>
      </c>
      <c r="L131" s="204">
        <v>1</v>
      </c>
      <c r="M131" s="204">
        <v>1</v>
      </c>
      <c r="N131" s="205">
        <v>1</v>
      </c>
    </row>
    <row r="132" spans="1:14" ht="29.25" customHeight="1" x14ac:dyDescent="0.2">
      <c r="A132" s="1998"/>
      <c r="B132" s="1999"/>
      <c r="C132" s="2084"/>
      <c r="D132" s="1810"/>
      <c r="E132" s="754"/>
      <c r="F132" s="1804"/>
      <c r="G132" s="206"/>
      <c r="H132" s="1082"/>
      <c r="I132" s="677"/>
      <c r="J132" s="677"/>
      <c r="K132" s="203" t="s">
        <v>247</v>
      </c>
      <c r="L132" s="634">
        <v>50</v>
      </c>
      <c r="M132" s="634">
        <v>100</v>
      </c>
      <c r="N132" s="193"/>
    </row>
    <row r="133" spans="1:14" ht="16.5" customHeight="1" x14ac:dyDescent="0.2">
      <c r="A133" s="1998"/>
      <c r="B133" s="1999"/>
      <c r="C133" s="2084"/>
      <c r="D133" s="1810"/>
      <c r="E133" s="754"/>
      <c r="F133" s="1804"/>
      <c r="G133" s="206"/>
      <c r="H133" s="1082"/>
      <c r="I133" s="703"/>
      <c r="J133" s="703"/>
      <c r="K133" s="1109" t="s">
        <v>54</v>
      </c>
      <c r="L133" s="1110">
        <v>69</v>
      </c>
      <c r="M133" s="1110">
        <v>69</v>
      </c>
      <c r="N133" s="1111">
        <v>69</v>
      </c>
    </row>
    <row r="134" spans="1:14" ht="26.25" customHeight="1" x14ac:dyDescent="0.2">
      <c r="A134" s="1998"/>
      <c r="B134" s="1999"/>
      <c r="C134" s="2084"/>
      <c r="D134" s="1819"/>
      <c r="E134" s="755"/>
      <c r="F134" s="1804"/>
      <c r="G134" s="206"/>
      <c r="H134" s="1082"/>
      <c r="I134" s="678"/>
      <c r="J134" s="678"/>
      <c r="K134" s="1112" t="s">
        <v>329</v>
      </c>
      <c r="L134" s="1114">
        <v>1</v>
      </c>
      <c r="M134" s="1113"/>
      <c r="N134" s="1113"/>
    </row>
    <row r="135" spans="1:14" ht="18" customHeight="1" x14ac:dyDescent="0.2">
      <c r="A135" s="1998"/>
      <c r="B135" s="1999"/>
      <c r="C135" s="2084"/>
      <c r="D135" s="1840" t="s">
        <v>94</v>
      </c>
      <c r="E135" s="754"/>
      <c r="F135" s="1804"/>
      <c r="G135" s="206"/>
      <c r="H135" s="1082"/>
      <c r="I135" s="680"/>
      <c r="J135" s="680"/>
      <c r="K135" s="646" t="s">
        <v>125</v>
      </c>
      <c r="L135" s="647" t="s">
        <v>214</v>
      </c>
      <c r="M135" s="647" t="s">
        <v>214</v>
      </c>
      <c r="N135" s="648" t="s">
        <v>214</v>
      </c>
    </row>
    <row r="136" spans="1:14" ht="56.25" customHeight="1" x14ac:dyDescent="0.2">
      <c r="A136" s="1998"/>
      <c r="B136" s="1999"/>
      <c r="C136" s="2084"/>
      <c r="D136" s="1872" t="s">
        <v>281</v>
      </c>
      <c r="E136" s="755"/>
      <c r="F136" s="1804"/>
      <c r="G136" s="206"/>
      <c r="H136" s="1082"/>
      <c r="I136" s="680"/>
      <c r="J136" s="680"/>
      <c r="K136" s="105" t="s">
        <v>309</v>
      </c>
      <c r="L136" s="133" t="s">
        <v>245</v>
      </c>
      <c r="M136" s="133"/>
      <c r="N136" s="134"/>
    </row>
    <row r="137" spans="1:14" ht="33.75" customHeight="1" x14ac:dyDescent="0.2">
      <c r="A137" s="1998"/>
      <c r="B137" s="1999"/>
      <c r="C137" s="2084"/>
      <c r="D137" s="2022" t="s">
        <v>282</v>
      </c>
      <c r="E137" s="1844"/>
      <c r="F137" s="1804"/>
      <c r="G137" s="206"/>
      <c r="H137" s="677"/>
      <c r="I137" s="678"/>
      <c r="J137" s="678"/>
      <c r="K137" s="2164" t="s">
        <v>268</v>
      </c>
      <c r="L137" s="2257" t="s">
        <v>246</v>
      </c>
      <c r="M137" s="2257" t="s">
        <v>229</v>
      </c>
      <c r="N137" s="2253" t="s">
        <v>229</v>
      </c>
    </row>
    <row r="138" spans="1:14" ht="17.25" customHeight="1" x14ac:dyDescent="0.2">
      <c r="A138" s="1998"/>
      <c r="B138" s="1999"/>
      <c r="C138" s="2084"/>
      <c r="D138" s="2016"/>
      <c r="E138" s="1844"/>
      <c r="F138" s="1804"/>
      <c r="G138" s="206"/>
      <c r="H138" s="677"/>
      <c r="I138" s="678"/>
      <c r="J138" s="678"/>
      <c r="K138" s="2165"/>
      <c r="L138" s="2258"/>
      <c r="M138" s="2258"/>
      <c r="N138" s="2254"/>
    </row>
    <row r="139" spans="1:14" ht="43.5" customHeight="1" x14ac:dyDescent="0.2">
      <c r="A139" s="2184"/>
      <c r="B139" s="2186"/>
      <c r="C139" s="2188"/>
      <c r="D139" s="2163"/>
      <c r="E139" s="1542"/>
      <c r="F139" s="1388"/>
      <c r="G139" s="511"/>
      <c r="H139" s="1430"/>
      <c r="I139" s="1101"/>
      <c r="J139" s="1101"/>
      <c r="K139" s="149" t="s">
        <v>269</v>
      </c>
      <c r="L139" s="257" t="s">
        <v>240</v>
      </c>
      <c r="M139" s="257"/>
      <c r="N139" s="1543"/>
    </row>
    <row r="140" spans="1:14" ht="28.5" customHeight="1" x14ac:dyDescent="0.2">
      <c r="A140" s="1801"/>
      <c r="B140" s="1802"/>
      <c r="C140" s="1815"/>
      <c r="D140" s="1853" t="s">
        <v>277</v>
      </c>
      <c r="E140" s="2179" t="s">
        <v>349</v>
      </c>
      <c r="F140" s="1823"/>
      <c r="G140" s="206"/>
      <c r="H140" s="1222"/>
      <c r="I140" s="678"/>
      <c r="J140" s="678"/>
      <c r="K140" s="843" t="s">
        <v>270</v>
      </c>
      <c r="L140" s="1875">
        <v>1</v>
      </c>
      <c r="M140" s="1893"/>
      <c r="N140" s="1894"/>
    </row>
    <row r="141" spans="1:14" ht="68.25" customHeight="1" x14ac:dyDescent="0.2">
      <c r="A141" s="1801"/>
      <c r="B141" s="1802"/>
      <c r="C141" s="1815"/>
      <c r="D141" s="1853"/>
      <c r="E141" s="2180"/>
      <c r="F141" s="1823"/>
      <c r="G141" s="206"/>
      <c r="H141" s="1222"/>
      <c r="I141" s="678"/>
      <c r="J141" s="678"/>
      <c r="K141" s="756" t="s">
        <v>310</v>
      </c>
      <c r="L141" s="657">
        <v>100</v>
      </c>
      <c r="M141" s="626"/>
      <c r="N141" s="627"/>
    </row>
    <row r="142" spans="1:14" ht="41.25" customHeight="1" x14ac:dyDescent="0.2">
      <c r="A142" s="1801"/>
      <c r="B142" s="1802"/>
      <c r="C142" s="1815"/>
      <c r="D142" s="1874"/>
      <c r="E142" s="1800"/>
      <c r="F142" s="1823"/>
      <c r="G142" s="206"/>
      <c r="H142" s="1222"/>
      <c r="I142" s="678"/>
      <c r="J142" s="678"/>
      <c r="K142" s="167" t="s">
        <v>271</v>
      </c>
      <c r="L142" s="658">
        <v>100</v>
      </c>
      <c r="M142" s="655"/>
      <c r="N142" s="656"/>
    </row>
    <row r="143" spans="1:14" ht="18.75" customHeight="1" x14ac:dyDescent="0.2">
      <c r="A143" s="1998"/>
      <c r="B143" s="1999"/>
      <c r="C143" s="2084"/>
      <c r="D143" s="2190" t="s">
        <v>223</v>
      </c>
      <c r="E143" s="1799"/>
      <c r="F143" s="1823"/>
      <c r="G143" s="206"/>
      <c r="H143" s="1222"/>
      <c r="I143" s="678"/>
      <c r="J143" s="678"/>
      <c r="K143" s="1836" t="s">
        <v>302</v>
      </c>
      <c r="L143" s="1893">
        <v>165</v>
      </c>
      <c r="M143" s="1893">
        <v>170</v>
      </c>
      <c r="N143" s="1894">
        <v>175</v>
      </c>
    </row>
    <row r="144" spans="1:14" ht="44.25" customHeight="1" x14ac:dyDescent="0.2">
      <c r="A144" s="1998"/>
      <c r="B144" s="1999"/>
      <c r="C144" s="2084"/>
      <c r="D144" s="2153"/>
      <c r="E144" s="1799"/>
      <c r="F144" s="1823"/>
      <c r="G144" s="206"/>
      <c r="H144" s="1222"/>
      <c r="I144" s="680"/>
      <c r="J144" s="680"/>
      <c r="K144" s="157" t="s">
        <v>290</v>
      </c>
      <c r="L144" s="615" t="s">
        <v>231</v>
      </c>
      <c r="M144" s="615" t="s">
        <v>230</v>
      </c>
      <c r="N144" s="758" t="s">
        <v>232</v>
      </c>
    </row>
    <row r="145" spans="1:15" ht="25.5" x14ac:dyDescent="0.2">
      <c r="A145" s="1998"/>
      <c r="B145" s="1999"/>
      <c r="C145" s="2084"/>
      <c r="D145" s="757"/>
      <c r="E145" s="754"/>
      <c r="F145" s="1823"/>
      <c r="G145" s="206"/>
      <c r="H145" s="1222"/>
      <c r="I145" s="680"/>
      <c r="J145" s="680"/>
      <c r="K145" s="157" t="s">
        <v>291</v>
      </c>
      <c r="L145" s="1097"/>
      <c r="M145" s="1097" t="s">
        <v>387</v>
      </c>
      <c r="N145" s="1098"/>
    </row>
    <row r="146" spans="1:15" ht="38.25" x14ac:dyDescent="0.2">
      <c r="A146" s="1998"/>
      <c r="B146" s="1999"/>
      <c r="C146" s="2084"/>
      <c r="D146" s="1883"/>
      <c r="E146" s="755"/>
      <c r="F146" s="1823"/>
      <c r="G146" s="206"/>
      <c r="H146" s="1222"/>
      <c r="I146" s="680"/>
      <c r="J146" s="680"/>
      <c r="K146" s="1487" t="s">
        <v>319</v>
      </c>
      <c r="L146" s="1488" t="s">
        <v>79</v>
      </c>
      <c r="M146" s="1488"/>
      <c r="N146" s="1489"/>
    </row>
    <row r="147" spans="1:15" ht="196.5" customHeight="1" x14ac:dyDescent="0.2">
      <c r="A147" s="1809"/>
      <c r="B147" s="1802"/>
      <c r="C147" s="819"/>
      <c r="D147" s="1835" t="s">
        <v>278</v>
      </c>
      <c r="E147" s="1854"/>
      <c r="F147" s="1804"/>
      <c r="G147" s="206"/>
      <c r="H147" s="1082"/>
      <c r="I147" s="677"/>
      <c r="J147" s="677"/>
      <c r="K147" s="477" t="s">
        <v>330</v>
      </c>
      <c r="L147" s="1336">
        <v>16</v>
      </c>
      <c r="M147" s="1336">
        <v>5</v>
      </c>
      <c r="N147" s="90">
        <v>5</v>
      </c>
    </row>
    <row r="148" spans="1:15" ht="30" customHeight="1" x14ac:dyDescent="0.2">
      <c r="A148" s="1809"/>
      <c r="B148" s="1802"/>
      <c r="C148" s="819"/>
      <c r="D148" s="2203" t="s">
        <v>317</v>
      </c>
      <c r="E148" s="1854"/>
      <c r="F148" s="1804"/>
      <c r="G148" s="206"/>
      <c r="H148" s="1082"/>
      <c r="I148" s="677"/>
      <c r="J148" s="677"/>
      <c r="K148" s="1143" t="s">
        <v>327</v>
      </c>
      <c r="L148" s="1144">
        <v>9</v>
      </c>
      <c r="M148" s="1145">
        <v>4</v>
      </c>
      <c r="N148" s="1865">
        <v>4</v>
      </c>
    </row>
    <row r="149" spans="1:15" ht="27" customHeight="1" x14ac:dyDescent="0.2">
      <c r="A149" s="1809"/>
      <c r="B149" s="1802"/>
      <c r="C149" s="819"/>
      <c r="D149" s="2204"/>
      <c r="E149" s="1854"/>
      <c r="F149" s="1804"/>
      <c r="G149" s="206"/>
      <c r="H149" s="1082"/>
      <c r="I149" s="677"/>
      <c r="J149" s="677"/>
      <c r="K149" s="1146" t="s">
        <v>318</v>
      </c>
      <c r="L149" s="1147"/>
      <c r="M149" s="1148">
        <v>1</v>
      </c>
      <c r="N149" s="140"/>
    </row>
    <row r="150" spans="1:15" ht="15.75" customHeight="1" thickBot="1" x14ac:dyDescent="0.25">
      <c r="A150" s="305"/>
      <c r="B150" s="1857"/>
      <c r="C150" s="639"/>
      <c r="D150" s="1048"/>
      <c r="E150" s="828"/>
      <c r="F150" s="764"/>
      <c r="G150" s="81" t="s">
        <v>9</v>
      </c>
      <c r="H150" s="759">
        <f>SUM(H126:H147)</f>
        <v>1375.1</v>
      </c>
      <c r="I150" s="759">
        <f>SUM(I126:I147)</f>
        <v>1140.0999999999999</v>
      </c>
      <c r="J150" s="759">
        <f>SUM(J126:J147)</f>
        <v>935.1</v>
      </c>
      <c r="K150" s="1115"/>
      <c r="L150" s="829"/>
      <c r="M150" s="829"/>
      <c r="N150" s="1116"/>
    </row>
    <row r="151" spans="1:15" ht="27.75" customHeight="1" x14ac:dyDescent="0.2">
      <c r="A151" s="1998" t="s">
        <v>8</v>
      </c>
      <c r="B151" s="1999" t="s">
        <v>43</v>
      </c>
      <c r="C151" s="2084" t="s">
        <v>10</v>
      </c>
      <c r="D151" s="2199" t="s">
        <v>284</v>
      </c>
      <c r="E151" s="2200"/>
      <c r="F151" s="2201"/>
      <c r="G151" s="41" t="s">
        <v>99</v>
      </c>
      <c r="H151" s="1250">
        <f>34.6-2.7</f>
        <v>31.9</v>
      </c>
      <c r="I151" s="700">
        <v>70</v>
      </c>
      <c r="J151" s="700"/>
      <c r="K151" s="855" t="s">
        <v>129</v>
      </c>
      <c r="L151" s="856">
        <v>1</v>
      </c>
      <c r="M151" s="1826"/>
      <c r="N151" s="1828"/>
    </row>
    <row r="152" spans="1:15" ht="16.5" customHeight="1" x14ac:dyDescent="0.2">
      <c r="A152" s="1998"/>
      <c r="B152" s="1999"/>
      <c r="C152" s="2084"/>
      <c r="D152" s="2199"/>
      <c r="E152" s="2200"/>
      <c r="F152" s="2201"/>
      <c r="G152" s="206" t="s">
        <v>40</v>
      </c>
      <c r="H152" s="1510">
        <v>12</v>
      </c>
      <c r="I152" s="677"/>
      <c r="J152" s="677"/>
      <c r="K152" s="854" t="s">
        <v>274</v>
      </c>
      <c r="L152" s="1826">
        <v>1</v>
      </c>
      <c r="M152" s="192"/>
      <c r="N152" s="193"/>
    </row>
    <row r="153" spans="1:15" ht="27" customHeight="1" x14ac:dyDescent="0.2">
      <c r="A153" s="1998"/>
      <c r="B153" s="1999"/>
      <c r="C153" s="2084"/>
      <c r="D153" s="2153"/>
      <c r="E153" s="2200"/>
      <c r="F153" s="2201"/>
      <c r="G153" s="10"/>
      <c r="H153" s="1250"/>
      <c r="I153" s="677"/>
      <c r="J153" s="677"/>
      <c r="K153" s="845" t="s">
        <v>273</v>
      </c>
      <c r="L153" s="139">
        <v>2</v>
      </c>
      <c r="M153" s="192"/>
      <c r="N153" s="193"/>
    </row>
    <row r="154" spans="1:15" ht="15" customHeight="1" x14ac:dyDescent="0.2">
      <c r="A154" s="1998"/>
      <c r="B154" s="1999"/>
      <c r="C154" s="2084"/>
      <c r="D154" s="1867"/>
      <c r="E154" s="2200"/>
      <c r="F154" s="2201"/>
      <c r="G154" s="206"/>
      <c r="H154" s="677"/>
      <c r="I154" s="677"/>
      <c r="J154" s="677"/>
      <c r="K154" s="1871" t="s">
        <v>249</v>
      </c>
      <c r="L154" s="1842"/>
      <c r="M154" s="1842">
        <v>1</v>
      </c>
      <c r="N154" s="1865"/>
    </row>
    <row r="155" spans="1:15" ht="13.5" thickBot="1" x14ac:dyDescent="0.25">
      <c r="A155" s="305"/>
      <c r="B155" s="1857"/>
      <c r="C155" s="764"/>
      <c r="D155" s="1814"/>
      <c r="E155" s="2109"/>
      <c r="F155" s="2202"/>
      <c r="G155" s="81" t="s">
        <v>9</v>
      </c>
      <c r="H155" s="746">
        <f>SUM(H151:H154)</f>
        <v>43.9</v>
      </c>
      <c r="I155" s="746">
        <f t="shared" ref="I155:J155" si="3">SUM(I151:I154)</f>
        <v>70</v>
      </c>
      <c r="J155" s="746">
        <f t="shared" si="3"/>
        <v>0</v>
      </c>
      <c r="K155" s="1074"/>
      <c r="L155" s="1827"/>
      <c r="M155" s="1827"/>
      <c r="N155" s="1814"/>
    </row>
    <row r="156" spans="1:15" ht="16.5" customHeight="1" x14ac:dyDescent="0.2">
      <c r="A156" s="2183" t="s">
        <v>8</v>
      </c>
      <c r="B156" s="2185" t="s">
        <v>43</v>
      </c>
      <c r="C156" s="2187" t="s">
        <v>43</v>
      </c>
      <c r="D156" s="2192" t="s">
        <v>70</v>
      </c>
      <c r="E156" s="2194" t="s">
        <v>108</v>
      </c>
      <c r="F156" s="2197" t="s">
        <v>79</v>
      </c>
      <c r="G156" s="13" t="s">
        <v>40</v>
      </c>
      <c r="H156" s="1082">
        <v>148.19999999999999</v>
      </c>
      <c r="I156" s="677">
        <v>148.19999999999999</v>
      </c>
      <c r="J156" s="704">
        <v>148.19999999999999</v>
      </c>
      <c r="K156" s="12" t="s">
        <v>98</v>
      </c>
      <c r="L156" s="1046">
        <v>18</v>
      </c>
      <c r="M156" s="1046">
        <v>18</v>
      </c>
      <c r="N156" s="1047">
        <v>18</v>
      </c>
      <c r="O156" s="11"/>
    </row>
    <row r="157" spans="1:15" x14ac:dyDescent="0.2">
      <c r="A157" s="1998"/>
      <c r="B157" s="1999"/>
      <c r="C157" s="2084"/>
      <c r="D157" s="2065"/>
      <c r="E157" s="2195"/>
      <c r="F157" s="2013"/>
      <c r="G157" s="224" t="s">
        <v>88</v>
      </c>
      <c r="H157" s="1081"/>
      <c r="I157" s="680"/>
      <c r="J157" s="681"/>
      <c r="K157" s="2211" t="s">
        <v>128</v>
      </c>
      <c r="L157" s="1842">
        <v>2</v>
      </c>
      <c r="M157" s="1842">
        <v>2</v>
      </c>
      <c r="N157" s="1865">
        <v>2</v>
      </c>
      <c r="O157" s="11"/>
    </row>
    <row r="158" spans="1:15" ht="13.5" thickBot="1" x14ac:dyDescent="0.25">
      <c r="A158" s="2205"/>
      <c r="B158" s="2206"/>
      <c r="C158" s="2191"/>
      <c r="D158" s="2193"/>
      <c r="E158" s="2196"/>
      <c r="F158" s="2198"/>
      <c r="G158" s="81" t="s">
        <v>9</v>
      </c>
      <c r="H158" s="759">
        <f>SUM(H156:H157)</f>
        <v>148.19999999999999</v>
      </c>
      <c r="I158" s="746">
        <f>SUM(I156:I157)</f>
        <v>148.19999999999999</v>
      </c>
      <c r="J158" s="747">
        <f>SUM(J156:J157)</f>
        <v>148.19999999999999</v>
      </c>
      <c r="K158" s="2212"/>
      <c r="L158" s="70"/>
      <c r="M158" s="70"/>
      <c r="N158" s="71"/>
      <c r="O158" s="11"/>
    </row>
    <row r="159" spans="1:15" ht="13.5" customHeight="1" x14ac:dyDescent="0.2">
      <c r="A159" s="2183" t="s">
        <v>8</v>
      </c>
      <c r="B159" s="2185" t="s">
        <v>43</v>
      </c>
      <c r="C159" s="2187" t="s">
        <v>48</v>
      </c>
      <c r="D159" s="2214" t="s">
        <v>221</v>
      </c>
      <c r="E159" s="2215" t="s">
        <v>151</v>
      </c>
      <c r="F159" s="569" t="s">
        <v>63</v>
      </c>
      <c r="G159" s="13" t="s">
        <v>64</v>
      </c>
      <c r="H159" s="1133"/>
      <c r="I159" s="680"/>
      <c r="J159" s="760">
        <v>295.39999999999998</v>
      </c>
      <c r="K159" s="1878" t="s">
        <v>200</v>
      </c>
      <c r="L159" s="185"/>
      <c r="M159" s="1842">
        <v>1</v>
      </c>
      <c r="N159" s="1865"/>
    </row>
    <row r="160" spans="1:15" ht="13.5" customHeight="1" x14ac:dyDescent="0.2">
      <c r="A160" s="1998"/>
      <c r="B160" s="1999"/>
      <c r="C160" s="2084"/>
      <c r="D160" s="2153"/>
      <c r="E160" s="2216"/>
      <c r="F160" s="550"/>
      <c r="G160" s="13" t="s">
        <v>40</v>
      </c>
      <c r="H160" s="1133"/>
      <c r="I160" s="680">
        <v>2.9</v>
      </c>
      <c r="J160" s="680">
        <v>15.7</v>
      </c>
      <c r="K160" s="1858" t="s">
        <v>66</v>
      </c>
      <c r="L160" s="1875"/>
      <c r="M160" s="1842">
        <v>1</v>
      </c>
      <c r="N160" s="1865"/>
    </row>
    <row r="161" spans="1:15" ht="15" customHeight="1" x14ac:dyDescent="0.2">
      <c r="A161" s="1998"/>
      <c r="B161" s="1999"/>
      <c r="C161" s="2084"/>
      <c r="D161" s="2153"/>
      <c r="E161" s="2216"/>
      <c r="F161" s="550"/>
      <c r="G161" s="79" t="s">
        <v>188</v>
      </c>
      <c r="H161" s="896"/>
      <c r="I161" s="692"/>
      <c r="J161" s="707">
        <v>36.5</v>
      </c>
      <c r="K161" s="1836" t="s">
        <v>209</v>
      </c>
      <c r="L161" s="1842"/>
      <c r="M161" s="1842"/>
      <c r="N161" s="1865">
        <v>30</v>
      </c>
    </row>
    <row r="162" spans="1:15" ht="13.5" thickBot="1" x14ac:dyDescent="0.25">
      <c r="A162" s="1809"/>
      <c r="B162" s="1802"/>
      <c r="C162" s="1855"/>
      <c r="D162" s="2176"/>
      <c r="E162" s="570"/>
      <c r="F162" s="1852"/>
      <c r="G162" s="81" t="s">
        <v>9</v>
      </c>
      <c r="H162" s="759">
        <f>SUM(H160:H161)</f>
        <v>0</v>
      </c>
      <c r="I162" s="746">
        <f>SUM(I160:I161)</f>
        <v>2.9</v>
      </c>
      <c r="J162" s="746">
        <f>SUM(J159:J161)</f>
        <v>347.6</v>
      </c>
      <c r="K162" s="1836"/>
      <c r="L162" s="70"/>
      <c r="M162" s="70"/>
      <c r="N162" s="71"/>
      <c r="O162" s="11"/>
    </row>
    <row r="163" spans="1:15" ht="16.5" customHeight="1" x14ac:dyDescent="0.2">
      <c r="A163" s="2183" t="s">
        <v>8</v>
      </c>
      <c r="B163" s="2185" t="s">
        <v>43</v>
      </c>
      <c r="C163" s="2187" t="s">
        <v>49</v>
      </c>
      <c r="D163" s="2207" t="s">
        <v>343</v>
      </c>
      <c r="E163" s="2208" t="s">
        <v>386</v>
      </c>
      <c r="F163" s="2197" t="s">
        <v>63</v>
      </c>
      <c r="G163" s="749" t="s">
        <v>64</v>
      </c>
      <c r="H163" s="1084">
        <v>5</v>
      </c>
      <c r="I163" s="700">
        <v>200</v>
      </c>
      <c r="J163" s="701">
        <v>200</v>
      </c>
      <c r="K163" s="1837" t="s">
        <v>385</v>
      </c>
      <c r="L163" s="1841">
        <v>1</v>
      </c>
      <c r="M163" s="1841"/>
      <c r="N163" s="1864"/>
      <c r="O163" s="11"/>
    </row>
    <row r="164" spans="1:15" ht="16.5" customHeight="1" x14ac:dyDescent="0.2">
      <c r="A164" s="1998"/>
      <c r="B164" s="1999"/>
      <c r="C164" s="2084"/>
      <c r="D164" s="2204"/>
      <c r="E164" s="2209"/>
      <c r="F164" s="2012"/>
      <c r="G164" s="206"/>
      <c r="H164" s="1082"/>
      <c r="I164" s="677"/>
      <c r="J164" s="704"/>
      <c r="K164" s="1858" t="s">
        <v>337</v>
      </c>
      <c r="L164" s="1842"/>
      <c r="M164" s="1842">
        <v>1</v>
      </c>
      <c r="N164" s="1865">
        <v>2</v>
      </c>
      <c r="O164" s="11"/>
    </row>
    <row r="165" spans="1:15" ht="16.5" customHeight="1" x14ac:dyDescent="0.2">
      <c r="A165" s="1998"/>
      <c r="B165" s="1999"/>
      <c r="C165" s="2084"/>
      <c r="D165" s="2204"/>
      <c r="E165" s="2209"/>
      <c r="F165" s="2012"/>
      <c r="G165" s="206"/>
      <c r="H165" s="1082"/>
      <c r="I165" s="677"/>
      <c r="J165" s="704"/>
      <c r="K165" s="1858" t="s">
        <v>338</v>
      </c>
      <c r="L165" s="1842"/>
      <c r="M165" s="1842">
        <v>1</v>
      </c>
      <c r="N165" s="1865"/>
      <c r="O165" s="11"/>
    </row>
    <row r="166" spans="1:15" ht="15.75" customHeight="1" x14ac:dyDescent="0.2">
      <c r="A166" s="1998"/>
      <c r="B166" s="1999"/>
      <c r="C166" s="2084"/>
      <c r="D166" s="2153"/>
      <c r="E166" s="2209"/>
      <c r="F166" s="2013"/>
      <c r="G166" s="224"/>
      <c r="H166" s="1081"/>
      <c r="I166" s="680"/>
      <c r="J166" s="681"/>
      <c r="K166" s="978" t="s">
        <v>339</v>
      </c>
      <c r="L166" s="1826"/>
      <c r="M166" s="1826"/>
      <c r="N166" s="118" t="s">
        <v>340</v>
      </c>
      <c r="O166" s="11"/>
    </row>
    <row r="167" spans="1:15" ht="13.5" thickBot="1" x14ac:dyDescent="0.25">
      <c r="A167" s="2205"/>
      <c r="B167" s="2206"/>
      <c r="C167" s="2191"/>
      <c r="D167" s="2176"/>
      <c r="E167" s="2210"/>
      <c r="F167" s="2198"/>
      <c r="G167" s="81" t="s">
        <v>9</v>
      </c>
      <c r="H167" s="759">
        <f>SUM(H163:H166)</f>
        <v>5</v>
      </c>
      <c r="I167" s="746">
        <f>SUM(I163:I166)</f>
        <v>200</v>
      </c>
      <c r="J167" s="747">
        <f>SUM(J163:J166)</f>
        <v>200</v>
      </c>
      <c r="K167" s="1858" t="s">
        <v>341</v>
      </c>
      <c r="L167" s="1842"/>
      <c r="M167" s="1842">
        <v>2</v>
      </c>
      <c r="N167" s="1865"/>
      <c r="O167" s="11"/>
    </row>
    <row r="168" spans="1:15" ht="16.5" customHeight="1" x14ac:dyDescent="0.2">
      <c r="A168" s="2183" t="s">
        <v>8</v>
      </c>
      <c r="B168" s="2185" t="s">
        <v>43</v>
      </c>
      <c r="C168" s="2187" t="s">
        <v>51</v>
      </c>
      <c r="D168" s="2217" t="s">
        <v>389</v>
      </c>
      <c r="E168" s="2208" t="s">
        <v>386</v>
      </c>
      <c r="F168" s="2197" t="s">
        <v>63</v>
      </c>
      <c r="G168" s="749" t="s">
        <v>40</v>
      </c>
      <c r="H168" s="1084">
        <v>5</v>
      </c>
      <c r="I168" s="700"/>
      <c r="J168" s="701"/>
      <c r="K168" s="1905" t="s">
        <v>385</v>
      </c>
      <c r="L168" s="1906">
        <v>1</v>
      </c>
      <c r="M168" s="1906"/>
      <c r="N168" s="1913"/>
      <c r="O168" s="11"/>
    </row>
    <row r="169" spans="1:15" ht="16.5" customHeight="1" x14ac:dyDescent="0.2">
      <c r="A169" s="1998"/>
      <c r="B169" s="1999"/>
      <c r="C169" s="2084"/>
      <c r="D169" s="2218"/>
      <c r="E169" s="2209"/>
      <c r="F169" s="2012"/>
      <c r="G169" s="206"/>
      <c r="H169" s="1082"/>
      <c r="I169" s="677"/>
      <c r="J169" s="704"/>
      <c r="K169" s="1911"/>
      <c r="L169" s="1907"/>
      <c r="M169" s="1907"/>
      <c r="N169" s="1914"/>
      <c r="O169" s="11"/>
    </row>
    <row r="170" spans="1:15" ht="16.5" customHeight="1" x14ac:dyDescent="0.2">
      <c r="A170" s="1998"/>
      <c r="B170" s="1999"/>
      <c r="C170" s="2084"/>
      <c r="D170" s="2218"/>
      <c r="E170" s="2209"/>
      <c r="F170" s="2012"/>
      <c r="G170" s="206"/>
      <c r="H170" s="1082"/>
      <c r="I170" s="677"/>
      <c r="J170" s="704"/>
      <c r="K170" s="1911"/>
      <c r="L170" s="1907"/>
      <c r="M170" s="1907"/>
      <c r="N170" s="1914"/>
      <c r="O170" s="11"/>
    </row>
    <row r="171" spans="1:15" ht="15.75" customHeight="1" x14ac:dyDescent="0.2">
      <c r="A171" s="1998"/>
      <c r="B171" s="1999"/>
      <c r="C171" s="2084"/>
      <c r="D171" s="2219"/>
      <c r="E171" s="2209"/>
      <c r="F171" s="2013"/>
      <c r="G171" s="224"/>
      <c r="H171" s="1081"/>
      <c r="I171" s="680"/>
      <c r="J171" s="681"/>
      <c r="K171" s="978"/>
      <c r="L171" s="1903"/>
      <c r="M171" s="1903"/>
      <c r="N171" s="118"/>
      <c r="O171" s="11"/>
    </row>
    <row r="172" spans="1:15" ht="13.5" thickBot="1" x14ac:dyDescent="0.25">
      <c r="A172" s="2205"/>
      <c r="B172" s="2206"/>
      <c r="C172" s="2191"/>
      <c r="D172" s="2220"/>
      <c r="E172" s="2210"/>
      <c r="F172" s="2198"/>
      <c r="G172" s="81" t="s">
        <v>9</v>
      </c>
      <c r="H172" s="759">
        <f>SUM(H168:H171)</f>
        <v>5</v>
      </c>
      <c r="I172" s="746">
        <f>SUM(I168:I171)</f>
        <v>0</v>
      </c>
      <c r="J172" s="747">
        <f>SUM(J168:J171)</f>
        <v>0</v>
      </c>
      <c r="K172" s="1911"/>
      <c r="L172" s="1907"/>
      <c r="M172" s="1907"/>
      <c r="N172" s="1914"/>
      <c r="O172" s="11"/>
    </row>
    <row r="173" spans="1:15" ht="13.5" thickBot="1" x14ac:dyDescent="0.25">
      <c r="A173" s="93" t="s">
        <v>8</v>
      </c>
      <c r="B173" s="9" t="s">
        <v>43</v>
      </c>
      <c r="C173" s="2147" t="s">
        <v>11</v>
      </c>
      <c r="D173" s="2147"/>
      <c r="E173" s="2147"/>
      <c r="F173" s="2147"/>
      <c r="G173" s="2148"/>
      <c r="H173" s="735">
        <f>H162+H158+H155+H150+H167+H172</f>
        <v>1577.2</v>
      </c>
      <c r="I173" s="736">
        <f t="shared" ref="I173:J173" si="4">I162+I158+I155+I150+I167+I172</f>
        <v>1561.2</v>
      </c>
      <c r="J173" s="735">
        <f t="shared" si="4"/>
        <v>1630.9</v>
      </c>
      <c r="K173" s="2213"/>
      <c r="L173" s="2166"/>
      <c r="M173" s="2166"/>
      <c r="N173" s="2167"/>
      <c r="O173" s="11"/>
    </row>
    <row r="174" spans="1:15" ht="13.5" thickBot="1" x14ac:dyDescent="0.25">
      <c r="A174" s="92" t="s">
        <v>8</v>
      </c>
      <c r="B174" s="9" t="s">
        <v>48</v>
      </c>
      <c r="C174" s="2168" t="s">
        <v>50</v>
      </c>
      <c r="D174" s="2169"/>
      <c r="E174" s="2169"/>
      <c r="F174" s="2169"/>
      <c r="G174" s="2169"/>
      <c r="H174" s="2169"/>
      <c r="I174" s="2169"/>
      <c r="J174" s="2169"/>
      <c r="K174" s="2169"/>
      <c r="L174" s="2169"/>
      <c r="M174" s="2169"/>
      <c r="N174" s="2170"/>
    </row>
    <row r="175" spans="1:15" x14ac:dyDescent="0.2">
      <c r="A175" s="1845" t="s">
        <v>8</v>
      </c>
      <c r="B175" s="1847" t="s">
        <v>48</v>
      </c>
      <c r="C175" s="820" t="s">
        <v>8</v>
      </c>
      <c r="D175" s="2152" t="s">
        <v>326</v>
      </c>
      <c r="E175" s="532"/>
      <c r="F175" s="1843" t="s">
        <v>53</v>
      </c>
      <c r="G175" s="761" t="s">
        <v>188</v>
      </c>
      <c r="H175" s="1087">
        <f>1102.1+224.4</f>
        <v>1326.5</v>
      </c>
      <c r="I175" s="762">
        <v>1112.0999999999999</v>
      </c>
      <c r="J175" s="1410">
        <v>1112.0999999999999</v>
      </c>
      <c r="K175" s="1045"/>
      <c r="L175" s="23"/>
      <c r="M175" s="23"/>
      <c r="N175" s="24"/>
    </row>
    <row r="176" spans="1:15" x14ac:dyDescent="0.2">
      <c r="A176" s="1801"/>
      <c r="B176" s="1802"/>
      <c r="C176" s="196"/>
      <c r="D176" s="2153"/>
      <c r="E176" s="1860"/>
      <c r="F176" s="1804"/>
      <c r="G176" s="119" t="s">
        <v>40</v>
      </c>
      <c r="H176" s="536">
        <f>451.3+65+30</f>
        <v>546.29999999999995</v>
      </c>
      <c r="I176" s="752">
        <v>418.9</v>
      </c>
      <c r="J176" s="690">
        <v>548.1</v>
      </c>
      <c r="K176" s="468"/>
      <c r="L176" s="469"/>
      <c r="M176" s="470"/>
      <c r="N176" s="471"/>
    </row>
    <row r="177" spans="1:15" x14ac:dyDescent="0.2">
      <c r="A177" s="1801"/>
      <c r="B177" s="1802"/>
      <c r="C177" s="196"/>
      <c r="D177" s="2153"/>
      <c r="E177" s="1860"/>
      <c r="F177" s="1804"/>
      <c r="G177" s="119" t="s">
        <v>107</v>
      </c>
      <c r="H177" s="1081">
        <v>149.80000000000001</v>
      </c>
      <c r="I177" s="752"/>
      <c r="J177" s="690"/>
      <c r="K177" s="468"/>
      <c r="L177" s="469"/>
      <c r="M177" s="470"/>
      <c r="N177" s="471"/>
    </row>
    <row r="178" spans="1:15" x14ac:dyDescent="0.2">
      <c r="A178" s="1801"/>
      <c r="B178" s="1802"/>
      <c r="C178" s="196"/>
      <c r="D178" s="2154"/>
      <c r="E178" s="1860"/>
      <c r="F178" s="1804"/>
      <c r="G178" s="119" t="s">
        <v>99</v>
      </c>
      <c r="H178" s="1251">
        <f>336.8</f>
        <v>336.8</v>
      </c>
      <c r="I178" s="752">
        <v>50</v>
      </c>
      <c r="J178" s="690">
        <v>50</v>
      </c>
      <c r="K178" s="1866"/>
      <c r="L178" s="472"/>
      <c r="M178" s="473"/>
      <c r="N178" s="474"/>
    </row>
    <row r="179" spans="1:15" ht="17.25" customHeight="1" x14ac:dyDescent="0.2">
      <c r="A179" s="1801"/>
      <c r="B179" s="1802"/>
      <c r="C179" s="196"/>
      <c r="D179" s="1108" t="s">
        <v>196</v>
      </c>
      <c r="E179" s="1860"/>
      <c r="F179" s="1804"/>
      <c r="G179" s="496"/>
      <c r="H179" s="1080"/>
      <c r="I179" s="1400"/>
      <c r="J179" s="691"/>
      <c r="K179" s="2072" t="s">
        <v>97</v>
      </c>
      <c r="L179" s="659">
        <v>2.9</v>
      </c>
      <c r="M179" s="660">
        <v>1.2</v>
      </c>
      <c r="N179" s="661">
        <v>1.2</v>
      </c>
      <c r="O179" s="51"/>
    </row>
    <row r="180" spans="1:15" ht="30" customHeight="1" x14ac:dyDescent="0.2">
      <c r="A180" s="1801"/>
      <c r="B180" s="1802"/>
      <c r="C180" s="196"/>
      <c r="D180" s="1840" t="s">
        <v>321</v>
      </c>
      <c r="E180" s="1860"/>
      <c r="F180" s="1804"/>
      <c r="G180" s="206"/>
      <c r="H180" s="1082"/>
      <c r="I180" s="714"/>
      <c r="J180" s="678"/>
      <c r="K180" s="2027"/>
      <c r="L180" s="469"/>
      <c r="M180" s="470"/>
      <c r="N180" s="471"/>
      <c r="O180" s="51"/>
    </row>
    <row r="181" spans="1:15" ht="27" customHeight="1" x14ac:dyDescent="0.2">
      <c r="A181" s="1846"/>
      <c r="B181" s="1848"/>
      <c r="C181" s="1563"/>
      <c r="D181" s="1840" t="s">
        <v>225</v>
      </c>
      <c r="E181" s="1564"/>
      <c r="F181" s="1388"/>
      <c r="G181" s="511"/>
      <c r="H181" s="1415"/>
      <c r="I181" s="1565"/>
      <c r="J181" s="1101"/>
      <c r="K181" s="1566"/>
      <c r="L181" s="1567"/>
      <c r="M181" s="1568"/>
      <c r="N181" s="1569"/>
      <c r="O181" s="51"/>
    </row>
    <row r="182" spans="1:15" ht="27.75" customHeight="1" x14ac:dyDescent="0.2">
      <c r="A182" s="1801"/>
      <c r="B182" s="1802"/>
      <c r="C182" s="196"/>
      <c r="D182" s="1872" t="s">
        <v>226</v>
      </c>
      <c r="E182" s="1860"/>
      <c r="F182" s="1804"/>
      <c r="G182" s="206"/>
      <c r="H182" s="1082"/>
      <c r="I182" s="714"/>
      <c r="J182" s="678"/>
      <c r="K182" s="1866"/>
      <c r="L182" s="472"/>
      <c r="M182" s="473"/>
      <c r="N182" s="474"/>
      <c r="O182" s="51"/>
    </row>
    <row r="183" spans="1:15" ht="38.25" customHeight="1" x14ac:dyDescent="0.2">
      <c r="A183" s="1801"/>
      <c r="B183" s="1802"/>
      <c r="C183" s="196"/>
      <c r="D183" s="1483" t="s">
        <v>227</v>
      </c>
      <c r="E183" s="1860"/>
      <c r="F183" s="1804"/>
      <c r="G183" s="206"/>
      <c r="H183" s="1082"/>
      <c r="I183" s="714"/>
      <c r="J183" s="678"/>
      <c r="K183" s="1484" t="s">
        <v>166</v>
      </c>
      <c r="L183" s="1485" t="s">
        <v>155</v>
      </c>
      <c r="M183" s="1485"/>
      <c r="N183" s="1486"/>
      <c r="O183" s="51"/>
    </row>
    <row r="184" spans="1:15" ht="39" customHeight="1" x14ac:dyDescent="0.2">
      <c r="A184" s="1801"/>
      <c r="B184" s="1802"/>
      <c r="C184" s="196"/>
      <c r="D184" s="1560" t="s">
        <v>371</v>
      </c>
      <c r="E184" s="1861"/>
      <c r="F184" s="1862"/>
      <c r="G184" s="119"/>
      <c r="H184" s="1081"/>
      <c r="I184" s="1129"/>
      <c r="J184" s="694"/>
      <c r="K184" s="1561" t="s">
        <v>372</v>
      </c>
      <c r="L184" s="1562">
        <v>100</v>
      </c>
      <c r="M184" s="220"/>
      <c r="N184" s="107"/>
      <c r="O184" s="51"/>
    </row>
    <row r="185" spans="1:15" ht="26.25" customHeight="1" x14ac:dyDescent="0.2">
      <c r="A185" s="1998"/>
      <c r="B185" s="1999"/>
      <c r="C185" s="2084"/>
      <c r="D185" s="2074" t="s">
        <v>217</v>
      </c>
      <c r="E185" s="1860"/>
      <c r="F185" s="1804"/>
      <c r="G185" s="206"/>
      <c r="H185" s="1082"/>
      <c r="I185" s="1130"/>
      <c r="J185" s="680"/>
      <c r="K185" s="1833" t="s">
        <v>59</v>
      </c>
      <c r="L185" s="117" t="s">
        <v>216</v>
      </c>
      <c r="M185" s="117" t="s">
        <v>216</v>
      </c>
      <c r="N185" s="118" t="s">
        <v>216</v>
      </c>
    </row>
    <row r="186" spans="1:15" ht="26.25" customHeight="1" x14ac:dyDescent="0.2">
      <c r="A186" s="1998"/>
      <c r="B186" s="1999"/>
      <c r="C186" s="2084"/>
      <c r="D186" s="2074"/>
      <c r="E186" s="1860"/>
      <c r="F186" s="1804"/>
      <c r="G186" s="13"/>
      <c r="H186" s="1082"/>
      <c r="I186" s="1130"/>
      <c r="J186" s="680"/>
      <c r="K186" s="135" t="s">
        <v>58</v>
      </c>
      <c r="L186" s="136" t="s">
        <v>334</v>
      </c>
      <c r="M186" s="136" t="s">
        <v>215</v>
      </c>
      <c r="N186" s="137" t="s">
        <v>215</v>
      </c>
    </row>
    <row r="187" spans="1:15" ht="16.5" customHeight="1" x14ac:dyDescent="0.2">
      <c r="A187" s="1998"/>
      <c r="B187" s="1999"/>
      <c r="C187" s="2084"/>
      <c r="D187" s="2089"/>
      <c r="E187" s="1860"/>
      <c r="F187" s="1804"/>
      <c r="G187" s="40"/>
      <c r="H187" s="1082"/>
      <c r="I187" s="1130"/>
      <c r="J187" s="680"/>
      <c r="K187" s="1863" t="s">
        <v>95</v>
      </c>
      <c r="L187" s="133" t="s">
        <v>130</v>
      </c>
      <c r="M187" s="133" t="s">
        <v>130</v>
      </c>
      <c r="N187" s="134" t="s">
        <v>130</v>
      </c>
    </row>
    <row r="188" spans="1:15" x14ac:dyDescent="0.2">
      <c r="A188" s="1998"/>
      <c r="B188" s="1999"/>
      <c r="C188" s="2084"/>
      <c r="D188" s="2074" t="s">
        <v>75</v>
      </c>
      <c r="E188" s="1860"/>
      <c r="F188" s="1804"/>
      <c r="G188" s="206"/>
      <c r="H188" s="1082"/>
      <c r="I188" s="1130"/>
      <c r="J188" s="680"/>
      <c r="K188" s="2140" t="s">
        <v>57</v>
      </c>
      <c r="L188" s="197">
        <v>0.6</v>
      </c>
      <c r="M188" s="197">
        <v>1.3</v>
      </c>
      <c r="N188" s="198">
        <v>1.8</v>
      </c>
    </row>
    <row r="189" spans="1:15" ht="15" customHeight="1" x14ac:dyDescent="0.2">
      <c r="A189" s="1998"/>
      <c r="B189" s="1999"/>
      <c r="C189" s="2084"/>
      <c r="D189" s="2089"/>
      <c r="E189" s="1861"/>
      <c r="F189" s="1862"/>
      <c r="G189" s="119"/>
      <c r="H189" s="1081"/>
      <c r="I189" s="715"/>
      <c r="J189" s="685"/>
      <c r="K189" s="2071"/>
      <c r="L189" s="63"/>
      <c r="M189" s="63"/>
      <c r="N189" s="67"/>
    </row>
    <row r="190" spans="1:15" ht="16.5" customHeight="1" x14ac:dyDescent="0.2">
      <c r="A190" s="1998"/>
      <c r="B190" s="1999"/>
      <c r="C190" s="2084"/>
      <c r="D190" s="2222" t="s">
        <v>198</v>
      </c>
      <c r="E190" s="2224"/>
      <c r="F190" s="2013"/>
      <c r="G190" s="206"/>
      <c r="H190" s="1082"/>
      <c r="I190" s="714"/>
      <c r="J190" s="678"/>
      <c r="K190" s="1202" t="s">
        <v>56</v>
      </c>
      <c r="L190" s="1122">
        <v>2.9</v>
      </c>
      <c r="M190" s="1122">
        <v>1.7</v>
      </c>
      <c r="N190" s="1123">
        <v>1.7</v>
      </c>
    </row>
    <row r="191" spans="1:15" ht="16.5" customHeight="1" x14ac:dyDescent="0.2">
      <c r="A191" s="1998"/>
      <c r="B191" s="1999"/>
      <c r="C191" s="2084"/>
      <c r="D191" s="2222"/>
      <c r="E191" s="2224"/>
      <c r="F191" s="2013"/>
      <c r="G191" s="206"/>
      <c r="H191" s="1082"/>
      <c r="I191" s="714"/>
      <c r="J191" s="678"/>
      <c r="K191" s="1836" t="s">
        <v>322</v>
      </c>
      <c r="L191" s="1121" t="s">
        <v>323</v>
      </c>
      <c r="M191" s="470"/>
      <c r="N191" s="471"/>
    </row>
    <row r="192" spans="1:15" ht="41.25" customHeight="1" x14ac:dyDescent="0.2">
      <c r="A192" s="1998"/>
      <c r="B192" s="1999"/>
      <c r="C192" s="2084"/>
      <c r="D192" s="2223"/>
      <c r="E192" s="2225"/>
      <c r="F192" s="2226"/>
      <c r="G192" s="119"/>
      <c r="H192" s="1081"/>
      <c r="I192" s="1129"/>
      <c r="J192" s="694"/>
      <c r="K192" s="1332" t="s">
        <v>331</v>
      </c>
      <c r="L192" s="1333">
        <v>100</v>
      </c>
      <c r="M192" s="1334"/>
      <c r="N192" s="1335"/>
    </row>
    <row r="193" spans="1:17" x14ac:dyDescent="0.2">
      <c r="A193" s="1801"/>
      <c r="B193" s="1802"/>
      <c r="C193" s="1815"/>
      <c r="D193" s="2065" t="s">
        <v>197</v>
      </c>
      <c r="E193" s="1860"/>
      <c r="F193" s="1804"/>
      <c r="G193" s="206"/>
      <c r="H193" s="1082"/>
      <c r="I193" s="1082"/>
      <c r="J193" s="677"/>
      <c r="K193" s="2228" t="s">
        <v>199</v>
      </c>
      <c r="L193" s="910">
        <v>19</v>
      </c>
      <c r="M193" s="674">
        <v>18</v>
      </c>
      <c r="N193" s="638">
        <v>18</v>
      </c>
      <c r="O193" s="2103"/>
      <c r="P193" s="2221"/>
      <c r="Q193" s="2221"/>
    </row>
    <row r="194" spans="1:17" ht="15.75" customHeight="1" x14ac:dyDescent="0.2">
      <c r="A194" s="1801"/>
      <c r="B194" s="1802"/>
      <c r="C194" s="1815"/>
      <c r="D194" s="2227"/>
      <c r="E194" s="1860"/>
      <c r="F194" s="1804"/>
      <c r="G194" s="206"/>
      <c r="H194" s="1082"/>
      <c r="I194" s="1082"/>
      <c r="J194" s="677"/>
      <c r="K194" s="2172"/>
      <c r="L194" s="607"/>
      <c r="M194" s="129"/>
      <c r="N194" s="608"/>
      <c r="O194" s="2104"/>
      <c r="P194" s="2221"/>
      <c r="Q194" s="2221"/>
    </row>
    <row r="195" spans="1:17" x14ac:dyDescent="0.2">
      <c r="A195" s="1801"/>
      <c r="B195" s="1802"/>
      <c r="C195" s="1803"/>
      <c r="D195" s="2143" t="s">
        <v>55</v>
      </c>
      <c r="E195" s="2224"/>
      <c r="F195" s="2013"/>
      <c r="G195" s="206"/>
      <c r="H195" s="1082"/>
      <c r="I195" s="714"/>
      <c r="J195" s="678"/>
      <c r="K195" s="1836" t="s">
        <v>77</v>
      </c>
      <c r="L195" s="1842">
        <v>14</v>
      </c>
      <c r="M195" s="1842">
        <v>14</v>
      </c>
      <c r="N195" s="1865">
        <v>14</v>
      </c>
    </row>
    <row r="196" spans="1:17" x14ac:dyDescent="0.2">
      <c r="A196" s="1809"/>
      <c r="B196" s="1802"/>
      <c r="C196" s="1803"/>
      <c r="D196" s="2144"/>
      <c r="E196" s="2224"/>
      <c r="F196" s="2013"/>
      <c r="G196" s="119"/>
      <c r="H196" s="1081"/>
      <c r="I196" s="1129"/>
      <c r="J196" s="694"/>
      <c r="K196" s="1836" t="s">
        <v>373</v>
      </c>
      <c r="L196" s="2174">
        <v>100</v>
      </c>
      <c r="M196" s="1842"/>
      <c r="N196" s="1865"/>
    </row>
    <row r="197" spans="1:17" ht="13.5" thickBot="1" x14ac:dyDescent="0.25">
      <c r="A197" s="305"/>
      <c r="B197" s="1857"/>
      <c r="C197" s="904"/>
      <c r="D197" s="2083"/>
      <c r="E197" s="2081"/>
      <c r="F197" s="2083"/>
      <c r="G197" s="825" t="s">
        <v>9</v>
      </c>
      <c r="H197" s="821">
        <f>SUM(H175:H195)</f>
        <v>2359.4</v>
      </c>
      <c r="I197" s="821">
        <f>SUM(I175:I195)</f>
        <v>1581</v>
      </c>
      <c r="J197" s="1140">
        <f>SUM(J175:J195)</f>
        <v>1710.2</v>
      </c>
      <c r="K197" s="1825"/>
      <c r="L197" s="2111"/>
      <c r="M197" s="1827"/>
      <c r="N197" s="1814"/>
    </row>
    <row r="198" spans="1:17" ht="27.75" customHeight="1" x14ac:dyDescent="0.2">
      <c r="A198" s="1809" t="s">
        <v>8</v>
      </c>
      <c r="B198" s="1802" t="s">
        <v>48</v>
      </c>
      <c r="C198" s="196" t="s">
        <v>10</v>
      </c>
      <c r="D198" s="2245" t="s">
        <v>311</v>
      </c>
      <c r="E198" s="2246"/>
      <c r="F198" s="2249" t="s">
        <v>63</v>
      </c>
      <c r="G198" s="206" t="s">
        <v>188</v>
      </c>
      <c r="H198" s="1082"/>
      <c r="I198" s="714">
        <v>203</v>
      </c>
      <c r="J198" s="678"/>
      <c r="K198" s="1884" t="s">
        <v>234</v>
      </c>
      <c r="L198" s="674">
        <v>1</v>
      </c>
      <c r="M198" s="675"/>
      <c r="N198" s="638"/>
      <c r="P198" s="683"/>
      <c r="Q198" s="683"/>
    </row>
    <row r="199" spans="1:17" ht="20.25" customHeight="1" x14ac:dyDescent="0.2">
      <c r="A199" s="1809"/>
      <c r="B199" s="1802"/>
      <c r="C199" s="196"/>
      <c r="D199" s="2016"/>
      <c r="E199" s="2247"/>
      <c r="F199" s="2250"/>
      <c r="G199" s="119" t="s">
        <v>40</v>
      </c>
      <c r="H199" s="1081">
        <v>30</v>
      </c>
      <c r="I199" s="1129"/>
      <c r="J199" s="694"/>
      <c r="K199" s="2211" t="s">
        <v>275</v>
      </c>
      <c r="L199" s="1842"/>
      <c r="M199" s="1842">
        <v>100</v>
      </c>
      <c r="N199" s="638"/>
      <c r="P199" s="683"/>
    </row>
    <row r="200" spans="1:17" ht="13.5" thickBot="1" x14ac:dyDescent="0.25">
      <c r="A200" s="305"/>
      <c r="B200" s="1857"/>
      <c r="C200" s="764"/>
      <c r="D200" s="199"/>
      <c r="E200" s="2248"/>
      <c r="F200" s="2251"/>
      <c r="G200" s="81" t="s">
        <v>9</v>
      </c>
      <c r="H200" s="765">
        <f>SUM(H198:H199)</f>
        <v>30</v>
      </c>
      <c r="I200" s="765">
        <f t="shared" ref="I200:J200" si="5">SUM(I198:I199)</f>
        <v>203</v>
      </c>
      <c r="J200" s="1086">
        <f t="shared" si="5"/>
        <v>0</v>
      </c>
      <c r="K200" s="2162"/>
      <c r="L200" s="642"/>
      <c r="M200" s="642"/>
      <c r="N200" s="71"/>
      <c r="P200" s="683"/>
      <c r="Q200" s="683"/>
    </row>
    <row r="201" spans="1:17" ht="13.5" thickBot="1" x14ac:dyDescent="0.25">
      <c r="A201" s="305" t="s">
        <v>8</v>
      </c>
      <c r="B201" s="1857" t="s">
        <v>48</v>
      </c>
      <c r="C201" s="2232" t="s">
        <v>11</v>
      </c>
      <c r="D201" s="2232"/>
      <c r="E201" s="2232"/>
      <c r="F201" s="2232"/>
      <c r="G201" s="2148"/>
      <c r="H201" s="766">
        <f>H200+H197</f>
        <v>2389.4</v>
      </c>
      <c r="I201" s="766">
        <f t="shared" ref="I201:J201" si="6">I200+I197</f>
        <v>1784</v>
      </c>
      <c r="J201" s="736">
        <f t="shared" si="6"/>
        <v>1710.2</v>
      </c>
      <c r="K201" s="2213"/>
      <c r="L201" s="2166"/>
      <c r="M201" s="2166"/>
      <c r="N201" s="2167"/>
    </row>
    <row r="202" spans="1:17" ht="13.5" thickBot="1" x14ac:dyDescent="0.25">
      <c r="A202" s="93" t="s">
        <v>8</v>
      </c>
      <c r="B202" s="2233" t="s">
        <v>12</v>
      </c>
      <c r="C202" s="2234"/>
      <c r="D202" s="2234"/>
      <c r="E202" s="2234"/>
      <c r="F202" s="2234"/>
      <c r="G202" s="2235"/>
      <c r="H202" s="767">
        <f>H201+H173+H124+H103</f>
        <v>13672</v>
      </c>
      <c r="I202" s="768">
        <f>I201+I173+I124+I103</f>
        <v>23320.7</v>
      </c>
      <c r="J202" s="769">
        <f>J201+J173+J124+J103</f>
        <v>23255.8</v>
      </c>
      <c r="K202" s="2236"/>
      <c r="L202" s="2237"/>
      <c r="M202" s="2237"/>
      <c r="N202" s="2238"/>
    </row>
    <row r="203" spans="1:17" ht="13.5" thickBot="1" x14ac:dyDescent="0.25">
      <c r="A203" s="62" t="s">
        <v>51</v>
      </c>
      <c r="B203" s="2239" t="s">
        <v>82</v>
      </c>
      <c r="C203" s="2240"/>
      <c r="D203" s="2240"/>
      <c r="E203" s="2240"/>
      <c r="F203" s="2240"/>
      <c r="G203" s="2241"/>
      <c r="H203" s="770">
        <f>SUM(H202)</f>
        <v>13672</v>
      </c>
      <c r="I203" s="771">
        <f t="shared" ref="I203:J203" si="7">SUM(I202)</f>
        <v>23320.7</v>
      </c>
      <c r="J203" s="772">
        <f t="shared" si="7"/>
        <v>23255.8</v>
      </c>
      <c r="K203" s="2242"/>
      <c r="L203" s="2243"/>
      <c r="M203" s="2243"/>
      <c r="N203" s="2244"/>
    </row>
    <row r="204" spans="1:17" s="15" customFormat="1" ht="12" customHeight="1" x14ac:dyDescent="0.2">
      <c r="A204" s="2283"/>
      <c r="B204" s="2283"/>
      <c r="C204" s="2283"/>
      <c r="D204" s="2283"/>
      <c r="E204" s="2283"/>
      <c r="F204" s="2283"/>
      <c r="G204" s="2283"/>
      <c r="H204" s="2283"/>
      <c r="I204" s="2283"/>
      <c r="J204" s="2283"/>
      <c r="K204" s="2283"/>
      <c r="L204" s="2283"/>
      <c r="M204" s="2283"/>
      <c r="N204" s="2283"/>
      <c r="O204" s="14"/>
      <c r="P204" s="14"/>
      <c r="Q204" s="14"/>
    </row>
    <row r="205" spans="1:17" s="15" customFormat="1" ht="15" customHeight="1" thickBot="1" x14ac:dyDescent="0.25">
      <c r="A205" s="2284" t="s">
        <v>17</v>
      </c>
      <c r="B205" s="2284"/>
      <c r="C205" s="2284"/>
      <c r="D205" s="2284"/>
      <c r="E205" s="2284"/>
      <c r="F205" s="2284"/>
      <c r="G205" s="2284"/>
      <c r="H205" s="2284"/>
      <c r="I205" s="2284"/>
      <c r="J205" s="2284"/>
      <c r="K205" s="5"/>
      <c r="L205" s="5"/>
      <c r="M205" s="5"/>
      <c r="N205" s="5"/>
      <c r="O205" s="14"/>
      <c r="P205" s="14"/>
      <c r="Q205" s="14"/>
    </row>
    <row r="206" spans="1:17" ht="56.25" customHeight="1" thickBot="1" x14ac:dyDescent="0.25">
      <c r="A206" s="2285" t="s">
        <v>13</v>
      </c>
      <c r="B206" s="2286"/>
      <c r="C206" s="2286"/>
      <c r="D206" s="2286"/>
      <c r="E206" s="2286"/>
      <c r="F206" s="2286"/>
      <c r="G206" s="2287"/>
      <c r="H206" s="1882" t="s">
        <v>258</v>
      </c>
      <c r="I206" s="798" t="s">
        <v>259</v>
      </c>
      <c r="J206" s="798" t="s">
        <v>260</v>
      </c>
    </row>
    <row r="207" spans="1:17" ht="14.25" customHeight="1" x14ac:dyDescent="0.2">
      <c r="A207" s="2288" t="s">
        <v>18</v>
      </c>
      <c r="B207" s="2289"/>
      <c r="C207" s="2289"/>
      <c r="D207" s="2289"/>
      <c r="E207" s="2289"/>
      <c r="F207" s="2289"/>
      <c r="G207" s="2290"/>
      <c r="H207" s="1157">
        <f>H208+H215+H216+H214</f>
        <v>13259.7</v>
      </c>
      <c r="I207" s="1157">
        <f t="shared" ref="I207:J207" si="8">I208+I215+I216+I214</f>
        <v>16852.099999999999</v>
      </c>
      <c r="J207" s="1157">
        <f t="shared" si="8"/>
        <v>19244.3</v>
      </c>
    </row>
    <row r="208" spans="1:17" ht="14.25" customHeight="1" x14ac:dyDescent="0.2">
      <c r="A208" s="2229" t="s">
        <v>153</v>
      </c>
      <c r="B208" s="2230"/>
      <c r="C208" s="2230"/>
      <c r="D208" s="2230"/>
      <c r="E208" s="2230"/>
      <c r="F208" s="2230"/>
      <c r="G208" s="2231"/>
      <c r="H208" s="773">
        <f>SUM(H209:H213)</f>
        <v>12990</v>
      </c>
      <c r="I208" s="773">
        <f t="shared" ref="I208:J208" si="9">SUM(I209:I213)</f>
        <v>16852.099999999999</v>
      </c>
      <c r="J208" s="1149">
        <f t="shared" si="9"/>
        <v>19244.3</v>
      </c>
    </row>
    <row r="209" spans="1:14" ht="14.25" customHeight="1" x14ac:dyDescent="0.2">
      <c r="A209" s="2280" t="s">
        <v>33</v>
      </c>
      <c r="B209" s="2281"/>
      <c r="C209" s="2281"/>
      <c r="D209" s="2281"/>
      <c r="E209" s="2281"/>
      <c r="F209" s="2281"/>
      <c r="G209" s="2282"/>
      <c r="H209" s="774">
        <f>SUMIF(G12:G203,"SB",H12:H203)</f>
        <v>8090.9</v>
      </c>
      <c r="I209" s="1158">
        <f>SUMIF(G12:G203,"SB",I12:I203)</f>
        <v>7678.4</v>
      </c>
      <c r="J209" s="1158">
        <f>SUMIF(G12:G203,"SB",J12:J203)</f>
        <v>8234.5</v>
      </c>
      <c r="K209" s="49"/>
    </row>
    <row r="210" spans="1:14" ht="14.25" customHeight="1" x14ac:dyDescent="0.2">
      <c r="A210" s="2262" t="s">
        <v>34</v>
      </c>
      <c r="B210" s="2263"/>
      <c r="C210" s="2263"/>
      <c r="D210" s="2263"/>
      <c r="E210" s="2263"/>
      <c r="F210" s="2263"/>
      <c r="G210" s="2264"/>
      <c r="H210" s="775">
        <f>SUMIF(G12:G203,"SB(P)",H12:H203)</f>
        <v>0</v>
      </c>
      <c r="I210" s="1159">
        <f>SUMIF(G12:G203,"SB(P)",I12:I203)</f>
        <v>70</v>
      </c>
      <c r="J210" s="1159">
        <f>SUMIF(G12:G203,"SB(P)",J12:J203)</f>
        <v>3</v>
      </c>
      <c r="K210" s="49"/>
    </row>
    <row r="211" spans="1:14" ht="14.25" customHeight="1" x14ac:dyDescent="0.2">
      <c r="A211" s="2262" t="s">
        <v>100</v>
      </c>
      <c r="B211" s="2263"/>
      <c r="C211" s="2263"/>
      <c r="D211" s="2263"/>
      <c r="E211" s="2263"/>
      <c r="F211" s="2263"/>
      <c r="G211" s="2264"/>
      <c r="H211" s="774">
        <f>SUMIF(G12:G203,"SB(VR)",H12:H203)</f>
        <v>1306.5999999999999</v>
      </c>
      <c r="I211" s="1158">
        <f>SUMIF(G12:G203,"SB(VR)",I12:I203)</f>
        <v>894.2</v>
      </c>
      <c r="J211" s="1158">
        <f>SUMIF(G12:G203,"SB(VR)",J12:J203)</f>
        <v>707.2</v>
      </c>
      <c r="K211" s="49"/>
    </row>
    <row r="212" spans="1:14" ht="14.25" customHeight="1" x14ac:dyDescent="0.2">
      <c r="A212" s="2259" t="s">
        <v>115</v>
      </c>
      <c r="B212" s="2260"/>
      <c r="C212" s="2260"/>
      <c r="D212" s="2260"/>
      <c r="E212" s="2260"/>
      <c r="F212" s="2260"/>
      <c r="G212" s="2261"/>
      <c r="H212" s="775">
        <f>SUMIF(G10:G201,"SB(L)",H10:H201)</f>
        <v>0</v>
      </c>
      <c r="I212" s="1159">
        <f>SUMIF(G11:G201,"SB(L)",I11:I201)</f>
        <v>36.700000000000003</v>
      </c>
      <c r="J212" s="1159">
        <f>SUMIF(G11:G201,"SB(L)",J11:J201)</f>
        <v>36.700000000000003</v>
      </c>
    </row>
    <row r="213" spans="1:14" ht="14.25" customHeight="1" x14ac:dyDescent="0.2">
      <c r="A213" s="2259" t="s">
        <v>186</v>
      </c>
      <c r="B213" s="2260"/>
      <c r="C213" s="2260"/>
      <c r="D213" s="2260"/>
      <c r="E213" s="2260"/>
      <c r="F213" s="2260"/>
      <c r="G213" s="2261"/>
      <c r="H213" s="775">
        <f>SUMIF(G11:G202,"SB(KPP)",H11:H202)</f>
        <v>3592.5</v>
      </c>
      <c r="I213" s="1159">
        <f>SUMIF(G12:G202,"SB(KPP)",I12:I202)</f>
        <v>8172.8</v>
      </c>
      <c r="J213" s="1159">
        <f>SUMIF(G12:G202,"SB(KPP)",J12:J202)</f>
        <v>10262.9</v>
      </c>
    </row>
    <row r="214" spans="1:14" ht="14.25" customHeight="1" x14ac:dyDescent="0.2">
      <c r="A214" s="2268" t="s">
        <v>184</v>
      </c>
      <c r="B214" s="2269"/>
      <c r="C214" s="2269"/>
      <c r="D214" s="2269"/>
      <c r="E214" s="2269"/>
      <c r="F214" s="2269"/>
      <c r="G214" s="2270"/>
      <c r="H214" s="776">
        <f>SUMIF(G11:G202,"SB(VRL)",H11:H202)</f>
        <v>261.8</v>
      </c>
      <c r="I214" s="1160">
        <f>SUMIF(G12:G202,"SB(VRL)",I12:I202)</f>
        <v>0</v>
      </c>
      <c r="J214" s="1160">
        <f>SUMIF(G12:G202,"SB(VRL)",J12:J202)</f>
        <v>0</v>
      </c>
    </row>
    <row r="215" spans="1:14" ht="14.25" customHeight="1" x14ac:dyDescent="0.2">
      <c r="A215" s="2271" t="s">
        <v>185</v>
      </c>
      <c r="B215" s="2269"/>
      <c r="C215" s="2269"/>
      <c r="D215" s="2269"/>
      <c r="E215" s="2269"/>
      <c r="F215" s="2269"/>
      <c r="G215" s="2270"/>
      <c r="H215" s="776">
        <f>SUMIF(G12:G203,"SB(ŽPL)",H12:H203)</f>
        <v>7.9</v>
      </c>
      <c r="I215" s="1160">
        <f>SUMIF(G12:G203,"SB(ŽPL)",I12:I203)</f>
        <v>0</v>
      </c>
      <c r="J215" s="1160">
        <f>SUMIF(G12:G204,"SB(ŽPL)",J12:J204)</f>
        <v>0</v>
      </c>
      <c r="K215" s="49"/>
    </row>
    <row r="216" spans="1:14" ht="14.25" customHeight="1" x14ac:dyDescent="0.2">
      <c r="A216" s="2271" t="s">
        <v>110</v>
      </c>
      <c r="B216" s="2272"/>
      <c r="C216" s="2272"/>
      <c r="D216" s="2272"/>
      <c r="E216" s="2272"/>
      <c r="F216" s="2272"/>
      <c r="G216" s="2273"/>
      <c r="H216" s="776">
        <f>SUMIF(G13:G203,"PF",H13:H203)</f>
        <v>0</v>
      </c>
      <c r="I216" s="1160">
        <f>SUMIF(G12:G201,"PF",I12:I203)</f>
        <v>0</v>
      </c>
      <c r="J216" s="1160">
        <f>SUMIF(G12:G201,"PF",J12:J203)</f>
        <v>0</v>
      </c>
      <c r="K216" s="69"/>
    </row>
    <row r="217" spans="1:14" ht="14.25" customHeight="1" x14ac:dyDescent="0.2">
      <c r="A217" s="2274" t="s">
        <v>19</v>
      </c>
      <c r="B217" s="2275"/>
      <c r="C217" s="2275"/>
      <c r="D217" s="2275"/>
      <c r="E217" s="2275"/>
      <c r="F217" s="2275"/>
      <c r="G217" s="2276"/>
      <c r="H217" s="777">
        <f>SUM(H218:H222)</f>
        <v>412.3</v>
      </c>
      <c r="I217" s="1161">
        <f>I218+I219+I220+I221+I222</f>
        <v>6468.6</v>
      </c>
      <c r="J217" s="1161">
        <f>J218+J219+J220+J221+J222</f>
        <v>4011.5</v>
      </c>
    </row>
    <row r="218" spans="1:14" x14ac:dyDescent="0.2">
      <c r="A218" s="2277" t="s">
        <v>35</v>
      </c>
      <c r="B218" s="2278"/>
      <c r="C218" s="2278"/>
      <c r="D218" s="2278"/>
      <c r="E218" s="2278"/>
      <c r="F218" s="2278"/>
      <c r="G218" s="2279"/>
      <c r="H218" s="775">
        <f>SUMIF(G12:G203,"ES",H12:H203)</f>
        <v>5</v>
      </c>
      <c r="I218" s="1159">
        <f>SUMIF(G12:G203,"ES",I12:I203)</f>
        <v>5010.1000000000004</v>
      </c>
      <c r="J218" s="1159">
        <f>SUMIF(G12:G203,"ES",J12:J203)</f>
        <v>2300.6</v>
      </c>
      <c r="K218" s="49"/>
    </row>
    <row r="219" spans="1:14" x14ac:dyDescent="0.2">
      <c r="A219" s="2259" t="s">
        <v>36</v>
      </c>
      <c r="B219" s="2260"/>
      <c r="C219" s="2260"/>
      <c r="D219" s="2260"/>
      <c r="E219" s="2260"/>
      <c r="F219" s="2260"/>
      <c r="G219" s="2261"/>
      <c r="H219" s="775">
        <f>SUMIF(G12:G203,"KPP",H12:H203)</f>
        <v>0</v>
      </c>
      <c r="I219" s="1159">
        <f>SUMIF(G12:G203,"KPP",I12:I203)</f>
        <v>0</v>
      </c>
      <c r="J219" s="1159">
        <f>SUMIF(G12:G203,"KPP",J12:J203)</f>
        <v>0</v>
      </c>
      <c r="K219" s="49"/>
    </row>
    <row r="220" spans="1:14" x14ac:dyDescent="0.2">
      <c r="A220" s="2259" t="s">
        <v>37</v>
      </c>
      <c r="B220" s="2260"/>
      <c r="C220" s="2260"/>
      <c r="D220" s="2260"/>
      <c r="E220" s="2260"/>
      <c r="F220" s="2260"/>
      <c r="G220" s="2261"/>
      <c r="H220" s="775">
        <f>SUMIF(G12:G203,"KVJUD",H12:H203)</f>
        <v>353.3</v>
      </c>
      <c r="I220" s="1159">
        <f>SUMIF(G12:G203,"KVJUD",I12:I203)</f>
        <v>624</v>
      </c>
      <c r="J220" s="1159">
        <f>SUMIF(G12:G203,"KVJUD",J12:J203)</f>
        <v>1616</v>
      </c>
      <c r="K220" s="51"/>
      <c r="L220" s="6"/>
      <c r="M220" s="6"/>
      <c r="N220" s="6"/>
    </row>
    <row r="221" spans="1:14" x14ac:dyDescent="0.2">
      <c r="A221" s="2262" t="s">
        <v>38</v>
      </c>
      <c r="B221" s="2263"/>
      <c r="C221" s="2263"/>
      <c r="D221" s="2263"/>
      <c r="E221" s="2263"/>
      <c r="F221" s="2263"/>
      <c r="G221" s="2264"/>
      <c r="H221" s="775">
        <f>SUMIF(G12:G203,"LRVB",H12:H203)</f>
        <v>0</v>
      </c>
      <c r="I221" s="1159">
        <f>SUMIF(G12:G203,"LRVB",I12:I203)</f>
        <v>0</v>
      </c>
      <c r="J221" s="1159">
        <f>SUMIF(G12:G203,"LRVB",J12:J203)</f>
        <v>64.900000000000006</v>
      </c>
      <c r="K221" s="51"/>
      <c r="L221" s="6"/>
      <c r="M221" s="6"/>
      <c r="N221" s="6"/>
    </row>
    <row r="222" spans="1:14" x14ac:dyDescent="0.2">
      <c r="A222" s="2262" t="s">
        <v>39</v>
      </c>
      <c r="B222" s="2263"/>
      <c r="C222" s="2263"/>
      <c r="D222" s="2263"/>
      <c r="E222" s="2263"/>
      <c r="F222" s="2263"/>
      <c r="G222" s="2264"/>
      <c r="H222" s="775">
        <f>SUMIF(G12:G203,"Kt",H12:H203)</f>
        <v>54</v>
      </c>
      <c r="I222" s="1159">
        <f>SUMIF(G12:G203,"Kt",I12:I203)</f>
        <v>834.5</v>
      </c>
      <c r="J222" s="1159">
        <f>SUMIF(G12:G203,"Kt",J12:J203)</f>
        <v>30</v>
      </c>
      <c r="K222" s="51"/>
      <c r="L222" s="6"/>
      <c r="M222" s="6"/>
      <c r="N222" s="6"/>
    </row>
    <row r="223" spans="1:14" ht="13.5" thickBot="1" x14ac:dyDescent="0.25">
      <c r="A223" s="2265" t="s">
        <v>20</v>
      </c>
      <c r="B223" s="2266"/>
      <c r="C223" s="2266"/>
      <c r="D223" s="2266"/>
      <c r="E223" s="2266"/>
      <c r="F223" s="2266"/>
      <c r="G223" s="2267"/>
      <c r="H223" s="778">
        <f>SUM(H207,H217)</f>
        <v>13672</v>
      </c>
      <c r="I223" s="1162">
        <f>SUM(I207,I217)</f>
        <v>23320.7</v>
      </c>
      <c r="J223" s="1162">
        <f>SUM(J207,J217)</f>
        <v>23255.8</v>
      </c>
      <c r="K223" s="6"/>
      <c r="L223" s="6"/>
      <c r="M223" s="6"/>
      <c r="N223" s="6"/>
    </row>
    <row r="224" spans="1:14" x14ac:dyDescent="0.2">
      <c r="H224" s="1888"/>
      <c r="I224" s="1888"/>
      <c r="J224" s="1888"/>
    </row>
    <row r="226" spans="1:14" x14ac:dyDescent="0.2">
      <c r="I226" s="535"/>
    </row>
    <row r="227" spans="1:14" x14ac:dyDescent="0.2">
      <c r="A227" s="6"/>
      <c r="B227" s="6"/>
      <c r="C227" s="6"/>
      <c r="D227" s="6"/>
      <c r="E227" s="6"/>
      <c r="F227" s="6"/>
      <c r="G227" s="6"/>
      <c r="H227" s="683"/>
      <c r="I227" s="395"/>
      <c r="J227" s="395"/>
      <c r="K227" s="6"/>
      <c r="L227" s="6"/>
      <c r="M227" s="6"/>
      <c r="N227" s="6"/>
    </row>
    <row r="228" spans="1:14" x14ac:dyDescent="0.2">
      <c r="A228" s="6"/>
      <c r="B228" s="6"/>
      <c r="C228" s="6"/>
      <c r="D228" s="6"/>
      <c r="E228" s="6"/>
      <c r="F228" s="6"/>
      <c r="G228" s="6"/>
      <c r="H228" s="6"/>
      <c r="I228" s="51"/>
      <c r="J228" s="6"/>
      <c r="K228" s="6"/>
      <c r="L228" s="6"/>
      <c r="M228" s="6"/>
      <c r="N228" s="6"/>
    </row>
  </sheetData>
  <mergeCells count="282">
    <mergeCell ref="K71:K73"/>
    <mergeCell ref="N137:N138"/>
    <mergeCell ref="N126:N127"/>
    <mergeCell ref="L137:L138"/>
    <mergeCell ref="M137:M138"/>
    <mergeCell ref="A220:G220"/>
    <mergeCell ref="A221:G221"/>
    <mergeCell ref="A222:G222"/>
    <mergeCell ref="A223:G223"/>
    <mergeCell ref="A214:G214"/>
    <mergeCell ref="A215:G215"/>
    <mergeCell ref="A216:G216"/>
    <mergeCell ref="A217:G217"/>
    <mergeCell ref="A218:G218"/>
    <mergeCell ref="A219:G219"/>
    <mergeCell ref="A209:G209"/>
    <mergeCell ref="A210:G210"/>
    <mergeCell ref="A211:G211"/>
    <mergeCell ref="A212:G212"/>
    <mergeCell ref="A213:G213"/>
    <mergeCell ref="A204:N204"/>
    <mergeCell ref="A205:J205"/>
    <mergeCell ref="A206:G206"/>
    <mergeCell ref="A207:G207"/>
    <mergeCell ref="A208:G208"/>
    <mergeCell ref="C201:G201"/>
    <mergeCell ref="K201:N201"/>
    <mergeCell ref="B202:G202"/>
    <mergeCell ref="K202:N202"/>
    <mergeCell ref="B203:G203"/>
    <mergeCell ref="K203:N203"/>
    <mergeCell ref="D198:D199"/>
    <mergeCell ref="E198:E200"/>
    <mergeCell ref="F198:F200"/>
    <mergeCell ref="K199:K200"/>
    <mergeCell ref="O193:Q194"/>
    <mergeCell ref="A190:A192"/>
    <mergeCell ref="B190:B192"/>
    <mergeCell ref="C190:C192"/>
    <mergeCell ref="D190:D192"/>
    <mergeCell ref="E190:E192"/>
    <mergeCell ref="D195:D197"/>
    <mergeCell ref="E195:E197"/>
    <mergeCell ref="F195:F197"/>
    <mergeCell ref="F190:F192"/>
    <mergeCell ref="D193:D194"/>
    <mergeCell ref="K193:K194"/>
    <mergeCell ref="L196:L197"/>
    <mergeCell ref="D175:D178"/>
    <mergeCell ref="K179:K180"/>
    <mergeCell ref="A185:A189"/>
    <mergeCell ref="B185:B189"/>
    <mergeCell ref="C185:C189"/>
    <mergeCell ref="D185:D187"/>
    <mergeCell ref="D188:D189"/>
    <mergeCell ref="K188:K189"/>
    <mergeCell ref="K157:K158"/>
    <mergeCell ref="K173:N173"/>
    <mergeCell ref="A159:A161"/>
    <mergeCell ref="B159:B161"/>
    <mergeCell ref="C159:C161"/>
    <mergeCell ref="D159:D162"/>
    <mergeCell ref="E159:E161"/>
    <mergeCell ref="C173:G173"/>
    <mergeCell ref="A156:A158"/>
    <mergeCell ref="B156:B158"/>
    <mergeCell ref="C168:C172"/>
    <mergeCell ref="D168:D172"/>
    <mergeCell ref="E168:E172"/>
    <mergeCell ref="F168:F172"/>
    <mergeCell ref="A143:A146"/>
    <mergeCell ref="B143:B146"/>
    <mergeCell ref="C143:C146"/>
    <mergeCell ref="D143:D144"/>
    <mergeCell ref="C156:C158"/>
    <mergeCell ref="D156:D158"/>
    <mergeCell ref="E156:E158"/>
    <mergeCell ref="F156:F158"/>
    <mergeCell ref="C174:N174"/>
    <mergeCell ref="A151:A154"/>
    <mergeCell ref="B151:B154"/>
    <mergeCell ref="C151:C154"/>
    <mergeCell ref="D151:D153"/>
    <mergeCell ref="E151:E155"/>
    <mergeCell ref="F151:F155"/>
    <mergeCell ref="D148:D149"/>
    <mergeCell ref="A163:A167"/>
    <mergeCell ref="B163:B167"/>
    <mergeCell ref="C163:C167"/>
    <mergeCell ref="D163:D167"/>
    <mergeCell ref="E163:E167"/>
    <mergeCell ref="F163:F167"/>
    <mergeCell ref="A168:A172"/>
    <mergeCell ref="B168:B172"/>
    <mergeCell ref="E140:E141"/>
    <mergeCell ref="E130:E131"/>
    <mergeCell ref="A126:A139"/>
    <mergeCell ref="B126:B139"/>
    <mergeCell ref="C126:C139"/>
    <mergeCell ref="D126:D129"/>
    <mergeCell ref="D117:D120"/>
    <mergeCell ref="E117:E119"/>
    <mergeCell ref="F117:F119"/>
    <mergeCell ref="K117:K120"/>
    <mergeCell ref="D137:D139"/>
    <mergeCell ref="K137:K138"/>
    <mergeCell ref="C124:G124"/>
    <mergeCell ref="K124:N124"/>
    <mergeCell ref="C125:N125"/>
    <mergeCell ref="K126:K129"/>
    <mergeCell ref="L126:L127"/>
    <mergeCell ref="M126:M127"/>
    <mergeCell ref="D121:D123"/>
    <mergeCell ref="E121:E122"/>
    <mergeCell ref="F121:F122"/>
    <mergeCell ref="A114:A115"/>
    <mergeCell ref="B114:B115"/>
    <mergeCell ref="C114:C115"/>
    <mergeCell ref="D114:D115"/>
    <mergeCell ref="E114:E115"/>
    <mergeCell ref="F114:F115"/>
    <mergeCell ref="K114:K115"/>
    <mergeCell ref="D101:D102"/>
    <mergeCell ref="E101:E102"/>
    <mergeCell ref="F101:F102"/>
    <mergeCell ref="K100:K102"/>
    <mergeCell ref="C103:G103"/>
    <mergeCell ref="C104:N104"/>
    <mergeCell ref="D105:D107"/>
    <mergeCell ref="E105:E107"/>
    <mergeCell ref="L101:L102"/>
    <mergeCell ref="M101:M102"/>
    <mergeCell ref="N101:N102"/>
    <mergeCell ref="D94:D96"/>
    <mergeCell ref="O74:O76"/>
    <mergeCell ref="D78:D80"/>
    <mergeCell ref="K78:K80"/>
    <mergeCell ref="E79:E80"/>
    <mergeCell ref="D81:D82"/>
    <mergeCell ref="L75:L76"/>
    <mergeCell ref="M75:M76"/>
    <mergeCell ref="N75:N76"/>
    <mergeCell ref="N84:N85"/>
    <mergeCell ref="M84:M85"/>
    <mergeCell ref="L84:L85"/>
    <mergeCell ref="K84:K85"/>
    <mergeCell ref="D83:D85"/>
    <mergeCell ref="E84:E85"/>
    <mergeCell ref="F84:F85"/>
    <mergeCell ref="A74:A75"/>
    <mergeCell ref="B74:B75"/>
    <mergeCell ref="C74:C75"/>
    <mergeCell ref="D74:D76"/>
    <mergeCell ref="E74:E76"/>
    <mergeCell ref="F74:F76"/>
    <mergeCell ref="K74:K76"/>
    <mergeCell ref="A86:A93"/>
    <mergeCell ref="B86:B93"/>
    <mergeCell ref="C86:C93"/>
    <mergeCell ref="D87:D88"/>
    <mergeCell ref="E87:E88"/>
    <mergeCell ref="F87:F88"/>
    <mergeCell ref="K87:K88"/>
    <mergeCell ref="D89:D90"/>
    <mergeCell ref="F89:F90"/>
    <mergeCell ref="G89:G90"/>
    <mergeCell ref="D91:D92"/>
    <mergeCell ref="F69:F70"/>
    <mergeCell ref="A71:A73"/>
    <mergeCell ref="B71:B73"/>
    <mergeCell ref="C71:C73"/>
    <mergeCell ref="D71:D73"/>
    <mergeCell ref="E71:E73"/>
    <mergeCell ref="F71:F73"/>
    <mergeCell ref="A69:A70"/>
    <mergeCell ref="B69:B70"/>
    <mergeCell ref="C69:C70"/>
    <mergeCell ref="D69:D70"/>
    <mergeCell ref="E69:E70"/>
    <mergeCell ref="O63:O64"/>
    <mergeCell ref="D67:D68"/>
    <mergeCell ref="E67:E68"/>
    <mergeCell ref="F67:F68"/>
    <mergeCell ref="K67:K68"/>
    <mergeCell ref="A63:A64"/>
    <mergeCell ref="B63:B64"/>
    <mergeCell ref="C63:C64"/>
    <mergeCell ref="D63:D65"/>
    <mergeCell ref="E64:E65"/>
    <mergeCell ref="F64:F65"/>
    <mergeCell ref="K63:K65"/>
    <mergeCell ref="L64:L65"/>
    <mergeCell ref="M64:M65"/>
    <mergeCell ref="N64:N65"/>
    <mergeCell ref="A61:A62"/>
    <mergeCell ref="B61:B62"/>
    <mergeCell ref="C61:C62"/>
    <mergeCell ref="D61:D62"/>
    <mergeCell ref="K61:K62"/>
    <mergeCell ref="D57:D58"/>
    <mergeCell ref="E57:E58"/>
    <mergeCell ref="F57:F58"/>
    <mergeCell ref="D59:D60"/>
    <mergeCell ref="A49:A56"/>
    <mergeCell ref="B49:B56"/>
    <mergeCell ref="C49:C56"/>
    <mergeCell ref="E49:E56"/>
    <mergeCell ref="F49:F56"/>
    <mergeCell ref="F39:F41"/>
    <mergeCell ref="A43:A46"/>
    <mergeCell ref="B43:B46"/>
    <mergeCell ref="C43:C46"/>
    <mergeCell ref="D43:D46"/>
    <mergeCell ref="F43:F46"/>
    <mergeCell ref="A39:A41"/>
    <mergeCell ref="B39:B41"/>
    <mergeCell ref="C39:C41"/>
    <mergeCell ref="D39:D41"/>
    <mergeCell ref="E39:E41"/>
    <mergeCell ref="D49:D50"/>
    <mergeCell ref="D51:D52"/>
    <mergeCell ref="A37:A38"/>
    <mergeCell ref="B37:B38"/>
    <mergeCell ref="C37:C38"/>
    <mergeCell ref="D37:D38"/>
    <mergeCell ref="F37:F38"/>
    <mergeCell ref="D30:D32"/>
    <mergeCell ref="A33:A34"/>
    <mergeCell ref="B33:B34"/>
    <mergeCell ref="C33:C34"/>
    <mergeCell ref="D33:D35"/>
    <mergeCell ref="E33:E35"/>
    <mergeCell ref="F33:F35"/>
    <mergeCell ref="F25:F27"/>
    <mergeCell ref="E26:E29"/>
    <mergeCell ref="D28:D29"/>
    <mergeCell ref="A23:A24"/>
    <mergeCell ref="B23:B24"/>
    <mergeCell ref="C23:C24"/>
    <mergeCell ref="D23:D24"/>
    <mergeCell ref="E23:E24"/>
    <mergeCell ref="K28:K29"/>
    <mergeCell ref="F23:F24"/>
    <mergeCell ref="K23:K24"/>
    <mergeCell ref="D25:D27"/>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L6:N6"/>
    <mergeCell ref="A21:A22"/>
    <mergeCell ref="B21:B22"/>
    <mergeCell ref="A8:N8"/>
    <mergeCell ref="A9:N9"/>
    <mergeCell ref="B10:N10"/>
    <mergeCell ref="C11:N11"/>
    <mergeCell ref="A13:A20"/>
    <mergeCell ref="B13:B20"/>
    <mergeCell ref="C13:C20"/>
    <mergeCell ref="F13:F20"/>
    <mergeCell ref="E14:E19"/>
    <mergeCell ref="D19:D20"/>
    <mergeCell ref="C21:C22"/>
    <mergeCell ref="D21:D22"/>
    <mergeCell ref="E21:E22"/>
    <mergeCell ref="F21:F22"/>
    <mergeCell ref="D13:D16"/>
    <mergeCell ref="D17:D18"/>
    <mergeCell ref="K15:K16"/>
    <mergeCell ref="K17:K20"/>
  </mergeCells>
  <pageMargins left="0.78740157480314965" right="0.19685039370078741" top="0.78740157480314965" bottom="0.39370078740157483" header="0" footer="0"/>
  <pageSetup paperSize="9" scale="71" orientation="portrait" r:id="rId1"/>
  <rowBreaks count="4" manualBreakCount="4">
    <brk id="90" max="13" man="1"/>
    <brk id="134" max="13" man="1"/>
    <brk id="162" max="13" man="1"/>
    <brk id="20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3"/>
  <sheetViews>
    <sheetView view="pageBreakPreview" topLeftCell="A142" zoomScaleNormal="100" zoomScaleSheetLayoutView="100" workbookViewId="0">
      <selection activeCell="W170" sqref="W170"/>
    </sheetView>
  </sheetViews>
  <sheetFormatPr defaultRowHeight="12.75" x14ac:dyDescent="0.2"/>
  <cols>
    <col min="1" max="3" width="2.7109375" style="7" customWidth="1"/>
    <col min="4" max="4" width="35.7109375" style="7" customWidth="1"/>
    <col min="5" max="5" width="2.7109375" style="32" customWidth="1"/>
    <col min="6" max="6" width="3.140625" style="47" customWidth="1"/>
    <col min="7" max="7" width="8.42578125" style="8" customWidth="1"/>
    <col min="8" max="8" width="8.7109375" style="7" customWidth="1"/>
    <col min="9" max="9" width="8.42578125" style="7" customWidth="1"/>
    <col min="10" max="10" width="6.42578125" style="7" customWidth="1"/>
    <col min="11" max="11" width="8.85546875" style="7" customWidth="1"/>
    <col min="12" max="12" width="8.7109375" style="7" customWidth="1"/>
    <col min="13" max="13" width="6.42578125" style="7" customWidth="1"/>
    <col min="14" max="16" width="8.28515625" style="7" customWidth="1"/>
    <col min="17" max="17" width="32.5703125" style="7" customWidth="1"/>
    <col min="18" max="18" width="3.7109375" style="7" customWidth="1"/>
    <col min="19" max="19" width="5.28515625" style="7" customWidth="1"/>
    <col min="20" max="20" width="3.85546875" style="7" customWidth="1"/>
    <col min="21" max="21" width="47.28515625" style="1945" customWidth="1"/>
    <col min="22" max="16384" width="9.140625" style="6"/>
  </cols>
  <sheetData>
    <row r="1" spans="1:21" ht="15.75" x14ac:dyDescent="0.25">
      <c r="Q1" s="2314"/>
      <c r="R1" s="2315"/>
      <c r="S1" s="2315"/>
      <c r="T1" s="2315"/>
      <c r="U1" s="1950" t="s">
        <v>313</v>
      </c>
    </row>
    <row r="2" spans="1:21" ht="15.75" x14ac:dyDescent="0.2">
      <c r="A2" s="2028" t="s">
        <v>257</v>
      </c>
      <c r="B2" s="2028"/>
      <c r="C2" s="2028"/>
      <c r="D2" s="2028"/>
      <c r="E2" s="2028"/>
      <c r="F2" s="2028"/>
      <c r="G2" s="2028"/>
      <c r="H2" s="2028"/>
      <c r="I2" s="2028"/>
      <c r="J2" s="2028"/>
      <c r="K2" s="2028"/>
      <c r="L2" s="2028"/>
      <c r="M2" s="2028"/>
      <c r="N2" s="2028"/>
      <c r="O2" s="2028"/>
      <c r="P2" s="2028"/>
      <c r="Q2" s="2028"/>
      <c r="R2" s="2028"/>
      <c r="S2" s="2028"/>
      <c r="T2" s="2028"/>
      <c r="U2" s="2221"/>
    </row>
    <row r="3" spans="1:21" ht="15.75" x14ac:dyDescent="0.2">
      <c r="A3" s="2029" t="s">
        <v>44</v>
      </c>
      <c r="B3" s="2029"/>
      <c r="C3" s="2029"/>
      <c r="D3" s="2029"/>
      <c r="E3" s="2029"/>
      <c r="F3" s="2029"/>
      <c r="G3" s="2029"/>
      <c r="H3" s="2029"/>
      <c r="I3" s="2029"/>
      <c r="J3" s="2029"/>
      <c r="K3" s="2029"/>
      <c r="L3" s="2029"/>
      <c r="M3" s="2029"/>
      <c r="N3" s="2029"/>
      <c r="O3" s="2029"/>
      <c r="P3" s="2029"/>
      <c r="Q3" s="2029"/>
      <c r="R3" s="2029"/>
      <c r="S3" s="2029"/>
      <c r="T3" s="2029"/>
      <c r="U3" s="2221"/>
    </row>
    <row r="4" spans="1:21" ht="15.75" x14ac:dyDescent="0.2">
      <c r="A4" s="2028" t="s">
        <v>30</v>
      </c>
      <c r="B4" s="2028"/>
      <c r="C4" s="2028"/>
      <c r="D4" s="2028"/>
      <c r="E4" s="2028"/>
      <c r="F4" s="2028"/>
      <c r="G4" s="2028"/>
      <c r="H4" s="2028"/>
      <c r="I4" s="2028"/>
      <c r="J4" s="2028"/>
      <c r="K4" s="2028"/>
      <c r="L4" s="2028"/>
      <c r="M4" s="2028"/>
      <c r="N4" s="2028"/>
      <c r="O4" s="2028"/>
      <c r="P4" s="2028"/>
      <c r="Q4" s="2028"/>
      <c r="R4" s="2028"/>
      <c r="S4" s="2028"/>
      <c r="T4" s="2028"/>
      <c r="U4" s="2221"/>
    </row>
    <row r="5" spans="1:21" ht="13.5" thickBot="1" x14ac:dyDescent="0.25">
      <c r="A5" s="85"/>
      <c r="B5" s="85"/>
      <c r="C5" s="85"/>
      <c r="D5" s="85"/>
      <c r="E5" s="86"/>
      <c r="F5" s="87"/>
      <c r="G5" s="1918"/>
      <c r="H5" s="85"/>
      <c r="I5" s="85"/>
      <c r="J5" s="85"/>
      <c r="K5" s="85"/>
      <c r="L5" s="85"/>
      <c r="M5" s="85"/>
      <c r="N5" s="85"/>
      <c r="O5" s="85"/>
      <c r="P5" s="85"/>
      <c r="Q5" s="85"/>
      <c r="R5" s="2031"/>
      <c r="S5" s="2031"/>
      <c r="T5" s="2031"/>
      <c r="U5" s="1951" t="s">
        <v>252</v>
      </c>
    </row>
    <row r="6" spans="1:21" ht="21" customHeight="1" x14ac:dyDescent="0.2">
      <c r="A6" s="2032" t="s">
        <v>31</v>
      </c>
      <c r="B6" s="2035" t="s">
        <v>1</v>
      </c>
      <c r="C6" s="2035" t="s">
        <v>2</v>
      </c>
      <c r="D6" s="2038" t="s">
        <v>15</v>
      </c>
      <c r="E6" s="2041" t="s">
        <v>3</v>
      </c>
      <c r="F6" s="2044" t="s">
        <v>4</v>
      </c>
      <c r="G6" s="2047" t="s">
        <v>5</v>
      </c>
      <c r="H6" s="2390" t="s">
        <v>256</v>
      </c>
      <c r="I6" s="2393" t="s">
        <v>383</v>
      </c>
      <c r="J6" s="2396" t="s">
        <v>314</v>
      </c>
      <c r="K6" s="2310" t="s">
        <v>122</v>
      </c>
      <c r="L6" s="2380" t="s">
        <v>325</v>
      </c>
      <c r="M6" s="2383" t="s">
        <v>314</v>
      </c>
      <c r="N6" s="2310" t="s">
        <v>191</v>
      </c>
      <c r="O6" s="2380" t="s">
        <v>336</v>
      </c>
      <c r="P6" s="2383" t="s">
        <v>314</v>
      </c>
      <c r="Q6" s="2053" t="s">
        <v>14</v>
      </c>
      <c r="R6" s="2054"/>
      <c r="S6" s="2054"/>
      <c r="T6" s="2055"/>
      <c r="U6" s="1919"/>
    </row>
    <row r="7" spans="1:21" ht="17.25" customHeight="1" x14ac:dyDescent="0.2">
      <c r="A7" s="2033"/>
      <c r="B7" s="2036"/>
      <c r="C7" s="2036"/>
      <c r="D7" s="2039"/>
      <c r="E7" s="2042"/>
      <c r="F7" s="2045"/>
      <c r="G7" s="2048"/>
      <c r="H7" s="2391"/>
      <c r="I7" s="2394"/>
      <c r="J7" s="2397"/>
      <c r="K7" s="2311"/>
      <c r="L7" s="2381"/>
      <c r="M7" s="2384"/>
      <c r="N7" s="2311"/>
      <c r="O7" s="2381"/>
      <c r="P7" s="2384"/>
      <c r="Q7" s="2056" t="s">
        <v>15</v>
      </c>
      <c r="R7" s="2058" t="s">
        <v>171</v>
      </c>
      <c r="S7" s="2059"/>
      <c r="T7" s="2060"/>
      <c r="U7" s="1920"/>
    </row>
    <row r="8" spans="1:21" ht="80.25" customHeight="1" thickBot="1" x14ac:dyDescent="0.25">
      <c r="A8" s="2034"/>
      <c r="B8" s="2037"/>
      <c r="C8" s="2037"/>
      <c r="D8" s="2040"/>
      <c r="E8" s="2043"/>
      <c r="F8" s="2046"/>
      <c r="G8" s="2049"/>
      <c r="H8" s="2392"/>
      <c r="I8" s="2395"/>
      <c r="J8" s="2398"/>
      <c r="K8" s="2312"/>
      <c r="L8" s="2382"/>
      <c r="M8" s="2385"/>
      <c r="N8" s="2312"/>
      <c r="O8" s="2382"/>
      <c r="P8" s="2385"/>
      <c r="Q8" s="2057"/>
      <c r="R8" s="422" t="s">
        <v>93</v>
      </c>
      <c r="S8" s="422" t="s">
        <v>123</v>
      </c>
      <c r="T8" s="423" t="s">
        <v>192</v>
      </c>
      <c r="U8" s="1971" t="s">
        <v>342</v>
      </c>
    </row>
    <row r="9" spans="1:21" s="44" customFormat="1" x14ac:dyDescent="0.2">
      <c r="A9" s="2000" t="s">
        <v>89</v>
      </c>
      <c r="B9" s="2001"/>
      <c r="C9" s="2001"/>
      <c r="D9" s="2001"/>
      <c r="E9" s="2001"/>
      <c r="F9" s="2001"/>
      <c r="G9" s="2001"/>
      <c r="H9" s="2001"/>
      <c r="I9" s="2001"/>
      <c r="J9" s="2001"/>
      <c r="K9" s="2001"/>
      <c r="L9" s="2001"/>
      <c r="M9" s="2001"/>
      <c r="N9" s="2001"/>
      <c r="O9" s="2001"/>
      <c r="P9" s="2001"/>
      <c r="Q9" s="2001"/>
      <c r="R9" s="2001"/>
      <c r="S9" s="2001"/>
      <c r="T9" s="2001"/>
      <c r="U9" s="1921"/>
    </row>
    <row r="10" spans="1:21" s="44" customFormat="1" ht="14.25" customHeight="1" x14ac:dyDescent="0.2">
      <c r="A10" s="2003" t="s">
        <v>41</v>
      </c>
      <c r="B10" s="2004"/>
      <c r="C10" s="2004"/>
      <c r="D10" s="2004"/>
      <c r="E10" s="2004"/>
      <c r="F10" s="2004"/>
      <c r="G10" s="2004"/>
      <c r="H10" s="2004"/>
      <c r="I10" s="2004"/>
      <c r="J10" s="2004"/>
      <c r="K10" s="2004"/>
      <c r="L10" s="2004"/>
      <c r="M10" s="2004"/>
      <c r="N10" s="2004"/>
      <c r="O10" s="2004"/>
      <c r="P10" s="2004"/>
      <c r="Q10" s="2004"/>
      <c r="R10" s="2004"/>
      <c r="S10" s="2004"/>
      <c r="T10" s="2004"/>
      <c r="U10" s="1922"/>
    </row>
    <row r="11" spans="1:21" ht="14.25" customHeight="1" x14ac:dyDescent="0.2">
      <c r="A11" s="91" t="s">
        <v>8</v>
      </c>
      <c r="B11" s="2006" t="s">
        <v>45</v>
      </c>
      <c r="C11" s="2007"/>
      <c r="D11" s="2007"/>
      <c r="E11" s="2007"/>
      <c r="F11" s="2007"/>
      <c r="G11" s="2007"/>
      <c r="H11" s="2007"/>
      <c r="I11" s="2007"/>
      <c r="J11" s="2007"/>
      <c r="K11" s="2007"/>
      <c r="L11" s="2007"/>
      <c r="M11" s="2007"/>
      <c r="N11" s="2007"/>
      <c r="O11" s="2007"/>
      <c r="P11" s="2007"/>
      <c r="Q11" s="2007"/>
      <c r="R11" s="2007"/>
      <c r="S11" s="2007"/>
      <c r="T11" s="2007"/>
      <c r="U11" s="1923"/>
    </row>
    <row r="12" spans="1:21" x14ac:dyDescent="0.2">
      <c r="A12" s="1183" t="s">
        <v>8</v>
      </c>
      <c r="B12" s="64" t="s">
        <v>8</v>
      </c>
      <c r="C12" s="2009" t="s">
        <v>46</v>
      </c>
      <c r="D12" s="2010"/>
      <c r="E12" s="2010"/>
      <c r="F12" s="2010"/>
      <c r="G12" s="2010"/>
      <c r="H12" s="2010"/>
      <c r="I12" s="2010"/>
      <c r="J12" s="2010"/>
      <c r="K12" s="2010"/>
      <c r="L12" s="2010"/>
      <c r="M12" s="2010"/>
      <c r="N12" s="2010"/>
      <c r="O12" s="2010"/>
      <c r="P12" s="2010"/>
      <c r="Q12" s="2010"/>
      <c r="R12" s="2010"/>
      <c r="S12" s="2010"/>
      <c r="T12" s="2010"/>
      <c r="U12" s="1924"/>
    </row>
    <row r="13" spans="1:21" ht="30" customHeight="1" x14ac:dyDescent="0.2">
      <c r="A13" s="1168" t="s">
        <v>8</v>
      </c>
      <c r="B13" s="1169" t="s">
        <v>8</v>
      </c>
      <c r="C13" s="1172" t="s">
        <v>8</v>
      </c>
      <c r="D13" s="823" t="s">
        <v>71</v>
      </c>
      <c r="E13" s="850" t="s">
        <v>141</v>
      </c>
      <c r="F13" s="221" t="s">
        <v>63</v>
      </c>
      <c r="G13" s="1418"/>
      <c r="H13" s="1118"/>
      <c r="I13" s="1233"/>
      <c r="J13" s="1271"/>
      <c r="K13" s="1653"/>
      <c r="L13" s="1233"/>
      <c r="M13" s="1654"/>
      <c r="N13" s="1653"/>
      <c r="O13" s="1233"/>
      <c r="P13" s="1654"/>
      <c r="Q13" s="1420"/>
      <c r="R13" s="1421"/>
      <c r="S13" s="1422"/>
      <c r="T13" s="1423"/>
      <c r="U13" s="1925"/>
    </row>
    <row r="14" spans="1:21" ht="13.5" customHeight="1" x14ac:dyDescent="0.2">
      <c r="A14" s="1998"/>
      <c r="B14" s="1999"/>
      <c r="C14" s="2012"/>
      <c r="D14" s="2022" t="s">
        <v>378</v>
      </c>
      <c r="E14" s="1600" t="s">
        <v>68</v>
      </c>
      <c r="F14" s="2013"/>
      <c r="G14" s="1119" t="s">
        <v>40</v>
      </c>
      <c r="H14" s="1415">
        <v>376.6</v>
      </c>
      <c r="I14" s="1970">
        <v>376.6</v>
      </c>
      <c r="J14" s="1625">
        <f>I14-H14</f>
        <v>0</v>
      </c>
      <c r="K14" s="1655">
        <v>412.9</v>
      </c>
      <c r="L14" s="1979">
        <f>412.9+144.8</f>
        <v>557.70000000000005</v>
      </c>
      <c r="M14" s="1978">
        <f>L14-K14</f>
        <v>144.80000000000001</v>
      </c>
      <c r="N14" s="1655">
        <v>486.2</v>
      </c>
      <c r="O14" s="1979">
        <f>486.2-267.9</f>
        <v>218.3</v>
      </c>
      <c r="P14" s="1978">
        <f>O14-N14</f>
        <v>-267.89999999999998</v>
      </c>
      <c r="Q14" s="1391" t="s">
        <v>200</v>
      </c>
      <c r="R14" s="1955">
        <v>2</v>
      </c>
      <c r="S14" s="1972" t="s">
        <v>245</v>
      </c>
      <c r="T14" s="179"/>
      <c r="U14" s="2370" t="s">
        <v>411</v>
      </c>
    </row>
    <row r="15" spans="1:21" ht="13.5" customHeight="1" x14ac:dyDescent="0.2">
      <c r="A15" s="1998"/>
      <c r="B15" s="1999"/>
      <c r="C15" s="2012"/>
      <c r="D15" s="2352"/>
      <c r="E15" s="2360" t="s">
        <v>241</v>
      </c>
      <c r="F15" s="2013"/>
      <c r="G15" s="739" t="s">
        <v>188</v>
      </c>
      <c r="H15" s="1092">
        <v>75</v>
      </c>
      <c r="I15" s="1898">
        <v>193.5</v>
      </c>
      <c r="J15" s="1439">
        <f>I15-H15</f>
        <v>118.5</v>
      </c>
      <c r="K15" s="1899"/>
      <c r="L15" s="1658"/>
      <c r="M15" s="1659"/>
      <c r="N15" s="1657">
        <v>46.2</v>
      </c>
      <c r="O15" s="1980">
        <f>46.2-13.1</f>
        <v>33.1</v>
      </c>
      <c r="P15" s="1981">
        <f>O15-N15</f>
        <v>-13.1</v>
      </c>
      <c r="Q15" s="208" t="s">
        <v>158</v>
      </c>
      <c r="R15" s="1956">
        <v>1</v>
      </c>
      <c r="S15" s="1957" t="s">
        <v>79</v>
      </c>
      <c r="T15" s="54"/>
      <c r="U15" s="2371"/>
    </row>
    <row r="16" spans="1:21" ht="19.5" customHeight="1" x14ac:dyDescent="0.2">
      <c r="A16" s="1998"/>
      <c r="B16" s="1999"/>
      <c r="C16" s="2012"/>
      <c r="D16" s="2352"/>
      <c r="E16" s="2360"/>
      <c r="F16" s="2013"/>
      <c r="G16" s="154" t="s">
        <v>205</v>
      </c>
      <c r="H16" s="1092"/>
      <c r="I16" s="1234"/>
      <c r="J16" s="1649"/>
      <c r="K16" s="1899"/>
      <c r="L16" s="1658"/>
      <c r="M16" s="1659"/>
      <c r="N16" s="1657">
        <v>227</v>
      </c>
      <c r="O16" s="1980">
        <f>227-162.1</f>
        <v>64.900000000000006</v>
      </c>
      <c r="P16" s="1981">
        <f>O16-N16</f>
        <v>-162.1</v>
      </c>
      <c r="Q16" s="2025" t="s">
        <v>201</v>
      </c>
      <c r="R16" s="1426"/>
      <c r="S16" s="1549"/>
      <c r="T16" s="2368" t="s">
        <v>404</v>
      </c>
      <c r="U16" s="2371"/>
    </row>
    <row r="17" spans="1:21" ht="44.25" customHeight="1" x14ac:dyDescent="0.2">
      <c r="A17" s="1998"/>
      <c r="B17" s="1999"/>
      <c r="C17" s="2012"/>
      <c r="D17" s="2352"/>
      <c r="E17" s="2360"/>
      <c r="F17" s="2013"/>
      <c r="G17" s="298" t="s">
        <v>64</v>
      </c>
      <c r="H17" s="1424"/>
      <c r="I17" s="1249"/>
      <c r="J17" s="1136"/>
      <c r="K17" s="1707"/>
      <c r="L17" s="1661"/>
      <c r="M17" s="1662"/>
      <c r="N17" s="1660">
        <v>2946.7</v>
      </c>
      <c r="O17" s="1982">
        <f>2946.7-1960.5</f>
        <v>986.2</v>
      </c>
      <c r="P17" s="1983">
        <f>O17-N17</f>
        <v>-1960.5</v>
      </c>
      <c r="Q17" s="2026"/>
      <c r="R17" s="1390"/>
      <c r="S17" s="1550"/>
      <c r="T17" s="2369"/>
      <c r="U17" s="2371"/>
    </row>
    <row r="18" spans="1:21" ht="21" customHeight="1" x14ac:dyDescent="0.2">
      <c r="A18" s="1998"/>
      <c r="B18" s="1999"/>
      <c r="C18" s="2012"/>
      <c r="D18" s="2024" t="s">
        <v>366</v>
      </c>
      <c r="E18" s="2361"/>
      <c r="F18" s="2013"/>
      <c r="G18" s="799"/>
      <c r="H18" s="1082"/>
      <c r="I18" s="1072"/>
      <c r="J18" s="1075"/>
      <c r="K18" s="1670"/>
      <c r="L18" s="1263"/>
      <c r="M18" s="1664"/>
      <c r="N18" s="1663"/>
      <c r="O18" s="1263"/>
      <c r="P18" s="1664"/>
      <c r="Q18" s="2399" t="s">
        <v>202</v>
      </c>
      <c r="R18" s="1494"/>
      <c r="S18" s="1495"/>
      <c r="T18" s="2401" t="s">
        <v>405</v>
      </c>
      <c r="U18" s="2371"/>
    </row>
    <row r="19" spans="1:21" ht="18" customHeight="1" x14ac:dyDescent="0.2">
      <c r="A19" s="1998"/>
      <c r="B19" s="1999"/>
      <c r="C19" s="2012"/>
      <c r="D19" s="2023"/>
      <c r="E19" s="2361"/>
      <c r="F19" s="2013"/>
      <c r="G19" s="527"/>
      <c r="H19" s="1082"/>
      <c r="I19" s="1072"/>
      <c r="J19" s="1075"/>
      <c r="K19" s="1670"/>
      <c r="L19" s="1263"/>
      <c r="M19" s="1664"/>
      <c r="N19" s="1663"/>
      <c r="O19" s="1263"/>
      <c r="P19" s="1664"/>
      <c r="Q19" s="2400"/>
      <c r="R19" s="1592"/>
      <c r="S19" s="1496"/>
      <c r="T19" s="2402"/>
      <c r="U19" s="2371"/>
    </row>
    <row r="20" spans="1:21" ht="48.75" customHeight="1" x14ac:dyDescent="0.2">
      <c r="A20" s="1998"/>
      <c r="B20" s="1999"/>
      <c r="C20" s="2012"/>
      <c r="D20" s="2016" t="s">
        <v>379</v>
      </c>
      <c r="E20" s="2361"/>
      <c r="F20" s="2013"/>
      <c r="G20" s="527"/>
      <c r="H20" s="1082"/>
      <c r="I20" s="1072"/>
      <c r="J20" s="1075"/>
      <c r="K20" s="1670"/>
      <c r="L20" s="1263"/>
      <c r="M20" s="1664"/>
      <c r="N20" s="1663"/>
      <c r="O20" s="1263"/>
      <c r="P20" s="1664"/>
      <c r="Q20" s="2400"/>
      <c r="R20" s="1592"/>
      <c r="S20" s="1496"/>
      <c r="T20" s="1593"/>
      <c r="U20" s="2371"/>
    </row>
    <row r="21" spans="1:21" ht="47.25" customHeight="1" x14ac:dyDescent="0.2">
      <c r="A21" s="1998"/>
      <c r="B21" s="1999"/>
      <c r="C21" s="2012"/>
      <c r="D21" s="2016"/>
      <c r="E21" s="1417"/>
      <c r="F21" s="2013"/>
      <c r="G21" s="527"/>
      <c r="H21" s="1082"/>
      <c r="I21" s="1072"/>
      <c r="J21" s="1075"/>
      <c r="K21" s="1670"/>
      <c r="L21" s="1263"/>
      <c r="M21" s="1664"/>
      <c r="N21" s="1663"/>
      <c r="O21" s="1263"/>
      <c r="P21" s="1664"/>
      <c r="Q21" s="2400"/>
      <c r="R21" s="1592"/>
      <c r="S21" s="1496"/>
      <c r="T21" s="1593"/>
      <c r="U21" s="2372"/>
    </row>
    <row r="22" spans="1:21" ht="19.5" customHeight="1" x14ac:dyDescent="0.2">
      <c r="A22" s="1998"/>
      <c r="B22" s="1999"/>
      <c r="C22" s="2012"/>
      <c r="D22" s="2022" t="s">
        <v>357</v>
      </c>
      <c r="E22" s="2378" t="s">
        <v>241</v>
      </c>
      <c r="F22" s="2021"/>
      <c r="G22" s="462" t="s">
        <v>187</v>
      </c>
      <c r="H22" s="1080"/>
      <c r="I22" s="1235"/>
      <c r="J22" s="1125"/>
      <c r="K22" s="1665"/>
      <c r="L22" s="1243"/>
      <c r="M22" s="1666"/>
      <c r="N22" s="1668"/>
      <c r="O22" s="1669"/>
      <c r="P22" s="1666"/>
      <c r="Q22" s="164" t="s">
        <v>158</v>
      </c>
      <c r="R22" s="211">
        <v>1</v>
      </c>
      <c r="S22" s="209"/>
      <c r="T22" s="210"/>
      <c r="U22" s="2359" t="s">
        <v>392</v>
      </c>
    </row>
    <row r="23" spans="1:21" ht="126.75" customHeight="1" x14ac:dyDescent="0.2">
      <c r="A23" s="1998"/>
      <c r="B23" s="1999"/>
      <c r="C23" s="2012"/>
      <c r="D23" s="2016"/>
      <c r="E23" s="2379"/>
      <c r="F23" s="2021"/>
      <c r="G23" s="189" t="s">
        <v>40</v>
      </c>
      <c r="H23" s="1081">
        <v>90</v>
      </c>
      <c r="I23" s="1959">
        <f>90-44.7</f>
        <v>45.3</v>
      </c>
      <c r="J23" s="1960">
        <f>I23-H23</f>
        <v>-44.7</v>
      </c>
      <c r="K23" s="1672"/>
      <c r="L23" s="1478"/>
      <c r="M23" s="1459"/>
      <c r="N23" s="1667"/>
      <c r="O23" s="1478"/>
      <c r="P23" s="1459"/>
      <c r="Q23" s="1570" t="s">
        <v>137</v>
      </c>
      <c r="R23" s="201">
        <v>1</v>
      </c>
      <c r="S23" s="21"/>
      <c r="T23" s="22"/>
      <c r="U23" s="2358"/>
    </row>
    <row r="24" spans="1:21" ht="49.5" customHeight="1" x14ac:dyDescent="0.2">
      <c r="A24" s="1998"/>
      <c r="B24" s="1999"/>
      <c r="C24" s="2012"/>
      <c r="D24" s="2022" t="s">
        <v>179</v>
      </c>
      <c r="E24" s="2068" t="s">
        <v>68</v>
      </c>
      <c r="F24" s="2021"/>
      <c r="G24" s="462" t="s">
        <v>188</v>
      </c>
      <c r="H24" s="1080">
        <v>15</v>
      </c>
      <c r="I24" s="1779">
        <v>0</v>
      </c>
      <c r="J24" s="1404">
        <f>I24-H24</f>
        <v>-15</v>
      </c>
      <c r="K24" s="1665">
        <v>20</v>
      </c>
      <c r="L24" s="1949">
        <f>20+15</f>
        <v>35</v>
      </c>
      <c r="M24" s="1712">
        <f>L24-K24</f>
        <v>15</v>
      </c>
      <c r="N24" s="1668"/>
      <c r="O24" s="1669"/>
      <c r="P24" s="1666"/>
      <c r="Q24" s="2072" t="s">
        <v>66</v>
      </c>
      <c r="R24" s="88"/>
      <c r="S24" s="34">
        <v>1</v>
      </c>
      <c r="T24" s="35"/>
      <c r="U24" s="2353" t="s">
        <v>393</v>
      </c>
    </row>
    <row r="25" spans="1:21" ht="41.25" customHeight="1" x14ac:dyDescent="0.2">
      <c r="A25" s="1998"/>
      <c r="B25" s="1999"/>
      <c r="C25" s="2012"/>
      <c r="D25" s="2344"/>
      <c r="E25" s="2069"/>
      <c r="F25" s="2021"/>
      <c r="G25" s="800" t="s">
        <v>40</v>
      </c>
      <c r="H25" s="1081"/>
      <c r="I25" s="536"/>
      <c r="J25" s="744"/>
      <c r="K25" s="1672"/>
      <c r="L25" s="1478"/>
      <c r="M25" s="1459"/>
      <c r="N25" s="1667"/>
      <c r="O25" s="1478"/>
      <c r="P25" s="1459"/>
      <c r="Q25" s="2071"/>
      <c r="R25" s="159"/>
      <c r="S25" s="30"/>
      <c r="T25" s="31"/>
      <c r="U25" s="2354"/>
    </row>
    <row r="26" spans="1:21" ht="17.25" customHeight="1" x14ac:dyDescent="0.2">
      <c r="A26" s="1168"/>
      <c r="B26" s="1169"/>
      <c r="C26" s="1172"/>
      <c r="D26" s="2199" t="s">
        <v>294</v>
      </c>
      <c r="E26" s="1608" t="s">
        <v>68</v>
      </c>
      <c r="F26" s="2021"/>
      <c r="G26" s="801" t="s">
        <v>40</v>
      </c>
      <c r="H26" s="909">
        <f>508.7-253.8</f>
        <v>254.9</v>
      </c>
      <c r="I26" s="1779">
        <f>508.7-253.8-208.9</f>
        <v>46</v>
      </c>
      <c r="J26" s="1792">
        <f>I26-H26</f>
        <v>-208.9</v>
      </c>
      <c r="K26" s="1670"/>
      <c r="L26" s="1236"/>
      <c r="M26" s="1664">
        <f>L26-K26</f>
        <v>0</v>
      </c>
      <c r="N26" s="1670"/>
      <c r="O26" s="1236"/>
      <c r="P26" s="1664">
        <f>O26-N26</f>
        <v>0</v>
      </c>
      <c r="Q26" s="1452" t="s">
        <v>365</v>
      </c>
      <c r="R26" s="1580">
        <v>100</v>
      </c>
      <c r="S26" s="1580"/>
      <c r="T26" s="1571"/>
      <c r="U26" s="2353" t="s">
        <v>394</v>
      </c>
    </row>
    <row r="27" spans="1:21" ht="39.75" customHeight="1" x14ac:dyDescent="0.2">
      <c r="A27" s="1168"/>
      <c r="B27" s="1169"/>
      <c r="C27" s="1172"/>
      <c r="D27" s="2199"/>
      <c r="E27" s="2374" t="s">
        <v>145</v>
      </c>
      <c r="F27" s="2021"/>
      <c r="G27" s="527" t="s">
        <v>188</v>
      </c>
      <c r="H27" s="1082">
        <f>850-65</f>
        <v>785</v>
      </c>
      <c r="I27" s="1791">
        <f>850-65+177.5</f>
        <v>962.5</v>
      </c>
      <c r="J27" s="1792">
        <f>I27-H27</f>
        <v>177.5</v>
      </c>
      <c r="K27" s="1670"/>
      <c r="L27" s="1236"/>
      <c r="M27" s="1664"/>
      <c r="N27" s="1670"/>
      <c r="O27" s="1236"/>
      <c r="P27" s="1664"/>
      <c r="Q27" s="2355" t="s">
        <v>315</v>
      </c>
      <c r="R27" s="1580">
        <v>2</v>
      </c>
      <c r="S27" s="1580"/>
      <c r="T27" s="1571"/>
      <c r="U27" s="2357"/>
    </row>
    <row r="28" spans="1:21" ht="121.5" customHeight="1" x14ac:dyDescent="0.2">
      <c r="A28" s="1168"/>
      <c r="B28" s="1169"/>
      <c r="C28" s="1172"/>
      <c r="D28" s="2373"/>
      <c r="E28" s="2375"/>
      <c r="F28" s="2021"/>
      <c r="G28" s="189" t="s">
        <v>65</v>
      </c>
      <c r="H28" s="1081"/>
      <c r="I28" s="536"/>
      <c r="J28" s="896"/>
      <c r="K28" s="1679"/>
      <c r="L28" s="1244"/>
      <c r="M28" s="1458"/>
      <c r="N28" s="1696"/>
      <c r="O28" s="1242"/>
      <c r="P28" s="1458"/>
      <c r="Q28" s="2356"/>
      <c r="R28" s="723"/>
      <c r="S28" s="723"/>
      <c r="T28" s="258"/>
      <c r="U28" s="2358"/>
    </row>
    <row r="29" spans="1:21" x14ac:dyDescent="0.2">
      <c r="A29" s="1168"/>
      <c r="B29" s="1169"/>
      <c r="C29" s="196"/>
      <c r="D29" s="2065" t="s">
        <v>295</v>
      </c>
      <c r="E29" s="2376"/>
      <c r="F29" s="1591"/>
      <c r="G29" s="462" t="s">
        <v>65</v>
      </c>
      <c r="H29" s="1080">
        <v>25</v>
      </c>
      <c r="I29" s="1235">
        <v>25</v>
      </c>
      <c r="J29" s="1125"/>
      <c r="K29" s="1668">
        <v>52</v>
      </c>
      <c r="L29" s="1669">
        <v>52</v>
      </c>
      <c r="M29" s="1666"/>
      <c r="N29" s="1668"/>
      <c r="O29" s="1669"/>
      <c r="P29" s="1666"/>
      <c r="Q29" s="2070" t="s">
        <v>158</v>
      </c>
      <c r="R29" s="603"/>
      <c r="S29" s="604">
        <v>1</v>
      </c>
      <c r="T29" s="605"/>
      <c r="U29" s="1515"/>
    </row>
    <row r="30" spans="1:21" ht="16.5" customHeight="1" x14ac:dyDescent="0.2">
      <c r="A30" s="1168"/>
      <c r="B30" s="1169"/>
      <c r="C30" s="196"/>
      <c r="D30" s="2066"/>
      <c r="E30" s="2377"/>
      <c r="F30" s="1591"/>
      <c r="G30" s="141"/>
      <c r="H30" s="1081"/>
      <c r="I30" s="536"/>
      <c r="J30" s="744"/>
      <c r="K30" s="1672"/>
      <c r="L30" s="1264"/>
      <c r="M30" s="1459"/>
      <c r="N30" s="1672"/>
      <c r="O30" s="1264"/>
      <c r="P30" s="1459"/>
      <c r="Q30" s="2071"/>
      <c r="R30" s="645"/>
      <c r="S30" s="106"/>
      <c r="T30" s="608"/>
      <c r="U30" s="1515"/>
    </row>
    <row r="31" spans="1:21" ht="15.75" customHeight="1" x14ac:dyDescent="0.2">
      <c r="A31" s="1168"/>
      <c r="B31" s="1169"/>
      <c r="C31" s="1172"/>
      <c r="D31" s="2075" t="s">
        <v>380</v>
      </c>
      <c r="E31" s="743"/>
      <c r="F31" s="1578"/>
      <c r="G31" s="496" t="s">
        <v>40</v>
      </c>
      <c r="H31" s="1080">
        <v>15</v>
      </c>
      <c r="I31" s="1235">
        <v>15</v>
      </c>
      <c r="J31" s="1127"/>
      <c r="K31" s="1673">
        <v>35</v>
      </c>
      <c r="L31" s="1235">
        <v>35</v>
      </c>
      <c r="M31" s="1674"/>
      <c r="N31" s="1673"/>
      <c r="O31" s="1235"/>
      <c r="P31" s="1674"/>
      <c r="Q31" s="2362" t="s">
        <v>381</v>
      </c>
      <c r="R31" s="130"/>
      <c r="S31" s="130">
        <v>1</v>
      </c>
      <c r="T31" s="131"/>
      <c r="U31" s="2367"/>
    </row>
    <row r="32" spans="1:21" ht="24.75" customHeight="1" x14ac:dyDescent="0.2">
      <c r="A32" s="1431"/>
      <c r="B32" s="1432"/>
      <c r="C32" s="1433"/>
      <c r="D32" s="2076"/>
      <c r="E32" s="743"/>
      <c r="F32" s="1578"/>
      <c r="G32" s="511"/>
      <c r="H32" s="1415"/>
      <c r="I32" s="1248"/>
      <c r="J32" s="1297"/>
      <c r="K32" s="1675"/>
      <c r="L32" s="1676"/>
      <c r="M32" s="1445"/>
      <c r="N32" s="1221"/>
      <c r="O32" s="1248"/>
      <c r="P32" s="1445"/>
      <c r="Q32" s="2363"/>
      <c r="R32" s="513"/>
      <c r="S32" s="513"/>
      <c r="T32" s="514"/>
      <c r="U32" s="2367"/>
    </row>
    <row r="33" spans="1:21" ht="28.5" customHeight="1" x14ac:dyDescent="0.2">
      <c r="A33" s="1431"/>
      <c r="B33" s="1432"/>
      <c r="C33" s="1433"/>
      <c r="D33" s="2076"/>
      <c r="E33" s="743"/>
      <c r="F33" s="1578"/>
      <c r="G33" s="1493" t="s">
        <v>188</v>
      </c>
      <c r="H33" s="1424"/>
      <c r="I33" s="1249"/>
      <c r="J33" s="1298"/>
      <c r="K33" s="1677">
        <v>75</v>
      </c>
      <c r="L33" s="1249">
        <v>75</v>
      </c>
      <c r="M33" s="1678"/>
      <c r="N33" s="1677">
        <v>150</v>
      </c>
      <c r="O33" s="1249">
        <v>150</v>
      </c>
      <c r="P33" s="1678"/>
      <c r="Q33" s="157" t="s">
        <v>359</v>
      </c>
      <c r="R33" s="139"/>
      <c r="S33" s="139">
        <v>1</v>
      </c>
      <c r="T33" s="140"/>
      <c r="U33" s="2367"/>
    </row>
    <row r="34" spans="1:21" ht="28.5" customHeight="1" x14ac:dyDescent="0.2">
      <c r="A34" s="1168"/>
      <c r="B34" s="1169"/>
      <c r="C34" s="1172"/>
      <c r="D34" s="2077"/>
      <c r="E34" s="1598"/>
      <c r="F34" s="1578"/>
      <c r="G34" s="173"/>
      <c r="H34" s="1081"/>
      <c r="I34" s="536"/>
      <c r="J34" s="896"/>
      <c r="K34" s="1679"/>
      <c r="L34" s="536"/>
      <c r="M34" s="1458"/>
      <c r="N34" s="1679"/>
      <c r="O34" s="536"/>
      <c r="P34" s="1458"/>
      <c r="Q34" s="1551" t="s">
        <v>358</v>
      </c>
      <c r="R34" s="106"/>
      <c r="S34" s="106"/>
      <c r="T34" s="107">
        <v>30</v>
      </c>
      <c r="U34" s="2367"/>
    </row>
    <row r="35" spans="1:21" ht="16.5" customHeight="1" x14ac:dyDescent="0.2">
      <c r="A35" s="1998"/>
      <c r="B35" s="1999"/>
      <c r="C35" s="2012"/>
      <c r="D35" s="2017" t="s">
        <v>382</v>
      </c>
      <c r="E35" s="2080"/>
      <c r="F35" s="2013"/>
      <c r="G35" s="573" t="s">
        <v>188</v>
      </c>
      <c r="H35" s="1080"/>
      <c r="I35" s="1243"/>
      <c r="J35" s="1627"/>
      <c r="K35" s="1665"/>
      <c r="L35" s="1243"/>
      <c r="M35" s="1776"/>
      <c r="N35" s="1668">
        <v>60</v>
      </c>
      <c r="O35" s="1669">
        <v>60</v>
      </c>
      <c r="P35" s="1776"/>
      <c r="Q35" s="1589" t="s">
        <v>355</v>
      </c>
      <c r="R35" s="1604"/>
      <c r="S35" s="1611"/>
      <c r="T35" s="1552">
        <v>1</v>
      </c>
      <c r="U35" s="2304"/>
    </row>
    <row r="36" spans="1:21" ht="24" customHeight="1" x14ac:dyDescent="0.2">
      <c r="A36" s="1998"/>
      <c r="B36" s="1999"/>
      <c r="C36" s="2012"/>
      <c r="D36" s="2078"/>
      <c r="E36" s="2080"/>
      <c r="F36" s="2082"/>
      <c r="G36" s="807"/>
      <c r="H36" s="1081"/>
      <c r="I36" s="1264"/>
      <c r="J36" s="1131"/>
      <c r="K36" s="1687"/>
      <c r="L36" s="1688"/>
      <c r="M36" s="1690"/>
      <c r="N36" s="1777"/>
      <c r="O36" s="1778"/>
      <c r="P36" s="1690"/>
      <c r="Q36" s="1588" t="s">
        <v>356</v>
      </c>
      <c r="R36" s="2406"/>
      <c r="S36" s="1612"/>
      <c r="T36" s="1613"/>
      <c r="U36" s="2305"/>
    </row>
    <row r="37" spans="1:21" ht="15.75" customHeight="1" thickBot="1" x14ac:dyDescent="0.25">
      <c r="A37" s="1168"/>
      <c r="B37" s="1169"/>
      <c r="C37" s="1172"/>
      <c r="D37" s="2308"/>
      <c r="E37" s="2306"/>
      <c r="F37" s="2082"/>
      <c r="G37" s="1440" t="s">
        <v>9</v>
      </c>
      <c r="H37" s="765">
        <f>SUM(H14:H36)</f>
        <v>1636.5</v>
      </c>
      <c r="I37" s="765">
        <f>SUM(I14:I36)</f>
        <v>1663.9</v>
      </c>
      <c r="J37" s="765">
        <f t="shared" ref="J37:P37" si="0">SUM(J14:J36)</f>
        <v>27.4</v>
      </c>
      <c r="K37" s="765">
        <f t="shared" si="0"/>
        <v>594.9</v>
      </c>
      <c r="L37" s="765">
        <f t="shared" si="0"/>
        <v>754.7</v>
      </c>
      <c r="M37" s="765">
        <f t="shared" si="0"/>
        <v>159.80000000000001</v>
      </c>
      <c r="N37" s="765">
        <f t="shared" si="0"/>
        <v>3916.1</v>
      </c>
      <c r="O37" s="765">
        <f t="shared" si="0"/>
        <v>1512.5</v>
      </c>
      <c r="P37" s="765">
        <f t="shared" si="0"/>
        <v>-2403.6</v>
      </c>
      <c r="Q37" s="1607"/>
      <c r="R37" s="2407"/>
      <c r="S37" s="1601"/>
      <c r="T37" s="1508"/>
      <c r="U37" s="2313"/>
    </row>
    <row r="38" spans="1:21" ht="27" customHeight="1" x14ac:dyDescent="0.2">
      <c r="A38" s="1173" t="s">
        <v>8</v>
      </c>
      <c r="B38" s="1174" t="s">
        <v>8</v>
      </c>
      <c r="C38" s="1178" t="s">
        <v>10</v>
      </c>
      <c r="D38" s="66" t="s">
        <v>72</v>
      </c>
      <c r="E38" s="852" t="s">
        <v>144</v>
      </c>
      <c r="F38" s="1042" t="s">
        <v>63</v>
      </c>
      <c r="G38" s="75"/>
      <c r="H38" s="1223"/>
      <c r="I38" s="1253"/>
      <c r="J38" s="1650"/>
      <c r="K38" s="1685"/>
      <c r="L38" s="1253"/>
      <c r="M38" s="1686"/>
      <c r="N38" s="1685"/>
      <c r="O38" s="1253"/>
      <c r="P38" s="1686"/>
      <c r="Q38" s="127"/>
      <c r="R38" s="146"/>
      <c r="S38" s="155"/>
      <c r="T38" s="156"/>
      <c r="U38" s="1927"/>
    </row>
    <row r="39" spans="1:21" ht="15" customHeight="1" x14ac:dyDescent="0.2">
      <c r="A39" s="1998"/>
      <c r="B39" s="1999"/>
      <c r="C39" s="2084"/>
      <c r="D39" s="2088" t="s">
        <v>85</v>
      </c>
      <c r="E39" s="560" t="s">
        <v>68</v>
      </c>
      <c r="F39" s="2013"/>
      <c r="G39" s="511" t="s">
        <v>188</v>
      </c>
      <c r="H39" s="1415">
        <v>20</v>
      </c>
      <c r="I39" s="1781">
        <f>20-11</f>
        <v>9</v>
      </c>
      <c r="J39" s="1782">
        <f>I39-H39</f>
        <v>-11</v>
      </c>
      <c r="K39" s="1655">
        <v>700</v>
      </c>
      <c r="L39" s="1416">
        <v>700</v>
      </c>
      <c r="M39" s="1656"/>
      <c r="N39" s="1655">
        <v>1200</v>
      </c>
      <c r="O39" s="1416">
        <v>1200</v>
      </c>
      <c r="P39" s="1656"/>
      <c r="Q39" s="1570" t="s">
        <v>66</v>
      </c>
      <c r="R39" s="21">
        <v>1</v>
      </c>
      <c r="S39" s="21"/>
      <c r="T39" s="22"/>
      <c r="U39" s="2364" t="s">
        <v>395</v>
      </c>
    </row>
    <row r="40" spans="1:21" ht="17.25" customHeight="1" x14ac:dyDescent="0.2">
      <c r="A40" s="1998"/>
      <c r="B40" s="1999"/>
      <c r="C40" s="2084"/>
      <c r="D40" s="2074"/>
      <c r="E40" s="560"/>
      <c r="F40" s="2013"/>
      <c r="G40" s="630" t="s">
        <v>40</v>
      </c>
      <c r="H40" s="1082"/>
      <c r="I40" s="1072"/>
      <c r="J40" s="1075"/>
      <c r="K40" s="1670">
        <v>900</v>
      </c>
      <c r="L40" s="1236">
        <v>900</v>
      </c>
      <c r="M40" s="1664"/>
      <c r="N40" s="1670">
        <v>1600</v>
      </c>
      <c r="O40" s="1236">
        <v>1600</v>
      </c>
      <c r="P40" s="1664"/>
      <c r="Q40" s="2355" t="s">
        <v>363</v>
      </c>
      <c r="R40" s="21"/>
      <c r="S40" s="21"/>
      <c r="T40" s="22"/>
      <c r="U40" s="2365"/>
    </row>
    <row r="41" spans="1:21" ht="19.5" customHeight="1" x14ac:dyDescent="0.2">
      <c r="A41" s="1998"/>
      <c r="B41" s="1999"/>
      <c r="C41" s="2084"/>
      <c r="D41" s="2089"/>
      <c r="E41" s="560"/>
      <c r="F41" s="2013"/>
      <c r="G41" s="807"/>
      <c r="H41" s="1081"/>
      <c r="I41" s="536"/>
      <c r="J41" s="744"/>
      <c r="K41" s="1687"/>
      <c r="L41" s="1688"/>
      <c r="M41" s="1459"/>
      <c r="N41" s="1687"/>
      <c r="O41" s="1688"/>
      <c r="P41" s="1459"/>
      <c r="Q41" s="2405"/>
      <c r="R41" s="30"/>
      <c r="S41" s="30">
        <v>30</v>
      </c>
      <c r="T41" s="31">
        <v>70</v>
      </c>
      <c r="U41" s="2366"/>
    </row>
    <row r="42" spans="1:21" ht="26.25" customHeight="1" x14ac:dyDescent="0.2">
      <c r="A42" s="2073"/>
      <c r="B42" s="1999"/>
      <c r="C42" s="2084"/>
      <c r="D42" s="2088" t="s">
        <v>161</v>
      </c>
      <c r="E42" s="2090" t="s">
        <v>68</v>
      </c>
      <c r="F42" s="2013"/>
      <c r="G42" s="630" t="s">
        <v>188</v>
      </c>
      <c r="H42" s="1082">
        <v>260</v>
      </c>
      <c r="I42" s="1072">
        <v>260</v>
      </c>
      <c r="J42" s="1133"/>
      <c r="K42" s="1218"/>
      <c r="L42" s="1072"/>
      <c r="M42" s="1689"/>
      <c r="N42" s="1218"/>
      <c r="O42" s="1072"/>
      <c r="P42" s="1689"/>
      <c r="Q42" s="1573" t="s">
        <v>134</v>
      </c>
      <c r="R42" s="501">
        <v>100</v>
      </c>
      <c r="S42" s="1412"/>
      <c r="T42" s="1571"/>
      <c r="U42" s="1515"/>
    </row>
    <row r="43" spans="1:21" ht="15" customHeight="1" x14ac:dyDescent="0.2">
      <c r="A43" s="2073"/>
      <c r="B43" s="1999"/>
      <c r="C43" s="2084"/>
      <c r="D43" s="2074"/>
      <c r="E43" s="2091"/>
      <c r="F43" s="2013"/>
      <c r="G43" s="630" t="s">
        <v>40</v>
      </c>
      <c r="H43" s="1082">
        <v>101.1</v>
      </c>
      <c r="I43" s="1072">
        <f>101.1</f>
        <v>101.1</v>
      </c>
      <c r="J43" s="1128"/>
      <c r="K43" s="1663"/>
      <c r="L43" s="1263"/>
      <c r="M43" s="1680"/>
      <c r="N43" s="1663"/>
      <c r="O43" s="1263"/>
      <c r="P43" s="1680"/>
      <c r="Q43" s="149" t="s">
        <v>84</v>
      </c>
      <c r="R43" s="499"/>
      <c r="S43" s="150"/>
      <c r="T43" s="151"/>
      <c r="U43" s="1515"/>
    </row>
    <row r="44" spans="1:21" ht="27.75" customHeight="1" x14ac:dyDescent="0.2">
      <c r="A44" s="2073"/>
      <c r="B44" s="1999"/>
      <c r="C44" s="2084"/>
      <c r="D44" s="2089"/>
      <c r="E44" s="2092"/>
      <c r="F44" s="2226"/>
      <c r="G44" s="200"/>
      <c r="H44" s="1083"/>
      <c r="I44" s="1240"/>
      <c r="J44" s="1131"/>
      <c r="K44" s="1667"/>
      <c r="L44" s="1478"/>
      <c r="M44" s="1690"/>
      <c r="N44" s="1667"/>
      <c r="O44" s="1478"/>
      <c r="P44" s="1690"/>
      <c r="Q44" s="167" t="s">
        <v>135</v>
      </c>
      <c r="R44" s="500">
        <v>100</v>
      </c>
      <c r="S44" s="170"/>
      <c r="T44" s="163"/>
      <c r="U44" s="1928"/>
    </row>
    <row r="45" spans="1:21" ht="41.25" customHeight="1" x14ac:dyDescent="0.2">
      <c r="A45" s="2073"/>
      <c r="B45" s="1999"/>
      <c r="C45" s="2012"/>
      <c r="D45" s="2016" t="s">
        <v>368</v>
      </c>
      <c r="E45" s="560" t="s">
        <v>68</v>
      </c>
      <c r="F45" s="2013"/>
      <c r="G45" s="573" t="s">
        <v>188</v>
      </c>
      <c r="H45" s="1080">
        <v>100</v>
      </c>
      <c r="I45" s="1779">
        <v>6.4</v>
      </c>
      <c r="J45" s="1783">
        <f>I45-H45</f>
        <v>-93.6</v>
      </c>
      <c r="K45" s="1673">
        <v>450</v>
      </c>
      <c r="L45" s="1779">
        <f>450+93.6</f>
        <v>543.6</v>
      </c>
      <c r="M45" s="1784">
        <f>L45-K45</f>
        <v>93.6</v>
      </c>
      <c r="N45" s="1673">
        <v>600</v>
      </c>
      <c r="O45" s="1235">
        <v>600</v>
      </c>
      <c r="P45" s="1674"/>
      <c r="Q45" s="1570" t="s">
        <v>374</v>
      </c>
      <c r="R45" s="1785" t="s">
        <v>79</v>
      </c>
      <c r="S45" s="1786">
        <v>1</v>
      </c>
      <c r="T45" s="22"/>
      <c r="U45" s="2353" t="s">
        <v>396</v>
      </c>
    </row>
    <row r="46" spans="1:21" ht="53.25" customHeight="1" x14ac:dyDescent="0.2">
      <c r="A46" s="2073"/>
      <c r="B46" s="1999"/>
      <c r="C46" s="2012"/>
      <c r="D46" s="2016"/>
      <c r="E46" s="560"/>
      <c r="F46" s="2013"/>
      <c r="G46" s="630"/>
      <c r="H46" s="1082"/>
      <c r="I46" s="1072"/>
      <c r="J46" s="1133"/>
      <c r="K46" s="1218"/>
      <c r="L46" s="1072"/>
      <c r="M46" s="1689"/>
      <c r="N46" s="1218"/>
      <c r="O46" s="1072"/>
      <c r="P46" s="1689"/>
      <c r="Q46" s="135" t="s">
        <v>375</v>
      </c>
      <c r="R46" s="1456"/>
      <c r="S46" s="1456">
        <v>1</v>
      </c>
      <c r="T46" s="1457"/>
      <c r="U46" s="2359"/>
    </row>
    <row r="47" spans="1:21" ht="41.25" customHeight="1" x14ac:dyDescent="0.2">
      <c r="A47" s="2073"/>
      <c r="B47" s="1999"/>
      <c r="C47" s="2012"/>
      <c r="D47" s="2298"/>
      <c r="E47" s="560"/>
      <c r="F47" s="2013"/>
      <c r="G47" s="630" t="s">
        <v>40</v>
      </c>
      <c r="H47" s="1082">
        <v>130</v>
      </c>
      <c r="I47" s="1072">
        <v>130</v>
      </c>
      <c r="J47" s="1133"/>
      <c r="K47" s="1218">
        <v>30</v>
      </c>
      <c r="L47" s="1072">
        <v>30</v>
      </c>
      <c r="M47" s="1689"/>
      <c r="N47" s="1218">
        <v>30</v>
      </c>
      <c r="O47" s="1072">
        <v>30</v>
      </c>
      <c r="P47" s="1689"/>
      <c r="Q47" s="157" t="s">
        <v>376</v>
      </c>
      <c r="R47" s="1456"/>
      <c r="S47" s="1553" t="s">
        <v>240</v>
      </c>
      <c r="T47" s="1554"/>
      <c r="U47" s="2357"/>
    </row>
    <row r="48" spans="1:21" ht="38.25" customHeight="1" x14ac:dyDescent="0.2">
      <c r="A48" s="2073"/>
      <c r="B48" s="1999"/>
      <c r="C48" s="2012"/>
      <c r="D48" s="2345"/>
      <c r="E48" s="1094"/>
      <c r="F48" s="2013"/>
      <c r="G48" s="574"/>
      <c r="H48" s="1081"/>
      <c r="I48" s="837"/>
      <c r="J48" s="837"/>
      <c r="K48" s="1691"/>
      <c r="L48" s="1692"/>
      <c r="M48" s="1458"/>
      <c r="N48" s="1691"/>
      <c r="O48" s="1692"/>
      <c r="P48" s="1458"/>
      <c r="Q48" s="1551" t="s">
        <v>377</v>
      </c>
      <c r="R48" s="30"/>
      <c r="S48" s="1555"/>
      <c r="T48" s="1556" t="s">
        <v>240</v>
      </c>
      <c r="U48" s="1929"/>
    </row>
    <row r="49" spans="1:21" ht="25.5" customHeight="1" x14ac:dyDescent="0.2">
      <c r="A49" s="2073"/>
      <c r="B49" s="1999"/>
      <c r="C49" s="2012"/>
      <c r="D49" s="1587" t="s">
        <v>148</v>
      </c>
      <c r="E49" s="1597" t="s">
        <v>68</v>
      </c>
      <c r="F49" s="2013"/>
      <c r="G49" s="807" t="s">
        <v>187</v>
      </c>
      <c r="H49" s="1081">
        <v>7.9</v>
      </c>
      <c r="I49" s="837">
        <v>7.9</v>
      </c>
      <c r="J49" s="1651"/>
      <c r="K49" s="1672"/>
      <c r="L49" s="1264"/>
      <c r="M49" s="1459"/>
      <c r="N49" s="1672"/>
      <c r="O49" s="1264"/>
      <c r="P49" s="1459"/>
      <c r="Q49" s="2070" t="s">
        <v>316</v>
      </c>
      <c r="R49" s="1399">
        <v>100</v>
      </c>
      <c r="S49" s="1412"/>
      <c r="T49" s="1603"/>
      <c r="U49" s="1515"/>
    </row>
    <row r="50" spans="1:21" ht="15" customHeight="1" thickBot="1" x14ac:dyDescent="0.25">
      <c r="A50" s="1431"/>
      <c r="B50" s="1432"/>
      <c r="C50" s="1433"/>
      <c r="D50" s="1605"/>
      <c r="E50" s="1606"/>
      <c r="F50" s="1599"/>
      <c r="G50" s="1444" t="s">
        <v>9</v>
      </c>
      <c r="H50" s="1442">
        <f>SUM(H38:H49)</f>
        <v>619</v>
      </c>
      <c r="I50" s="1443">
        <f>SUM(I38:I49)</f>
        <v>514.4</v>
      </c>
      <c r="J50" s="1652">
        <f t="shared" ref="J50:P50" si="1">SUM(J38:J49)</f>
        <v>-104.6</v>
      </c>
      <c r="K50" s="1693">
        <f t="shared" si="1"/>
        <v>2080</v>
      </c>
      <c r="L50" s="1443">
        <f t="shared" si="1"/>
        <v>2173.6</v>
      </c>
      <c r="M50" s="1460">
        <f t="shared" si="1"/>
        <v>93.6</v>
      </c>
      <c r="N50" s="1693">
        <f>SUM(N38:N49)</f>
        <v>3430</v>
      </c>
      <c r="O50" s="1443">
        <f t="shared" si="1"/>
        <v>3430</v>
      </c>
      <c r="P50" s="1460">
        <f t="shared" si="1"/>
        <v>0</v>
      </c>
      <c r="Q50" s="2145"/>
      <c r="R50" s="1601"/>
      <c r="S50" s="1601"/>
      <c r="T50" s="1508"/>
      <c r="U50" s="1930"/>
    </row>
    <row r="51" spans="1:21" ht="33" customHeight="1" x14ac:dyDescent="0.2">
      <c r="A51" s="1173" t="s">
        <v>8</v>
      </c>
      <c r="B51" s="1174" t="s">
        <v>8</v>
      </c>
      <c r="C51" s="1175" t="s">
        <v>43</v>
      </c>
      <c r="D51" s="58" t="s">
        <v>180</v>
      </c>
      <c r="E51" s="705" t="s">
        <v>147</v>
      </c>
      <c r="F51" s="1042" t="s">
        <v>63</v>
      </c>
      <c r="G51" s="699"/>
      <c r="H51" s="1215"/>
      <c r="I51" s="1241"/>
      <c r="J51" s="1286"/>
      <c r="K51" s="1694"/>
      <c r="L51" s="1241"/>
      <c r="M51" s="1695"/>
      <c r="N51" s="1694"/>
      <c r="O51" s="1241"/>
      <c r="P51" s="1695"/>
      <c r="Q51" s="1045"/>
      <c r="R51" s="36"/>
      <c r="S51" s="36"/>
      <c r="T51" s="37"/>
      <c r="U51" s="1931"/>
    </row>
    <row r="52" spans="1:21" ht="15" customHeight="1" x14ac:dyDescent="0.2">
      <c r="A52" s="1998"/>
      <c r="B52" s="1999"/>
      <c r="C52" s="2084"/>
      <c r="D52" s="2093" t="s">
        <v>406</v>
      </c>
      <c r="E52" s="2085" t="s">
        <v>68</v>
      </c>
      <c r="F52" s="2087"/>
      <c r="G52" s="496" t="s">
        <v>188</v>
      </c>
      <c r="H52" s="1127">
        <v>100</v>
      </c>
      <c r="I52" s="1779">
        <v>1.7</v>
      </c>
      <c r="J52" s="1404">
        <f>I52-H52</f>
        <v>-98.3</v>
      </c>
      <c r="K52" s="1668">
        <v>67.5</v>
      </c>
      <c r="L52" s="1780">
        <f>67.5+98.3</f>
        <v>165.8</v>
      </c>
      <c r="M52" s="1712">
        <f>L52-K52</f>
        <v>98.3</v>
      </c>
      <c r="N52" s="1668">
        <v>101.2</v>
      </c>
      <c r="O52" s="1669">
        <v>101.2</v>
      </c>
      <c r="P52" s="1666"/>
      <c r="Q52" s="1984" t="s">
        <v>352</v>
      </c>
      <c r="R52" s="1787">
        <v>1</v>
      </c>
      <c r="S52" s="1788">
        <v>1</v>
      </c>
      <c r="T52" s="1987"/>
      <c r="U52" s="2353" t="s">
        <v>410</v>
      </c>
    </row>
    <row r="53" spans="1:21" ht="27" customHeight="1" x14ac:dyDescent="0.2">
      <c r="A53" s="1998"/>
      <c r="B53" s="1999"/>
      <c r="C53" s="2084"/>
      <c r="D53" s="2346"/>
      <c r="E53" s="2086"/>
      <c r="F53" s="2087"/>
      <c r="G53" s="206" t="s">
        <v>188</v>
      </c>
      <c r="H53" s="1133"/>
      <c r="I53" s="1072"/>
      <c r="J53" s="1075"/>
      <c r="K53" s="1663">
        <v>1992.2</v>
      </c>
      <c r="L53" s="1263">
        <v>1992.2</v>
      </c>
      <c r="M53" s="1664"/>
      <c r="N53" s="1663">
        <v>2656.3</v>
      </c>
      <c r="O53" s="1263">
        <v>2656.3</v>
      </c>
      <c r="P53" s="1664"/>
      <c r="Q53" s="215" t="s">
        <v>351</v>
      </c>
      <c r="R53" s="1789">
        <v>1</v>
      </c>
      <c r="S53" s="1790">
        <v>1</v>
      </c>
      <c r="T53" s="1389"/>
      <c r="U53" s="2403"/>
    </row>
    <row r="54" spans="1:21" ht="33.75" customHeight="1" x14ac:dyDescent="0.2">
      <c r="A54" s="1998"/>
      <c r="B54" s="1999"/>
      <c r="C54" s="2084"/>
      <c r="D54" s="2095" t="s">
        <v>420</v>
      </c>
      <c r="E54" s="2086"/>
      <c r="F54" s="2087"/>
      <c r="G54" s="206" t="s">
        <v>40</v>
      </c>
      <c r="H54" s="1133">
        <v>403</v>
      </c>
      <c r="I54" s="1072">
        <v>403</v>
      </c>
      <c r="J54" s="1075"/>
      <c r="K54" s="1663"/>
      <c r="L54" s="1263"/>
      <c r="M54" s="1664"/>
      <c r="N54" s="1663"/>
      <c r="O54" s="1263"/>
      <c r="P54" s="1664"/>
      <c r="Q54" s="2025" t="s">
        <v>350</v>
      </c>
      <c r="R54" s="1986"/>
      <c r="S54" s="1986"/>
      <c r="T54" s="1208"/>
      <c r="U54" s="2403"/>
    </row>
    <row r="55" spans="1:21" ht="19.5" customHeight="1" x14ac:dyDescent="0.2">
      <c r="A55" s="1998"/>
      <c r="B55" s="1999"/>
      <c r="C55" s="2084"/>
      <c r="D55" s="2442"/>
      <c r="E55" s="2086"/>
      <c r="F55" s="2087"/>
      <c r="G55" s="206" t="s">
        <v>40</v>
      </c>
      <c r="H55" s="1133"/>
      <c r="I55" s="1072"/>
      <c r="J55" s="1075"/>
      <c r="K55" s="1663">
        <v>28.9</v>
      </c>
      <c r="L55" s="1263">
        <v>28.9</v>
      </c>
      <c r="M55" s="1664"/>
      <c r="N55" s="1663">
        <v>43.4</v>
      </c>
      <c r="O55" s="1263">
        <v>43.4</v>
      </c>
      <c r="P55" s="1664"/>
      <c r="Q55" s="2106"/>
      <c r="R55" s="1986">
        <v>10</v>
      </c>
      <c r="S55" s="1986">
        <v>50</v>
      </c>
      <c r="T55" s="1208">
        <v>100</v>
      </c>
      <c r="U55" s="2403"/>
    </row>
    <row r="56" spans="1:21" ht="29.25" customHeight="1" x14ac:dyDescent="0.2">
      <c r="A56" s="1998"/>
      <c r="B56" s="1999"/>
      <c r="C56" s="2084"/>
      <c r="D56" s="1989" t="s">
        <v>407</v>
      </c>
      <c r="E56" s="2086"/>
      <c r="F56" s="2087"/>
      <c r="G56" s="206" t="s">
        <v>64</v>
      </c>
      <c r="H56" s="1133"/>
      <c r="I56" s="1072"/>
      <c r="J56" s="1128"/>
      <c r="K56" s="1663">
        <v>546.1</v>
      </c>
      <c r="L56" s="1263">
        <v>546.1</v>
      </c>
      <c r="M56" s="1680"/>
      <c r="N56" s="1263">
        <v>819</v>
      </c>
      <c r="O56" s="1263">
        <v>819</v>
      </c>
      <c r="P56" s="1680"/>
      <c r="Q56" s="2106"/>
      <c r="R56" s="1986"/>
      <c r="S56" s="1986"/>
      <c r="T56" s="1208"/>
      <c r="U56" s="2403"/>
    </row>
    <row r="57" spans="1:21" ht="57.75" customHeight="1" x14ac:dyDescent="0.2">
      <c r="A57" s="1998"/>
      <c r="B57" s="1999"/>
      <c r="C57" s="2084"/>
      <c r="D57" s="1992" t="s">
        <v>417</v>
      </c>
      <c r="E57" s="2086"/>
      <c r="F57" s="2087"/>
      <c r="G57" s="206"/>
      <c r="H57" s="1133"/>
      <c r="I57" s="1072"/>
      <c r="J57" s="1075"/>
      <c r="K57" s="1663"/>
      <c r="L57" s="1263"/>
      <c r="M57" s="1664"/>
      <c r="N57" s="1988"/>
      <c r="O57" s="1263"/>
      <c r="P57" s="1664"/>
      <c r="Q57" s="2106"/>
      <c r="R57" s="1986"/>
      <c r="S57" s="1986"/>
      <c r="T57" s="1208"/>
      <c r="U57" s="2403"/>
    </row>
    <row r="58" spans="1:21" ht="42.75" customHeight="1" x14ac:dyDescent="0.2">
      <c r="A58" s="1998"/>
      <c r="B58" s="1999"/>
      <c r="C58" s="2084"/>
      <c r="D58" s="1993" t="s">
        <v>409</v>
      </c>
      <c r="E58" s="2086"/>
      <c r="F58" s="2087"/>
      <c r="G58" s="206"/>
      <c r="H58" s="1133"/>
      <c r="I58" s="1072"/>
      <c r="J58" s="1075"/>
      <c r="K58" s="1663"/>
      <c r="L58" s="1263"/>
      <c r="M58" s="1664"/>
      <c r="N58" s="1988"/>
      <c r="O58" s="1263"/>
      <c r="P58" s="1664"/>
      <c r="Q58" s="2106"/>
      <c r="R58" s="1986"/>
      <c r="S58" s="1986"/>
      <c r="T58" s="1208"/>
      <c r="U58" s="2403"/>
    </row>
    <row r="59" spans="1:21" ht="54.75" customHeight="1" x14ac:dyDescent="0.2">
      <c r="A59" s="1998"/>
      <c r="B59" s="1999"/>
      <c r="C59" s="2084"/>
      <c r="D59" s="1992" t="s">
        <v>418</v>
      </c>
      <c r="E59" s="2086"/>
      <c r="F59" s="2087"/>
      <c r="G59" s="206"/>
      <c r="H59" s="1133"/>
      <c r="I59" s="1072"/>
      <c r="J59" s="1075"/>
      <c r="K59" s="1663"/>
      <c r="L59" s="1263"/>
      <c r="M59" s="1664"/>
      <c r="N59" s="1988"/>
      <c r="O59" s="1263"/>
      <c r="P59" s="1664"/>
      <c r="Q59" s="2100"/>
      <c r="R59" s="55"/>
      <c r="S59" s="55"/>
      <c r="T59" s="163"/>
      <c r="U59" s="2404"/>
    </row>
    <row r="60" spans="1:21" ht="21.75" customHeight="1" x14ac:dyDescent="0.2">
      <c r="A60" s="1168"/>
      <c r="B60" s="1169"/>
      <c r="C60" s="1180"/>
      <c r="D60" s="2017" t="s">
        <v>296</v>
      </c>
      <c r="E60" s="2085" t="s">
        <v>68</v>
      </c>
      <c r="F60" s="2087"/>
      <c r="G60" s="496" t="s">
        <v>188</v>
      </c>
      <c r="H60" s="1127">
        <v>22</v>
      </c>
      <c r="I60" s="1779">
        <f>12+10-6.6</f>
        <v>15.4</v>
      </c>
      <c r="J60" s="1783">
        <f>I60-H60</f>
        <v>-6.6</v>
      </c>
      <c r="K60" s="1673">
        <v>150</v>
      </c>
      <c r="L60" s="1235">
        <v>150</v>
      </c>
      <c r="M60" s="1674"/>
      <c r="N60" s="1673"/>
      <c r="O60" s="1235"/>
      <c r="P60" s="1674"/>
      <c r="Q60" s="1588" t="s">
        <v>66</v>
      </c>
      <c r="R60" s="1207">
        <v>2</v>
      </c>
      <c r="S60" s="1207"/>
      <c r="T60" s="1203"/>
      <c r="U60" s="2359" t="s">
        <v>397</v>
      </c>
    </row>
    <row r="61" spans="1:21" ht="31.5" customHeight="1" x14ac:dyDescent="0.2">
      <c r="A61" s="1168"/>
      <c r="B61" s="1169"/>
      <c r="C61" s="1180"/>
      <c r="D61" s="2067"/>
      <c r="E61" s="2101"/>
      <c r="F61" s="2087"/>
      <c r="G61" s="19" t="s">
        <v>65</v>
      </c>
      <c r="H61" s="896"/>
      <c r="I61" s="536"/>
      <c r="J61" s="896"/>
      <c r="K61" s="1679"/>
      <c r="L61" s="536"/>
      <c r="M61" s="1458"/>
      <c r="N61" s="1679"/>
      <c r="O61" s="536"/>
      <c r="P61" s="1458"/>
      <c r="Q61" s="1588" t="s">
        <v>154</v>
      </c>
      <c r="R61" s="1198"/>
      <c r="S61" s="1207">
        <v>100</v>
      </c>
      <c r="T61" s="1203"/>
      <c r="U61" s="2388"/>
    </row>
    <row r="62" spans="1:21" ht="15" customHeight="1" x14ac:dyDescent="0.2">
      <c r="A62" s="1168"/>
      <c r="B62" s="1169"/>
      <c r="C62" s="1170"/>
      <c r="D62" s="2102" t="s">
        <v>86</v>
      </c>
      <c r="E62" s="1184" t="s">
        <v>68</v>
      </c>
      <c r="F62" s="1185"/>
      <c r="G62" s="496" t="s">
        <v>188</v>
      </c>
      <c r="H62" s="1127"/>
      <c r="I62" s="1235"/>
      <c r="J62" s="1127"/>
      <c r="K62" s="1673"/>
      <c r="L62" s="1235"/>
      <c r="M62" s="1674"/>
      <c r="N62" s="1235">
        <v>50</v>
      </c>
      <c r="O62" s="1235">
        <v>50</v>
      </c>
      <c r="P62" s="1674"/>
      <c r="Q62" s="1195" t="s">
        <v>66</v>
      </c>
      <c r="R62" s="1206"/>
      <c r="S62" s="130"/>
      <c r="T62" s="131">
        <v>1</v>
      </c>
      <c r="U62" s="1515"/>
    </row>
    <row r="63" spans="1:21" ht="17.25" customHeight="1" x14ac:dyDescent="0.2">
      <c r="A63" s="1168"/>
      <c r="B63" s="1169"/>
      <c r="C63" s="1170"/>
      <c r="D63" s="2077"/>
      <c r="E63" s="1184"/>
      <c r="F63" s="1185"/>
      <c r="G63" s="19" t="s">
        <v>65</v>
      </c>
      <c r="H63" s="896"/>
      <c r="I63" s="1242"/>
      <c r="J63" s="1126"/>
      <c r="K63" s="1696"/>
      <c r="L63" s="1242"/>
      <c r="M63" s="1697"/>
      <c r="N63" s="1242">
        <v>30</v>
      </c>
      <c r="O63" s="1242">
        <v>30</v>
      </c>
      <c r="P63" s="1697"/>
      <c r="Q63" s="1197"/>
      <c r="R63" s="1285"/>
      <c r="S63" s="55"/>
      <c r="T63" s="56"/>
      <c r="U63" s="1515"/>
    </row>
    <row r="64" spans="1:21" x14ac:dyDescent="0.2">
      <c r="A64" s="1998"/>
      <c r="B64" s="1999"/>
      <c r="C64" s="2084"/>
      <c r="D64" s="2097" t="s">
        <v>172</v>
      </c>
      <c r="E64" s="1187" t="s">
        <v>68</v>
      </c>
      <c r="F64" s="1185"/>
      <c r="G64" s="496" t="s">
        <v>40</v>
      </c>
      <c r="H64" s="1127"/>
      <c r="I64" s="1243"/>
      <c r="J64" s="1125"/>
      <c r="K64" s="1665"/>
      <c r="L64" s="1243"/>
      <c r="M64" s="1666"/>
      <c r="N64" s="1665"/>
      <c r="O64" s="1243"/>
      <c r="P64" s="1666"/>
      <c r="Q64" s="2106" t="s">
        <v>66</v>
      </c>
      <c r="R64" s="1200"/>
      <c r="S64" s="1200"/>
      <c r="T64" s="54">
        <v>1</v>
      </c>
      <c r="U64" s="1515"/>
    </row>
    <row r="65" spans="1:21" ht="29.25" customHeight="1" x14ac:dyDescent="0.2">
      <c r="A65" s="1998"/>
      <c r="B65" s="1999"/>
      <c r="C65" s="2084"/>
      <c r="D65" s="2098"/>
      <c r="E65" s="171"/>
      <c r="F65" s="830"/>
      <c r="G65" s="76" t="s">
        <v>188</v>
      </c>
      <c r="H65" s="1081"/>
      <c r="I65" s="1244"/>
      <c r="J65" s="1126"/>
      <c r="K65" s="1671">
        <v>10</v>
      </c>
      <c r="L65" s="1244">
        <v>10</v>
      </c>
      <c r="M65" s="1697"/>
      <c r="N65" s="1696">
        <v>60</v>
      </c>
      <c r="O65" s="1242">
        <v>60</v>
      </c>
      <c r="P65" s="1697"/>
      <c r="Q65" s="2100"/>
      <c r="R65" s="89"/>
      <c r="S65" s="89"/>
      <c r="T65" s="90"/>
      <c r="U65" s="1515"/>
    </row>
    <row r="66" spans="1:21" x14ac:dyDescent="0.2">
      <c r="A66" s="1998"/>
      <c r="B66" s="1999"/>
      <c r="C66" s="2012"/>
      <c r="D66" s="2102" t="s">
        <v>298</v>
      </c>
      <c r="E66" s="1435" t="s">
        <v>68</v>
      </c>
      <c r="F66" s="1436"/>
      <c r="G66" s="630" t="s">
        <v>40</v>
      </c>
      <c r="H66" s="1082"/>
      <c r="I66" s="1236"/>
      <c r="J66" s="1075"/>
      <c r="K66" s="1670"/>
      <c r="L66" s="1236"/>
      <c r="M66" s="1664"/>
      <c r="N66" s="1670"/>
      <c r="O66" s="1236"/>
      <c r="P66" s="1664"/>
      <c r="Q66" s="2106" t="s">
        <v>263</v>
      </c>
      <c r="R66" s="1434"/>
      <c r="S66" s="161" t="s">
        <v>211</v>
      </c>
      <c r="T66" s="168">
        <v>100</v>
      </c>
      <c r="U66" s="2304"/>
    </row>
    <row r="67" spans="1:21" ht="17.25" customHeight="1" x14ac:dyDescent="0.2">
      <c r="A67" s="1998"/>
      <c r="B67" s="1999"/>
      <c r="C67" s="2012"/>
      <c r="D67" s="2102"/>
      <c r="E67" s="2107"/>
      <c r="F67" s="2108"/>
      <c r="G67" s="76" t="s">
        <v>188</v>
      </c>
      <c r="H67" s="1081"/>
      <c r="I67" s="1244"/>
      <c r="J67" s="1126"/>
      <c r="K67" s="1671">
        <f>206.8</f>
        <v>206.8</v>
      </c>
      <c r="L67" s="1244">
        <f>206.8</f>
        <v>206.8</v>
      </c>
      <c r="M67" s="1697"/>
      <c r="N67" s="1696">
        <v>150</v>
      </c>
      <c r="O67" s="1242">
        <v>150</v>
      </c>
      <c r="P67" s="1697"/>
      <c r="Q67" s="2106"/>
      <c r="R67" s="2110"/>
      <c r="S67" s="2110"/>
      <c r="T67" s="2112"/>
      <c r="U67" s="2305"/>
    </row>
    <row r="68" spans="1:21" ht="16.5" customHeight="1" thickBot="1" x14ac:dyDescent="0.25">
      <c r="A68" s="1431"/>
      <c r="B68" s="1432"/>
      <c r="C68" s="1433"/>
      <c r="D68" s="2308"/>
      <c r="E68" s="2306"/>
      <c r="F68" s="2082"/>
      <c r="G68" s="1441" t="s">
        <v>9</v>
      </c>
      <c r="H68" s="1442">
        <f>SUM(H52:H65)</f>
        <v>525</v>
      </c>
      <c r="I68" s="1252">
        <f t="shared" ref="I68:P68" si="2">SUM(I52:I67)</f>
        <v>420.1</v>
      </c>
      <c r="J68" s="1446">
        <f t="shared" si="2"/>
        <v>-104.9</v>
      </c>
      <c r="K68" s="1683">
        <f t="shared" si="2"/>
        <v>3001.5</v>
      </c>
      <c r="L68" s="1252">
        <f t="shared" si="2"/>
        <v>3099.8</v>
      </c>
      <c r="M68" s="1684">
        <f t="shared" si="2"/>
        <v>98.3</v>
      </c>
      <c r="N68" s="1683">
        <f t="shared" si="2"/>
        <v>3909.9</v>
      </c>
      <c r="O68" s="1252">
        <f t="shared" si="2"/>
        <v>3909.9</v>
      </c>
      <c r="P68" s="1684">
        <f t="shared" si="2"/>
        <v>0</v>
      </c>
      <c r="Q68" s="2309"/>
      <c r="R68" s="2307"/>
      <c r="S68" s="2307"/>
      <c r="T68" s="2082"/>
      <c r="U68" s="1515"/>
    </row>
    <row r="69" spans="1:21" ht="29.25" customHeight="1" x14ac:dyDescent="0.2">
      <c r="A69" s="1173" t="s">
        <v>8</v>
      </c>
      <c r="B69" s="1174" t="s">
        <v>8</v>
      </c>
      <c r="C69" s="1178" t="s">
        <v>48</v>
      </c>
      <c r="D69" s="805" t="s">
        <v>73</v>
      </c>
      <c r="E69" s="808" t="s">
        <v>143</v>
      </c>
      <c r="F69" s="564" t="s">
        <v>63</v>
      </c>
      <c r="G69" s="75"/>
      <c r="H69" s="1223"/>
      <c r="I69" s="1246"/>
      <c r="J69" s="1132"/>
      <c r="K69" s="1698"/>
      <c r="L69" s="1246"/>
      <c r="M69" s="1699"/>
      <c r="N69" s="1698"/>
      <c r="O69" s="1246"/>
      <c r="P69" s="1699"/>
      <c r="Q69" s="1287"/>
      <c r="R69" s="1046"/>
      <c r="S69" s="1046"/>
      <c r="T69" s="1047"/>
      <c r="U69" s="1932"/>
    </row>
    <row r="70" spans="1:21" ht="22.5" customHeight="1" x14ac:dyDescent="0.2">
      <c r="A70" s="1168"/>
      <c r="B70" s="1169"/>
      <c r="C70" s="1172"/>
      <c r="D70" s="2102" t="s">
        <v>87</v>
      </c>
      <c r="E70" s="2086" t="s">
        <v>68</v>
      </c>
      <c r="F70" s="2105"/>
      <c r="G70" s="573" t="s">
        <v>188</v>
      </c>
      <c r="H70" s="1082">
        <v>37</v>
      </c>
      <c r="I70" s="1791">
        <v>33.4</v>
      </c>
      <c r="J70" s="1403">
        <f>I70-H70</f>
        <v>-3.6</v>
      </c>
      <c r="K70" s="1673">
        <v>450</v>
      </c>
      <c r="L70" s="1235">
        <v>450</v>
      </c>
      <c r="M70" s="1689">
        <f>L70-K70</f>
        <v>0</v>
      </c>
      <c r="N70" s="1673">
        <v>800</v>
      </c>
      <c r="O70" s="1235">
        <v>800</v>
      </c>
      <c r="P70" s="1689">
        <f>O70-N70</f>
        <v>0</v>
      </c>
      <c r="Q70" s="2099" t="s">
        <v>140</v>
      </c>
      <c r="R70" s="73">
        <v>1</v>
      </c>
      <c r="S70" s="73"/>
      <c r="T70" s="131"/>
      <c r="U70" s="2353" t="s">
        <v>398</v>
      </c>
    </row>
    <row r="71" spans="1:21" ht="22.5" customHeight="1" x14ac:dyDescent="0.2">
      <c r="A71" s="1168"/>
      <c r="B71" s="1169"/>
      <c r="C71" s="1172"/>
      <c r="D71" s="2102"/>
      <c r="E71" s="2086"/>
      <c r="F71" s="2105"/>
      <c r="G71" s="710" t="s">
        <v>40</v>
      </c>
      <c r="H71" s="1081"/>
      <c r="I71" s="536"/>
      <c r="J71" s="896"/>
      <c r="K71" s="1696">
        <v>30</v>
      </c>
      <c r="L71" s="1242">
        <v>30</v>
      </c>
      <c r="M71" s="1458"/>
      <c r="N71" s="1696">
        <v>50</v>
      </c>
      <c r="O71" s="1242">
        <v>50</v>
      </c>
      <c r="P71" s="1458"/>
      <c r="Q71" s="2106"/>
      <c r="R71" s="1198"/>
      <c r="S71" s="1198">
        <v>10</v>
      </c>
      <c r="T71" s="1199">
        <v>25</v>
      </c>
      <c r="U71" s="2388"/>
    </row>
    <row r="72" spans="1:21" ht="26.25" customHeight="1" x14ac:dyDescent="0.2">
      <c r="A72" s="1998"/>
      <c r="B72" s="1999"/>
      <c r="C72" s="2012"/>
      <c r="D72" s="2097" t="s">
        <v>305</v>
      </c>
      <c r="E72" s="2113" t="s">
        <v>68</v>
      </c>
      <c r="F72" s="2013"/>
      <c r="G72" s="630" t="s">
        <v>188</v>
      </c>
      <c r="H72" s="1082">
        <v>88.8</v>
      </c>
      <c r="I72" s="1791">
        <f>88.8-4.4</f>
        <v>84.4</v>
      </c>
      <c r="J72" s="1403">
        <f>I72-H72</f>
        <v>-4.4000000000000004</v>
      </c>
      <c r="K72" s="1218"/>
      <c r="L72" s="1072"/>
      <c r="M72" s="1689"/>
      <c r="N72" s="1218">
        <v>100</v>
      </c>
      <c r="O72" s="1072">
        <v>100</v>
      </c>
      <c r="P72" s="1689"/>
      <c r="Q72" s="164" t="s">
        <v>66</v>
      </c>
      <c r="R72" s="178">
        <v>1</v>
      </c>
      <c r="S72" s="178"/>
      <c r="T72" s="179"/>
      <c r="U72" s="2353" t="s">
        <v>399</v>
      </c>
    </row>
    <row r="73" spans="1:21" ht="28.5" customHeight="1" x14ac:dyDescent="0.2">
      <c r="A73" s="1998"/>
      <c r="B73" s="1999"/>
      <c r="C73" s="2012"/>
      <c r="D73" s="2102"/>
      <c r="E73" s="2114"/>
      <c r="F73" s="2013"/>
      <c r="G73" s="200" t="s">
        <v>40</v>
      </c>
      <c r="H73" s="1081"/>
      <c r="I73" s="536"/>
      <c r="J73" s="896"/>
      <c r="K73" s="1671"/>
      <c r="L73" s="1244"/>
      <c r="M73" s="1458"/>
      <c r="N73" s="1671">
        <v>30</v>
      </c>
      <c r="O73" s="1244">
        <v>30</v>
      </c>
      <c r="P73" s="1458"/>
      <c r="Q73" s="1197" t="s">
        <v>306</v>
      </c>
      <c r="R73" s="55"/>
      <c r="S73" s="55"/>
      <c r="T73" s="1288">
        <v>10</v>
      </c>
      <c r="U73" s="2388"/>
    </row>
    <row r="74" spans="1:21" x14ac:dyDescent="0.2">
      <c r="A74" s="1998"/>
      <c r="B74" s="1999"/>
      <c r="C74" s="2012"/>
      <c r="D74" s="2017" t="s">
        <v>149</v>
      </c>
      <c r="E74" s="2113" t="s">
        <v>68</v>
      </c>
      <c r="F74" s="2013"/>
      <c r="G74" s="573" t="s">
        <v>188</v>
      </c>
      <c r="H74" s="1080">
        <v>10.5</v>
      </c>
      <c r="I74" s="1779">
        <v>10.4</v>
      </c>
      <c r="J74" s="1783">
        <f>I74-H74</f>
        <v>-0.1</v>
      </c>
      <c r="K74" s="1673">
        <v>150</v>
      </c>
      <c r="L74" s="1235">
        <v>150</v>
      </c>
      <c r="M74" s="1674"/>
      <c r="N74" s="1673">
        <v>455.7</v>
      </c>
      <c r="O74" s="1235">
        <v>455.7</v>
      </c>
      <c r="P74" s="1674"/>
      <c r="Q74" s="2140" t="s">
        <v>167</v>
      </c>
      <c r="R74" s="1200">
        <v>1</v>
      </c>
      <c r="S74" s="1200"/>
      <c r="T74" s="54"/>
      <c r="U74" s="2353" t="s">
        <v>399</v>
      </c>
    </row>
    <row r="75" spans="1:21" ht="15.75" customHeight="1" x14ac:dyDescent="0.2">
      <c r="A75" s="1998"/>
      <c r="B75" s="1999"/>
      <c r="C75" s="2012"/>
      <c r="D75" s="2018"/>
      <c r="E75" s="2114"/>
      <c r="F75" s="2013"/>
      <c r="G75" s="630" t="s">
        <v>40</v>
      </c>
      <c r="H75" s="1082"/>
      <c r="I75" s="1072"/>
      <c r="J75" s="1133"/>
      <c r="K75" s="1218"/>
      <c r="L75" s="1072"/>
      <c r="M75" s="1689"/>
      <c r="N75" s="1218"/>
      <c r="O75" s="1072"/>
      <c r="P75" s="1689"/>
      <c r="Q75" s="2140"/>
      <c r="R75" s="1200"/>
      <c r="S75" s="1200"/>
      <c r="T75" s="54"/>
      <c r="U75" s="2389"/>
    </row>
    <row r="76" spans="1:21" x14ac:dyDescent="0.2">
      <c r="A76" s="1998"/>
      <c r="B76" s="1999"/>
      <c r="C76" s="2012"/>
      <c r="D76" s="2018"/>
      <c r="E76" s="2114"/>
      <c r="F76" s="2013"/>
      <c r="G76" s="574" t="s">
        <v>65</v>
      </c>
      <c r="H76" s="1081"/>
      <c r="I76" s="536"/>
      <c r="J76" s="896"/>
      <c r="K76" s="1671">
        <v>30</v>
      </c>
      <c r="L76" s="1244">
        <v>30</v>
      </c>
      <c r="M76" s="1458"/>
      <c r="N76" s="1671"/>
      <c r="O76" s="1244"/>
      <c r="P76" s="1458"/>
      <c r="Q76" s="2252"/>
      <c r="R76" s="55">
        <v>35</v>
      </c>
      <c r="S76" s="55">
        <v>100</v>
      </c>
      <c r="T76" s="56"/>
      <c r="U76" s="2354"/>
    </row>
    <row r="77" spans="1:21" ht="77.25" customHeight="1" x14ac:dyDescent="0.2">
      <c r="A77" s="1998"/>
      <c r="B77" s="1999"/>
      <c r="C77" s="2012"/>
      <c r="D77" s="2017" t="s">
        <v>299</v>
      </c>
      <c r="E77" s="2113" t="s">
        <v>68</v>
      </c>
      <c r="F77" s="2013"/>
      <c r="G77" s="630" t="s">
        <v>188</v>
      </c>
      <c r="H77" s="1080">
        <v>200</v>
      </c>
      <c r="I77" s="1779">
        <v>0</v>
      </c>
      <c r="J77" s="1403">
        <f>I77-H77</f>
        <v>-200</v>
      </c>
      <c r="K77" s="1218">
        <v>750</v>
      </c>
      <c r="L77" s="1791">
        <f>750+200</f>
        <v>950</v>
      </c>
      <c r="M77" s="1714">
        <f>L77-K77</f>
        <v>200</v>
      </c>
      <c r="N77" s="1218"/>
      <c r="O77" s="1072"/>
      <c r="P77" s="1689">
        <f>O77-N77</f>
        <v>0</v>
      </c>
      <c r="Q77" s="2145" t="s">
        <v>220</v>
      </c>
      <c r="R77" s="1976" t="s">
        <v>332</v>
      </c>
      <c r="S77" s="1207">
        <v>100</v>
      </c>
      <c r="T77" s="1203"/>
      <c r="U77" s="2359" t="s">
        <v>400</v>
      </c>
    </row>
    <row r="78" spans="1:21" ht="62.25" customHeight="1" x14ac:dyDescent="0.2">
      <c r="A78" s="1998"/>
      <c r="B78" s="1999"/>
      <c r="C78" s="2012"/>
      <c r="D78" s="2018"/>
      <c r="E78" s="2114"/>
      <c r="F78" s="2013"/>
      <c r="G78" s="200" t="s">
        <v>40</v>
      </c>
      <c r="H78" s="1081"/>
      <c r="I78" s="536"/>
      <c r="J78" s="1289"/>
      <c r="K78" s="1671"/>
      <c r="L78" s="1244"/>
      <c r="M78" s="1700"/>
      <c r="N78" s="1671"/>
      <c r="O78" s="1244"/>
      <c r="P78" s="1700"/>
      <c r="Q78" s="2439"/>
      <c r="R78" s="2174"/>
      <c r="S78" s="2440"/>
      <c r="T78" s="2441"/>
      <c r="U78" s="2357"/>
    </row>
    <row r="79" spans="1:21" ht="19.5" customHeight="1" thickBot="1" x14ac:dyDescent="0.25">
      <c r="A79" s="1176"/>
      <c r="B79" s="1177"/>
      <c r="C79" s="803"/>
      <c r="D79" s="2079"/>
      <c r="E79" s="2081"/>
      <c r="F79" s="2115"/>
      <c r="G79" s="804" t="s">
        <v>9</v>
      </c>
      <c r="H79" s="814">
        <f t="shared" ref="H79:P79" si="3">SUM(H70:H77)</f>
        <v>336.3</v>
      </c>
      <c r="I79" s="1245">
        <f t="shared" si="3"/>
        <v>128.19999999999999</v>
      </c>
      <c r="J79" s="816">
        <f t="shared" si="3"/>
        <v>-208.1</v>
      </c>
      <c r="K79" s="1701">
        <f t="shared" si="3"/>
        <v>1410</v>
      </c>
      <c r="L79" s="1245">
        <f t="shared" si="3"/>
        <v>1610</v>
      </c>
      <c r="M79" s="1461">
        <f t="shared" si="3"/>
        <v>200</v>
      </c>
      <c r="N79" s="1701">
        <f t="shared" si="3"/>
        <v>1435.7</v>
      </c>
      <c r="O79" s="1245">
        <f t="shared" si="3"/>
        <v>1435.7</v>
      </c>
      <c r="P79" s="1461">
        <f t="shared" si="3"/>
        <v>0</v>
      </c>
      <c r="Q79" s="2413"/>
      <c r="R79" s="2387"/>
      <c r="S79" s="2387"/>
      <c r="T79" s="2115"/>
      <c r="U79" s="2386"/>
    </row>
    <row r="80" spans="1:21" ht="28.5" customHeight="1" x14ac:dyDescent="0.2">
      <c r="A80" s="1614" t="s">
        <v>8</v>
      </c>
      <c r="B80" s="1581" t="s">
        <v>8</v>
      </c>
      <c r="C80" s="1582" t="s">
        <v>49</v>
      </c>
      <c r="D80" s="1619" t="s">
        <v>173</v>
      </c>
      <c r="E80" s="808" t="s">
        <v>136</v>
      </c>
      <c r="F80" s="1042" t="s">
        <v>63</v>
      </c>
      <c r="G80" s="144"/>
      <c r="H80" s="1296"/>
      <c r="I80" s="1247"/>
      <c r="J80" s="1135"/>
      <c r="K80" s="1702"/>
      <c r="L80" s="1703"/>
      <c r="M80" s="1704"/>
      <c r="N80" s="1702"/>
      <c r="O80" s="1703"/>
      <c r="P80" s="1704"/>
      <c r="Q80" s="12"/>
      <c r="R80" s="36"/>
      <c r="S80" s="779"/>
      <c r="T80" s="37"/>
      <c r="U80" s="1927"/>
    </row>
    <row r="81" spans="1:21" ht="26.25" customHeight="1" x14ac:dyDescent="0.2">
      <c r="A81" s="1596"/>
      <c r="B81" s="1574"/>
      <c r="C81" s="1575"/>
      <c r="D81" s="2022" t="s">
        <v>174</v>
      </c>
      <c r="E81" s="809" t="s">
        <v>68</v>
      </c>
      <c r="F81" s="1578"/>
      <c r="G81" s="206" t="s">
        <v>188</v>
      </c>
      <c r="H81" s="1127">
        <v>34</v>
      </c>
      <c r="I81" s="1779">
        <v>16.7</v>
      </c>
      <c r="J81" s="1404">
        <f>I81-H81</f>
        <v>-17.3</v>
      </c>
      <c r="K81" s="1665">
        <v>434</v>
      </c>
      <c r="L81" s="1949">
        <f>434+17.3</f>
        <v>451.3</v>
      </c>
      <c r="M81" s="1712">
        <f>L81-K81</f>
        <v>17.3</v>
      </c>
      <c r="N81" s="1665">
        <v>890</v>
      </c>
      <c r="O81" s="1243">
        <v>890</v>
      </c>
      <c r="P81" s="1666"/>
      <c r="Q81" s="2070" t="s">
        <v>288</v>
      </c>
      <c r="R81" s="1412"/>
      <c r="S81" s="1511">
        <v>1</v>
      </c>
      <c r="T81" s="1603"/>
      <c r="U81" s="2353" t="s">
        <v>401</v>
      </c>
    </row>
    <row r="82" spans="1:21" ht="30" customHeight="1" x14ac:dyDescent="0.2">
      <c r="A82" s="1596"/>
      <c r="B82" s="1574"/>
      <c r="C82" s="1575"/>
      <c r="D82" s="2016"/>
      <c r="E82" s="2134"/>
      <c r="F82" s="1578"/>
      <c r="G82" s="206" t="s">
        <v>64</v>
      </c>
      <c r="H82" s="1133"/>
      <c r="I82" s="1072"/>
      <c r="J82" s="1075"/>
      <c r="K82" s="1670"/>
      <c r="L82" s="1236"/>
      <c r="M82" s="1664"/>
      <c r="N82" s="1670"/>
      <c r="O82" s="1236"/>
      <c r="P82" s="1664"/>
      <c r="Q82" s="2145"/>
      <c r="R82" s="1604"/>
      <c r="S82" s="1512"/>
      <c r="T82" s="1208"/>
      <c r="U82" s="2357"/>
    </row>
    <row r="83" spans="1:21" ht="36" customHeight="1" x14ac:dyDescent="0.2">
      <c r="A83" s="1596"/>
      <c r="B83" s="1574"/>
      <c r="C83" s="1575"/>
      <c r="D83" s="2301"/>
      <c r="E83" s="2135"/>
      <c r="F83" s="1579"/>
      <c r="G83" s="19" t="s">
        <v>67</v>
      </c>
      <c r="H83" s="896"/>
      <c r="I83" s="536"/>
      <c r="J83" s="1131"/>
      <c r="K83" s="1667">
        <v>70</v>
      </c>
      <c r="L83" s="1478">
        <v>70</v>
      </c>
      <c r="M83" s="1690"/>
      <c r="N83" s="1667">
        <v>3</v>
      </c>
      <c r="O83" s="1478">
        <v>3</v>
      </c>
      <c r="P83" s="1690"/>
      <c r="Q83" s="2172"/>
      <c r="R83" s="542"/>
      <c r="S83" s="1513">
        <v>45</v>
      </c>
      <c r="T83" s="163">
        <v>100</v>
      </c>
      <c r="U83" s="2358"/>
    </row>
    <row r="84" spans="1:21" ht="18.75" customHeight="1" x14ac:dyDescent="0.2">
      <c r="A84" s="1596"/>
      <c r="B84" s="1574"/>
      <c r="C84" s="1575"/>
      <c r="D84" s="2298" t="s">
        <v>175</v>
      </c>
      <c r="E84" s="1385" t="s">
        <v>68</v>
      </c>
      <c r="F84" s="1578"/>
      <c r="G84" s="206" t="s">
        <v>188</v>
      </c>
      <c r="H84" s="1133">
        <v>67</v>
      </c>
      <c r="I84" s="1791">
        <f>67+2</f>
        <v>69</v>
      </c>
      <c r="J84" s="1792">
        <f>I84-H84</f>
        <v>2</v>
      </c>
      <c r="K84" s="1665">
        <v>600</v>
      </c>
      <c r="L84" s="1243">
        <v>600</v>
      </c>
      <c r="M84" s="1664"/>
      <c r="N84" s="1665">
        <v>1500</v>
      </c>
      <c r="O84" s="1243">
        <v>1500</v>
      </c>
      <c r="P84" s="1664"/>
      <c r="Q84" s="1202" t="s">
        <v>158</v>
      </c>
      <c r="R84" s="1620"/>
      <c r="S84" s="1514">
        <v>1</v>
      </c>
      <c r="T84" s="514"/>
      <c r="U84" s="2353" t="s">
        <v>402</v>
      </c>
    </row>
    <row r="85" spans="1:21" ht="15" customHeight="1" x14ac:dyDescent="0.2">
      <c r="A85" s="1596"/>
      <c r="B85" s="1574"/>
      <c r="C85" s="1575"/>
      <c r="D85" s="2298"/>
      <c r="E85" s="2443" t="s">
        <v>255</v>
      </c>
      <c r="F85" s="1578"/>
      <c r="G85" s="206" t="s">
        <v>188</v>
      </c>
      <c r="H85" s="1133"/>
      <c r="I85" s="1072"/>
      <c r="J85" s="1075"/>
      <c r="K85" s="1670">
        <v>70</v>
      </c>
      <c r="L85" s="1236">
        <v>70</v>
      </c>
      <c r="M85" s="1664"/>
      <c r="N85" s="1670"/>
      <c r="O85" s="1236"/>
      <c r="P85" s="1664"/>
      <c r="Q85" s="2449" t="s">
        <v>289</v>
      </c>
      <c r="R85" s="455"/>
      <c r="S85" s="784">
        <v>10</v>
      </c>
      <c r="T85" s="1325">
        <v>30</v>
      </c>
      <c r="U85" s="2357"/>
    </row>
    <row r="86" spans="1:21" ht="21" customHeight="1" x14ac:dyDescent="0.2">
      <c r="A86" s="1596"/>
      <c r="B86" s="1574"/>
      <c r="C86" s="1575"/>
      <c r="D86" s="2130"/>
      <c r="E86" s="2444"/>
      <c r="F86" s="1578"/>
      <c r="G86" s="188" t="s">
        <v>40</v>
      </c>
      <c r="H86" s="1297"/>
      <c r="I86" s="1248"/>
      <c r="J86" s="1626"/>
      <c r="K86" s="1705">
        <v>20</v>
      </c>
      <c r="L86" s="1706">
        <v>20</v>
      </c>
      <c r="M86" s="1681"/>
      <c r="N86" s="1705">
        <v>30</v>
      </c>
      <c r="O86" s="1706">
        <v>30</v>
      </c>
      <c r="P86" s="1681"/>
      <c r="Q86" s="2450"/>
      <c r="R86" s="513"/>
      <c r="S86" s="1514"/>
      <c r="T86" s="514"/>
      <c r="U86" s="2358"/>
    </row>
    <row r="87" spans="1:21" ht="14.25" customHeight="1" x14ac:dyDescent="0.2">
      <c r="A87" s="1596"/>
      <c r="B87" s="1574"/>
      <c r="C87" s="1575"/>
      <c r="D87" s="2417" t="s">
        <v>300</v>
      </c>
      <c r="E87" s="1594"/>
      <c r="F87" s="1578"/>
      <c r="G87" s="298" t="s">
        <v>40</v>
      </c>
      <c r="H87" s="1298">
        <v>150</v>
      </c>
      <c r="I87" s="1249">
        <v>150</v>
      </c>
      <c r="J87" s="1136"/>
      <c r="K87" s="1707"/>
      <c r="L87" s="1708"/>
      <c r="M87" s="1662"/>
      <c r="N87" s="1707"/>
      <c r="O87" s="1708"/>
      <c r="P87" s="1662"/>
      <c r="Q87" s="992" t="s">
        <v>301</v>
      </c>
      <c r="R87" s="455">
        <v>100</v>
      </c>
      <c r="S87" s="784"/>
      <c r="T87" s="1325"/>
      <c r="U87" s="1515"/>
    </row>
    <row r="88" spans="1:21" ht="16.5" customHeight="1" x14ac:dyDescent="0.2">
      <c r="A88" s="1596"/>
      <c r="B88" s="1574"/>
      <c r="C88" s="1575"/>
      <c r="D88" s="2023"/>
      <c r="E88" s="2142"/>
      <c r="F88" s="2013"/>
      <c r="G88" s="119" t="s">
        <v>188</v>
      </c>
      <c r="H88" s="1081"/>
      <c r="I88" s="536"/>
      <c r="J88" s="1131"/>
      <c r="K88" s="1667"/>
      <c r="L88" s="1478"/>
      <c r="M88" s="1690"/>
      <c r="N88" s="1667"/>
      <c r="O88" s="1478"/>
      <c r="P88" s="1690"/>
      <c r="Q88" s="2145"/>
      <c r="R88" s="2174"/>
      <c r="S88" s="2174"/>
      <c r="T88" s="2256"/>
      <c r="U88" s="1515"/>
    </row>
    <row r="89" spans="1:21" ht="13.5" thickBot="1" x14ac:dyDescent="0.25">
      <c r="A89" s="305"/>
      <c r="B89" s="1583"/>
      <c r="C89" s="1584"/>
      <c r="D89" s="2083"/>
      <c r="E89" s="2081"/>
      <c r="F89" s="2083"/>
      <c r="G89" s="81" t="s">
        <v>9</v>
      </c>
      <c r="H89" s="816">
        <f t="shared" ref="H89:M89" si="4">SUM(H81:H88)</f>
        <v>251</v>
      </c>
      <c r="I89" s="1245">
        <f t="shared" si="4"/>
        <v>235.7</v>
      </c>
      <c r="J89" s="816">
        <f t="shared" si="4"/>
        <v>-15.3</v>
      </c>
      <c r="K89" s="1701">
        <f t="shared" si="4"/>
        <v>1194</v>
      </c>
      <c r="L89" s="1245">
        <f t="shared" si="4"/>
        <v>1211.3</v>
      </c>
      <c r="M89" s="1461">
        <f t="shared" si="4"/>
        <v>17.3</v>
      </c>
      <c r="N89" s="1701">
        <f t="shared" ref="N89:O89" si="5">SUM(N81:N88)</f>
        <v>2423</v>
      </c>
      <c r="O89" s="1245">
        <f t="shared" si="5"/>
        <v>2423</v>
      </c>
      <c r="P89" s="1461">
        <f>SUM(P81:P88)</f>
        <v>0</v>
      </c>
      <c r="Q89" s="2413"/>
      <c r="R89" s="2387"/>
      <c r="S89" s="2387"/>
      <c r="T89" s="2115"/>
      <c r="U89" s="1933"/>
    </row>
    <row r="90" spans="1:21" ht="37.5" customHeight="1" x14ac:dyDescent="0.2">
      <c r="A90" s="2434" t="s">
        <v>8</v>
      </c>
      <c r="B90" s="2119" t="s">
        <v>8</v>
      </c>
      <c r="C90" s="2122" t="s">
        <v>51</v>
      </c>
      <c r="D90" s="718" t="s">
        <v>103</v>
      </c>
      <c r="E90" s="1615" t="s">
        <v>145</v>
      </c>
      <c r="F90" s="1591" t="s">
        <v>63</v>
      </c>
      <c r="G90" s="719"/>
      <c r="H90" s="1616"/>
      <c r="I90" s="1617"/>
      <c r="J90" s="1618"/>
      <c r="K90" s="1709"/>
      <c r="L90" s="1710"/>
      <c r="M90" s="1711"/>
      <c r="N90" s="1709"/>
      <c r="O90" s="1710"/>
      <c r="P90" s="1711"/>
      <c r="Q90" s="978"/>
      <c r="R90" s="21"/>
      <c r="S90" s="781"/>
      <c r="T90" s="22"/>
      <c r="U90" s="1996"/>
    </row>
    <row r="91" spans="1:21" ht="12.75" customHeight="1" x14ac:dyDescent="0.2">
      <c r="A91" s="2435"/>
      <c r="B91" s="2120"/>
      <c r="C91" s="2123"/>
      <c r="D91" s="2017" t="s">
        <v>244</v>
      </c>
      <c r="E91" s="2125" t="s">
        <v>68</v>
      </c>
      <c r="F91" s="2013"/>
      <c r="G91" s="1464" t="s">
        <v>40</v>
      </c>
      <c r="H91" s="1080">
        <v>21.4</v>
      </c>
      <c r="I91" s="1779">
        <f>21.4+248.6</f>
        <v>270</v>
      </c>
      <c r="J91" s="1404">
        <f>I91-H91</f>
        <v>248.6</v>
      </c>
      <c r="K91" s="1665"/>
      <c r="L91" s="1243"/>
      <c r="M91" s="1712"/>
      <c r="N91" s="1665"/>
      <c r="O91" s="1243"/>
      <c r="P91" s="1712"/>
      <c r="Q91" s="2126" t="s">
        <v>364</v>
      </c>
      <c r="R91" s="619">
        <v>100</v>
      </c>
      <c r="S91" s="1412"/>
      <c r="T91" s="1503"/>
      <c r="U91" s="2359" t="s">
        <v>412</v>
      </c>
    </row>
    <row r="92" spans="1:21" ht="55.5" customHeight="1" x14ac:dyDescent="0.2">
      <c r="A92" s="2435"/>
      <c r="B92" s="2120"/>
      <c r="C92" s="2123"/>
      <c r="D92" s="2067"/>
      <c r="E92" s="2125"/>
      <c r="F92" s="2013"/>
      <c r="G92" s="786" t="s">
        <v>69</v>
      </c>
      <c r="H92" s="536">
        <v>270</v>
      </c>
      <c r="I92" s="1959">
        <v>0</v>
      </c>
      <c r="J92" s="1402">
        <f>I92-H92</f>
        <v>-270</v>
      </c>
      <c r="K92" s="1679"/>
      <c r="L92" s="536"/>
      <c r="M92" s="1713"/>
      <c r="N92" s="1679"/>
      <c r="O92" s="536"/>
      <c r="P92" s="1713"/>
      <c r="Q92" s="2127"/>
      <c r="R92" s="723"/>
      <c r="S92" s="542"/>
      <c r="T92" s="163"/>
      <c r="U92" s="2357"/>
    </row>
    <row r="93" spans="1:21" ht="21" customHeight="1" x14ac:dyDescent="0.2">
      <c r="A93" s="2435"/>
      <c r="B93" s="2120"/>
      <c r="C93" s="2123"/>
      <c r="D93" s="2018" t="s">
        <v>237</v>
      </c>
      <c r="E93" s="1308"/>
      <c r="F93" s="2013"/>
      <c r="G93" s="2128" t="s">
        <v>69</v>
      </c>
      <c r="H93" s="1250">
        <f>758.8-465.5</f>
        <v>293.3</v>
      </c>
      <c r="I93" s="1250">
        <f>758.8-465.5</f>
        <v>293.3</v>
      </c>
      <c r="J93" s="1403"/>
      <c r="K93" s="1218"/>
      <c r="L93" s="1072"/>
      <c r="M93" s="1714"/>
      <c r="N93" s="1218"/>
      <c r="O93" s="1072"/>
      <c r="P93" s="1714"/>
      <c r="Q93" s="1501" t="s">
        <v>239</v>
      </c>
      <c r="R93" s="1500">
        <v>2</v>
      </c>
      <c r="S93" s="1507"/>
      <c r="T93" s="1208"/>
      <c r="U93" s="2403"/>
    </row>
    <row r="94" spans="1:21" ht="29.25" customHeight="1" x14ac:dyDescent="0.2">
      <c r="A94" s="2435"/>
      <c r="B94" s="2120"/>
      <c r="C94" s="2123"/>
      <c r="D94" s="2067"/>
      <c r="E94" s="1313"/>
      <c r="F94" s="2013"/>
      <c r="G94" s="2129"/>
      <c r="H94" s="1081"/>
      <c r="I94" s="536"/>
      <c r="J94" s="1402"/>
      <c r="K94" s="1679"/>
      <c r="L94" s="536"/>
      <c r="M94" s="1713"/>
      <c r="N94" s="1679"/>
      <c r="O94" s="536"/>
      <c r="P94" s="1713"/>
      <c r="Q94" s="1501" t="s">
        <v>238</v>
      </c>
      <c r="R94" s="1500">
        <v>2</v>
      </c>
      <c r="S94" s="1507"/>
      <c r="T94" s="1208"/>
      <c r="U94" s="2403"/>
    </row>
    <row r="95" spans="1:21" ht="16.5" customHeight="1" x14ac:dyDescent="0.2">
      <c r="A95" s="2435"/>
      <c r="B95" s="2120"/>
      <c r="C95" s="2123"/>
      <c r="D95" s="2017" t="s">
        <v>251</v>
      </c>
      <c r="E95" s="1308" t="s">
        <v>68</v>
      </c>
      <c r="F95" s="1305"/>
      <c r="G95" s="1315" t="s">
        <v>69</v>
      </c>
      <c r="H95" s="1082">
        <v>60</v>
      </c>
      <c r="I95" s="1072">
        <v>60</v>
      </c>
      <c r="J95" s="1403"/>
      <c r="K95" s="1715">
        <v>624</v>
      </c>
      <c r="L95" s="1716">
        <v>624</v>
      </c>
      <c r="M95" s="1714"/>
      <c r="N95" s="1218">
        <v>1316</v>
      </c>
      <c r="O95" s="1072">
        <v>1316</v>
      </c>
      <c r="P95" s="1714"/>
      <c r="Q95" s="1498" t="s">
        <v>66</v>
      </c>
      <c r="R95" s="130"/>
      <c r="S95" s="1412">
        <v>1</v>
      </c>
      <c r="T95" s="1503"/>
      <c r="U95" s="1974"/>
    </row>
    <row r="96" spans="1:21" ht="13.5" customHeight="1" x14ac:dyDescent="0.2">
      <c r="A96" s="2435"/>
      <c r="B96" s="2120"/>
      <c r="C96" s="2123"/>
      <c r="D96" s="2077"/>
      <c r="E96" s="1308"/>
      <c r="F96" s="1305"/>
      <c r="G96" s="1315"/>
      <c r="H96" s="1082"/>
      <c r="I96" s="1072"/>
      <c r="J96" s="1403"/>
      <c r="K96" s="1715"/>
      <c r="L96" s="1716"/>
      <c r="M96" s="1714"/>
      <c r="N96" s="1218"/>
      <c r="O96" s="1072"/>
      <c r="P96" s="1714"/>
      <c r="Q96" s="105" t="s">
        <v>250</v>
      </c>
      <c r="R96" s="106"/>
      <c r="S96" s="542">
        <v>30</v>
      </c>
      <c r="T96" s="163">
        <v>100</v>
      </c>
      <c r="U96" s="1974"/>
    </row>
    <row r="97" spans="1:21" ht="40.5" customHeight="1" x14ac:dyDescent="0.2">
      <c r="A97" s="2436"/>
      <c r="B97" s="2121"/>
      <c r="C97" s="2124"/>
      <c r="D97" s="548" t="s">
        <v>120</v>
      </c>
      <c r="E97" s="488" t="s">
        <v>68</v>
      </c>
      <c r="F97" s="1578"/>
      <c r="G97" s="17" t="s">
        <v>69</v>
      </c>
      <c r="H97" s="1118"/>
      <c r="I97" s="1251"/>
      <c r="J97" s="1621"/>
      <c r="K97" s="1717"/>
      <c r="L97" s="1718"/>
      <c r="M97" s="1719"/>
      <c r="N97" s="1717">
        <v>300</v>
      </c>
      <c r="O97" s="1718">
        <v>300</v>
      </c>
      <c r="P97" s="1719"/>
      <c r="Q97" s="1595" t="s">
        <v>312</v>
      </c>
      <c r="R97" s="132"/>
      <c r="S97" s="729"/>
      <c r="T97" s="1455" t="s">
        <v>165</v>
      </c>
      <c r="U97" s="1973"/>
    </row>
    <row r="98" spans="1:21" ht="25.5" customHeight="1" x14ac:dyDescent="0.2">
      <c r="A98" s="1431"/>
      <c r="B98" s="1432"/>
      <c r="C98" s="1433"/>
      <c r="D98" s="2088" t="s">
        <v>176</v>
      </c>
      <c r="E98" s="809" t="s">
        <v>68</v>
      </c>
      <c r="F98" s="1578"/>
      <c r="G98" s="496" t="s">
        <v>65</v>
      </c>
      <c r="H98" s="1082">
        <v>29</v>
      </c>
      <c r="I98" s="1072">
        <v>29</v>
      </c>
      <c r="J98" s="1125"/>
      <c r="K98" s="1665"/>
      <c r="L98" s="1243"/>
      <c r="M98" s="1666"/>
      <c r="N98" s="1665"/>
      <c r="O98" s="1243"/>
      <c r="P98" s="1666"/>
      <c r="Q98" s="2070" t="s">
        <v>265</v>
      </c>
      <c r="R98" s="1437" t="s">
        <v>133</v>
      </c>
      <c r="S98" s="1326"/>
      <c r="T98" s="131"/>
      <c r="U98" s="2414"/>
    </row>
    <row r="99" spans="1:21" ht="22.5" customHeight="1" x14ac:dyDescent="0.2">
      <c r="A99" s="1431"/>
      <c r="B99" s="1432"/>
      <c r="C99" s="1433"/>
      <c r="D99" s="2023"/>
      <c r="E99" s="1317"/>
      <c r="F99" s="1578"/>
      <c r="G99" s="206" t="s">
        <v>69</v>
      </c>
      <c r="H99" s="1072">
        <v>0</v>
      </c>
      <c r="I99" s="1072">
        <v>0</v>
      </c>
      <c r="J99" s="1075"/>
      <c r="K99" s="1670"/>
      <c r="L99" s="1236"/>
      <c r="M99" s="1664"/>
      <c r="N99" s="1670"/>
      <c r="O99" s="1236"/>
      <c r="P99" s="1664"/>
      <c r="Q99" s="2437"/>
      <c r="R99" s="1438"/>
      <c r="S99" s="1213"/>
      <c r="T99" s="1571"/>
      <c r="U99" s="2415"/>
    </row>
    <row r="100" spans="1:21" ht="18.75" customHeight="1" x14ac:dyDescent="0.2">
      <c r="A100" s="1431"/>
      <c r="B100" s="1432"/>
      <c r="C100" s="1433"/>
      <c r="D100" s="2299"/>
      <c r="E100" s="1453"/>
      <c r="F100" s="2013"/>
      <c r="G100" s="79" t="s">
        <v>40</v>
      </c>
      <c r="H100" s="536">
        <f>113+82.6</f>
        <v>195.6</v>
      </c>
      <c r="I100" s="536">
        <f>113+82.6</f>
        <v>195.6</v>
      </c>
      <c r="J100" s="744"/>
      <c r="K100" s="1667"/>
      <c r="L100" s="1478"/>
      <c r="M100" s="1459"/>
      <c r="N100" s="1667"/>
      <c r="O100" s="1478"/>
      <c r="P100" s="1459"/>
      <c r="Q100" s="2438"/>
      <c r="R100" s="1447"/>
      <c r="S100" s="106"/>
      <c r="T100" s="107"/>
      <c r="U100" s="2416"/>
    </row>
    <row r="101" spans="1:21" ht="32.25" customHeight="1" x14ac:dyDescent="0.2">
      <c r="A101" s="1431"/>
      <c r="B101" s="1432"/>
      <c r="C101" s="1433"/>
      <c r="D101" s="1590" t="s">
        <v>370</v>
      </c>
      <c r="E101" s="1317" t="s">
        <v>68</v>
      </c>
      <c r="F101" s="2013"/>
      <c r="G101" s="233" t="s">
        <v>40</v>
      </c>
      <c r="H101" s="1118"/>
      <c r="I101" s="1251"/>
      <c r="J101" s="1219"/>
      <c r="K101" s="1720">
        <v>50</v>
      </c>
      <c r="L101" s="1721">
        <v>50</v>
      </c>
      <c r="M101" s="1722"/>
      <c r="N101" s="1733">
        <v>50</v>
      </c>
      <c r="O101" s="1251">
        <v>50</v>
      </c>
      <c r="P101" s="1722"/>
      <c r="Q101" s="1622" t="s">
        <v>360</v>
      </c>
      <c r="R101" s="1559"/>
      <c r="S101" s="1580"/>
      <c r="T101" s="1571">
        <v>1</v>
      </c>
      <c r="U101" s="2414"/>
    </row>
    <row r="102" spans="1:21" ht="13.5" thickBot="1" x14ac:dyDescent="0.25">
      <c r="A102" s="1431"/>
      <c r="B102" s="1432"/>
      <c r="C102" s="1433"/>
      <c r="D102" s="1605"/>
      <c r="E102" s="1606"/>
      <c r="F102" s="2082"/>
      <c r="G102" s="1448" t="s">
        <v>9</v>
      </c>
      <c r="H102" s="765">
        <f>SUM(H91:H100)</f>
        <v>869.3</v>
      </c>
      <c r="I102" s="1252">
        <f>SUM(I91:I100)</f>
        <v>847.9</v>
      </c>
      <c r="J102" s="1450">
        <f>SUM(J91:J100)</f>
        <v>-21.4</v>
      </c>
      <c r="K102" s="1683">
        <f>SUM(K91:K101)</f>
        <v>674</v>
      </c>
      <c r="L102" s="1252">
        <f>SUM(L91:L101)</f>
        <v>674</v>
      </c>
      <c r="M102" s="1684">
        <f>SUM(M91:M100)</f>
        <v>0</v>
      </c>
      <c r="N102" s="1683">
        <f>SUM(N92:N101)</f>
        <v>1666</v>
      </c>
      <c r="O102" s="1252">
        <f>SUM(O92:O101)</f>
        <v>1666</v>
      </c>
      <c r="P102" s="1684">
        <f>SUM(P91:P100)</f>
        <v>0</v>
      </c>
      <c r="Q102" s="1607"/>
      <c r="R102" s="1449"/>
      <c r="S102" s="1601"/>
      <c r="T102" s="1602"/>
      <c r="U102" s="2304"/>
    </row>
    <row r="103" spans="1:21" ht="30" customHeight="1" x14ac:dyDescent="0.2">
      <c r="A103" s="1357" t="s">
        <v>8</v>
      </c>
      <c r="B103" s="1358" t="s">
        <v>8</v>
      </c>
      <c r="C103" s="1107" t="s">
        <v>52</v>
      </c>
      <c r="D103" s="138" t="s">
        <v>253</v>
      </c>
      <c r="E103" s="532"/>
      <c r="F103" s="1360" t="s">
        <v>63</v>
      </c>
      <c r="G103" s="1384"/>
      <c r="H103" s="1223"/>
      <c r="I103" s="1253"/>
      <c r="J103" s="1321"/>
      <c r="K103" s="1723"/>
      <c r="L103" s="1724"/>
      <c r="M103" s="1725"/>
      <c r="N103" s="1723"/>
      <c r="O103" s="1724"/>
      <c r="P103" s="1725"/>
      <c r="Q103" s="1045"/>
      <c r="R103" s="1046"/>
      <c r="S103" s="1046"/>
      <c r="T103" s="1047"/>
      <c r="U103" s="1927"/>
    </row>
    <row r="104" spans="1:21" ht="22.5" customHeight="1" x14ac:dyDescent="0.2">
      <c r="A104" s="1342"/>
      <c r="B104" s="1343"/>
      <c r="C104" s="196"/>
      <c r="D104" s="1371" t="s">
        <v>131</v>
      </c>
      <c r="E104" s="1368"/>
      <c r="F104" s="1345"/>
      <c r="G104" s="141" t="s">
        <v>188</v>
      </c>
      <c r="H104" s="1118">
        <v>3</v>
      </c>
      <c r="I104" s="1952">
        <f>3+1.4</f>
        <v>4.4000000000000004</v>
      </c>
      <c r="J104" s="1953">
        <f>I104-H104</f>
        <v>1.4</v>
      </c>
      <c r="K104" s="1726">
        <v>3</v>
      </c>
      <c r="L104" s="1727">
        <v>3</v>
      </c>
      <c r="M104" s="1728"/>
      <c r="N104" s="1726">
        <v>3</v>
      </c>
      <c r="O104" s="1727">
        <v>3</v>
      </c>
      <c r="P104" s="1728"/>
      <c r="Q104" s="2072" t="s">
        <v>266</v>
      </c>
      <c r="R104" s="130">
        <v>100</v>
      </c>
      <c r="S104" s="130">
        <v>100</v>
      </c>
      <c r="T104" s="131">
        <v>100</v>
      </c>
      <c r="U104" s="2353" t="s">
        <v>403</v>
      </c>
    </row>
    <row r="105" spans="1:21" s="33" customFormat="1" ht="31.5" customHeight="1" x14ac:dyDescent="0.2">
      <c r="A105" s="1342"/>
      <c r="B105" s="1343"/>
      <c r="C105" s="1344"/>
      <c r="D105" s="2088" t="s">
        <v>113</v>
      </c>
      <c r="E105" s="2146"/>
      <c r="F105" s="2021"/>
      <c r="G105" s="815" t="s">
        <v>40</v>
      </c>
      <c r="H105" s="1322">
        <v>6</v>
      </c>
      <c r="I105" s="1254">
        <v>6</v>
      </c>
      <c r="J105" s="1232"/>
      <c r="K105" s="1729">
        <v>3</v>
      </c>
      <c r="L105" s="1730">
        <v>3</v>
      </c>
      <c r="M105" s="1731"/>
      <c r="N105" s="1729">
        <v>3</v>
      </c>
      <c r="O105" s="1730">
        <v>3</v>
      </c>
      <c r="P105" s="1731"/>
      <c r="Q105" s="2027"/>
      <c r="R105" s="2158"/>
      <c r="S105" s="2158"/>
      <c r="T105" s="2159"/>
      <c r="U105" s="2389"/>
    </row>
    <row r="106" spans="1:21" ht="21.75" customHeight="1" thickBot="1" x14ac:dyDescent="0.25">
      <c r="A106" s="1342"/>
      <c r="B106" s="1343"/>
      <c r="C106" s="1344"/>
      <c r="D106" s="2083"/>
      <c r="E106" s="2081"/>
      <c r="F106" s="2083"/>
      <c r="G106" s="81" t="s">
        <v>9</v>
      </c>
      <c r="H106" s="814">
        <f>SUM(H104:H105)</f>
        <v>9</v>
      </c>
      <c r="I106" s="1245">
        <f>SUM(I104:I105)</f>
        <v>10.4</v>
      </c>
      <c r="J106" s="816">
        <f t="shared" ref="J106:N106" si="6">SUM(J104:J105)</f>
        <v>1.4</v>
      </c>
      <c r="K106" s="1701">
        <f t="shared" si="6"/>
        <v>6</v>
      </c>
      <c r="L106" s="1245">
        <f t="shared" ref="L106:M106" si="7">SUM(L104:L105)</f>
        <v>6</v>
      </c>
      <c r="M106" s="1461">
        <f t="shared" si="7"/>
        <v>0</v>
      </c>
      <c r="N106" s="1701">
        <f t="shared" si="6"/>
        <v>6</v>
      </c>
      <c r="O106" s="1245">
        <f t="shared" ref="O106:P106" si="8">SUM(O104:O105)</f>
        <v>6</v>
      </c>
      <c r="P106" s="1461">
        <f t="shared" si="8"/>
        <v>0</v>
      </c>
      <c r="Q106" s="2109"/>
      <c r="R106" s="2111"/>
      <c r="S106" s="2111"/>
      <c r="T106" s="2083"/>
      <c r="U106" s="1933"/>
    </row>
    <row r="107" spans="1:21" ht="13.5" thickBot="1" x14ac:dyDescent="0.25">
      <c r="A107" s="92" t="s">
        <v>8</v>
      </c>
      <c r="B107" s="9" t="s">
        <v>8</v>
      </c>
      <c r="C107" s="2147" t="s">
        <v>11</v>
      </c>
      <c r="D107" s="2147"/>
      <c r="E107" s="2147"/>
      <c r="F107" s="2147"/>
      <c r="G107" s="2148"/>
      <c r="H107" s="1327">
        <f t="shared" ref="H107:P107" si="9">H106+H102+H89+H79+H68+H50+H37</f>
        <v>4246.1000000000004</v>
      </c>
      <c r="I107" s="1327">
        <f t="shared" si="9"/>
        <v>3820.6</v>
      </c>
      <c r="J107" s="1327">
        <f t="shared" si="9"/>
        <v>-425.5</v>
      </c>
      <c r="K107" s="1732">
        <f t="shared" si="9"/>
        <v>8960.4</v>
      </c>
      <c r="L107" s="1732">
        <f t="shared" si="9"/>
        <v>9529.4</v>
      </c>
      <c r="M107" s="1732">
        <f t="shared" si="9"/>
        <v>569</v>
      </c>
      <c r="N107" s="1732">
        <f t="shared" si="9"/>
        <v>16786.7</v>
      </c>
      <c r="O107" s="1732">
        <f t="shared" si="9"/>
        <v>14383.1</v>
      </c>
      <c r="P107" s="1732">
        <f t="shared" si="9"/>
        <v>-2403.6</v>
      </c>
      <c r="Q107" s="1290"/>
      <c r="R107" s="27"/>
      <c r="S107" s="27"/>
      <c r="T107" s="28"/>
      <c r="U107" s="1935"/>
    </row>
    <row r="108" spans="1:21" ht="15.75" customHeight="1" thickBot="1" x14ac:dyDescent="0.25">
      <c r="A108" s="92" t="s">
        <v>8</v>
      </c>
      <c r="B108" s="9" t="s">
        <v>10</v>
      </c>
      <c r="C108" s="2149" t="s">
        <v>47</v>
      </c>
      <c r="D108" s="2149"/>
      <c r="E108" s="2149"/>
      <c r="F108" s="2149"/>
      <c r="G108" s="2149"/>
      <c r="H108" s="2408"/>
      <c r="I108" s="2409"/>
      <c r="J108" s="2409"/>
      <c r="K108" s="2409"/>
      <c r="L108" s="2409"/>
      <c r="M108" s="2409"/>
      <c r="N108" s="2409"/>
      <c r="O108" s="2409"/>
      <c r="P108" s="2409"/>
      <c r="Q108" s="2149"/>
      <c r="R108" s="2149"/>
      <c r="S108" s="2149"/>
      <c r="T108" s="2151"/>
      <c r="U108" s="1935"/>
    </row>
    <row r="109" spans="1:21" x14ac:dyDescent="0.2">
      <c r="A109" s="1173" t="s">
        <v>8</v>
      </c>
      <c r="B109" s="1174" t="s">
        <v>10</v>
      </c>
      <c r="C109" s="1175" t="s">
        <v>8</v>
      </c>
      <c r="D109" s="2152" t="s">
        <v>80</v>
      </c>
      <c r="E109" s="2410" t="s">
        <v>170</v>
      </c>
      <c r="F109" s="1042" t="s">
        <v>53</v>
      </c>
      <c r="G109" s="737" t="s">
        <v>40</v>
      </c>
      <c r="H109" s="1299">
        <v>5033.5</v>
      </c>
      <c r="I109" s="1261">
        <f>5030.1+3.4</f>
        <v>5033.5</v>
      </c>
      <c r="J109" s="1255">
        <f>I109-H109</f>
        <v>0</v>
      </c>
      <c r="K109" s="1734">
        <v>5362.8</v>
      </c>
      <c r="L109" s="1739">
        <v>5362.8</v>
      </c>
      <c r="M109" s="1255">
        <f>L109-K109</f>
        <v>0</v>
      </c>
      <c r="N109" s="1734">
        <v>5464.8</v>
      </c>
      <c r="O109" s="1739">
        <v>5464.8</v>
      </c>
      <c r="P109" s="1744">
        <f>O109-N109</f>
        <v>0</v>
      </c>
      <c r="Q109" s="1102"/>
      <c r="R109" s="1103"/>
      <c r="S109" s="1104"/>
      <c r="T109" s="2214"/>
      <c r="U109" s="1932"/>
    </row>
    <row r="110" spans="1:21" x14ac:dyDescent="0.2">
      <c r="A110" s="1168"/>
      <c r="B110" s="1169"/>
      <c r="C110" s="1170"/>
      <c r="D110" s="2153"/>
      <c r="E110" s="2411"/>
      <c r="F110" s="1167"/>
      <c r="G110" s="739" t="s">
        <v>99</v>
      </c>
      <c r="H110" s="1300">
        <v>30.1</v>
      </c>
      <c r="I110" s="1262">
        <v>30.1</v>
      </c>
      <c r="J110" s="1256"/>
      <c r="K110" s="1735">
        <v>30.1</v>
      </c>
      <c r="L110" s="1740">
        <v>30.1</v>
      </c>
      <c r="M110" s="1256"/>
      <c r="N110" s="1735">
        <v>30.1</v>
      </c>
      <c r="O110" s="1740">
        <v>30.1</v>
      </c>
      <c r="P110" s="1405"/>
      <c r="Q110" s="1105"/>
      <c r="R110" s="620"/>
      <c r="S110" s="1106"/>
      <c r="T110" s="2219"/>
      <c r="U110" s="1515"/>
    </row>
    <row r="111" spans="1:21" x14ac:dyDescent="0.2">
      <c r="A111" s="1168"/>
      <c r="B111" s="1169"/>
      <c r="C111" s="1170"/>
      <c r="D111" s="2154"/>
      <c r="E111" s="2412"/>
      <c r="F111" s="1189"/>
      <c r="G111" s="574" t="s">
        <v>88</v>
      </c>
      <c r="H111" s="1083">
        <v>0</v>
      </c>
      <c r="I111" s="1240">
        <v>0</v>
      </c>
      <c r="J111" s="1257">
        <f>I111-H111</f>
        <v>0</v>
      </c>
      <c r="K111" s="1736">
        <v>36.700000000000003</v>
      </c>
      <c r="L111" s="1682">
        <v>36.700000000000003</v>
      </c>
      <c r="M111" s="1257">
        <f>L111-K111</f>
        <v>0</v>
      </c>
      <c r="N111" s="1736">
        <v>36.700000000000003</v>
      </c>
      <c r="O111" s="1682">
        <v>36.700000000000003</v>
      </c>
      <c r="P111" s="1138">
        <f>O111-N111</f>
        <v>0</v>
      </c>
      <c r="Q111" s="1105"/>
      <c r="R111" s="620"/>
      <c r="S111" s="1106"/>
      <c r="T111" s="2219"/>
      <c r="U111" s="1515"/>
    </row>
    <row r="112" spans="1:21" ht="20.25" customHeight="1" x14ac:dyDescent="0.2">
      <c r="A112" s="1168"/>
      <c r="B112" s="1169"/>
      <c r="C112" s="1170"/>
      <c r="D112" s="1166" t="s">
        <v>74</v>
      </c>
      <c r="E112" s="743"/>
      <c r="F112" s="1167"/>
      <c r="G112" s="190"/>
      <c r="H112" s="1222"/>
      <c r="I112" s="1237"/>
      <c r="J112" s="683"/>
      <c r="K112" s="1628"/>
      <c r="L112" s="1237"/>
      <c r="M112" s="683"/>
      <c r="N112" s="1628"/>
      <c r="O112" s="1237"/>
      <c r="P112" s="698"/>
      <c r="Q112" s="1295"/>
      <c r="R112" s="1291"/>
      <c r="S112" s="1292"/>
      <c r="T112" s="1293"/>
      <c r="U112" s="1934"/>
    </row>
    <row r="113" spans="1:21" ht="21" customHeight="1" x14ac:dyDescent="0.2">
      <c r="A113" s="1168"/>
      <c r="B113" s="1169"/>
      <c r="C113" s="1170"/>
      <c r="D113" s="2319" t="s">
        <v>345</v>
      </c>
      <c r="E113" s="1331"/>
      <c r="F113" s="1167"/>
      <c r="G113" s="630"/>
      <c r="H113" s="1082"/>
      <c r="I113" s="1236"/>
      <c r="J113" s="1128"/>
      <c r="K113" s="1130"/>
      <c r="L113" s="1263"/>
      <c r="M113" s="1128"/>
      <c r="N113" s="1130"/>
      <c r="O113" s="1263"/>
      <c r="P113" s="681"/>
      <c r="Q113" s="992" t="s">
        <v>60</v>
      </c>
      <c r="R113" s="455">
        <v>5</v>
      </c>
      <c r="S113" s="455">
        <v>5</v>
      </c>
      <c r="T113" s="1325">
        <v>5</v>
      </c>
      <c r="U113" s="2304"/>
    </row>
    <row r="114" spans="1:21" ht="11.25" customHeight="1" x14ac:dyDescent="0.2">
      <c r="A114" s="1192"/>
      <c r="B114" s="1193"/>
      <c r="C114" s="1196"/>
      <c r="D114" s="2320"/>
      <c r="E114" s="1330"/>
      <c r="F114" s="1194"/>
      <c r="G114" s="630"/>
      <c r="H114" s="1082"/>
      <c r="I114" s="1236"/>
      <c r="J114" s="1128"/>
      <c r="K114" s="1130"/>
      <c r="L114" s="1263"/>
      <c r="M114" s="1128"/>
      <c r="N114" s="1130"/>
      <c r="O114" s="1263"/>
      <c r="P114" s="681"/>
      <c r="Q114" s="1323"/>
      <c r="R114" s="1324"/>
      <c r="S114" s="1324"/>
      <c r="T114" s="1328"/>
      <c r="U114" s="2305"/>
    </row>
    <row r="115" spans="1:21" ht="27" customHeight="1" x14ac:dyDescent="0.2">
      <c r="A115" s="1168"/>
      <c r="B115" s="1169"/>
      <c r="C115" s="1170"/>
      <c r="D115" s="1378" t="s">
        <v>117</v>
      </c>
      <c r="E115" s="207"/>
      <c r="F115" s="1167"/>
      <c r="G115" s="190"/>
      <c r="H115" s="1082"/>
      <c r="I115" s="1263"/>
      <c r="J115" s="1128"/>
      <c r="K115" s="1130"/>
      <c r="L115" s="1263"/>
      <c r="M115" s="1128"/>
      <c r="N115" s="1130"/>
      <c r="O115" s="1263"/>
      <c r="P115" s="681"/>
      <c r="Q115" s="1355" t="s">
        <v>160</v>
      </c>
      <c r="R115" s="1361">
        <v>3</v>
      </c>
      <c r="S115" s="1361">
        <v>3</v>
      </c>
      <c r="T115" s="1370">
        <v>3</v>
      </c>
      <c r="U115" s="1515"/>
    </row>
    <row r="116" spans="1:21" ht="27.75" customHeight="1" x14ac:dyDescent="0.2">
      <c r="A116" s="1168"/>
      <c r="B116" s="1169"/>
      <c r="C116" s="1170"/>
      <c r="D116" s="1375" t="s">
        <v>118</v>
      </c>
      <c r="E116" s="1182"/>
      <c r="F116" s="1167"/>
      <c r="G116" s="630"/>
      <c r="H116" s="1082"/>
      <c r="I116" s="1236"/>
      <c r="J116" s="1075"/>
      <c r="K116" s="714"/>
      <c r="L116" s="1236"/>
      <c r="M116" s="1075"/>
      <c r="N116" s="714"/>
      <c r="O116" s="1236"/>
      <c r="P116" s="679"/>
      <c r="Q116" s="157" t="s">
        <v>159</v>
      </c>
      <c r="R116" s="139">
        <v>6</v>
      </c>
      <c r="S116" s="139">
        <v>6</v>
      </c>
      <c r="T116" s="140">
        <v>6</v>
      </c>
      <c r="U116" s="1515"/>
    </row>
    <row r="117" spans="1:21" ht="66" customHeight="1" x14ac:dyDescent="0.2">
      <c r="A117" s="1337"/>
      <c r="B117" s="1338"/>
      <c r="C117" s="1339"/>
      <c r="D117" s="1398" t="s">
        <v>347</v>
      </c>
      <c r="E117" s="1341"/>
      <c r="F117" s="1340"/>
      <c r="G117" s="630"/>
      <c r="H117" s="1082"/>
      <c r="I117" s="1236"/>
      <c r="J117" s="1075"/>
      <c r="K117" s="714"/>
      <c r="L117" s="1236"/>
      <c r="M117" s="1075"/>
      <c r="N117" s="714"/>
      <c r="O117" s="1236"/>
      <c r="P117" s="679"/>
      <c r="Q117" s="1394" t="s">
        <v>335</v>
      </c>
      <c r="R117" s="106">
        <v>36</v>
      </c>
      <c r="S117" s="106">
        <v>36</v>
      </c>
      <c r="T117" s="107">
        <v>36</v>
      </c>
      <c r="U117" s="1515"/>
    </row>
    <row r="118" spans="1:21" ht="31.5" customHeight="1" x14ac:dyDescent="0.2">
      <c r="A118" s="1168"/>
      <c r="B118" s="1169"/>
      <c r="C118" s="1170"/>
      <c r="D118" s="1171" t="s">
        <v>61</v>
      </c>
      <c r="E118" s="1181"/>
      <c r="F118" s="1167"/>
      <c r="G118" s="630"/>
      <c r="H118" s="1082"/>
      <c r="I118" s="1236"/>
      <c r="J118" s="1075"/>
      <c r="K118" s="714"/>
      <c r="L118" s="1236"/>
      <c r="M118" s="1075"/>
      <c r="N118" s="714"/>
      <c r="O118" s="1236"/>
      <c r="P118" s="679"/>
      <c r="Q118" s="1201" t="s">
        <v>76</v>
      </c>
      <c r="R118" s="1210">
        <v>6.8</v>
      </c>
      <c r="S118" s="1209">
        <v>7</v>
      </c>
      <c r="T118" s="1211"/>
      <c r="U118" s="1515"/>
    </row>
    <row r="119" spans="1:21" x14ac:dyDescent="0.2">
      <c r="A119" s="1998"/>
      <c r="B119" s="1999"/>
      <c r="C119" s="2084"/>
      <c r="D119" s="2143" t="s">
        <v>177</v>
      </c>
      <c r="E119" s="2113"/>
      <c r="F119" s="2013"/>
      <c r="G119" s="630"/>
      <c r="H119" s="1082"/>
      <c r="I119" s="1236"/>
      <c r="J119" s="1075"/>
      <c r="K119" s="714"/>
      <c r="L119" s="1236"/>
      <c r="M119" s="1075"/>
      <c r="N119" s="714"/>
      <c r="O119" s="1236"/>
      <c r="P119" s="679"/>
      <c r="Q119" s="2070" t="s">
        <v>62</v>
      </c>
      <c r="R119" s="130">
        <v>3</v>
      </c>
      <c r="S119" s="130">
        <v>3</v>
      </c>
      <c r="T119" s="131"/>
      <c r="U119" s="1515"/>
    </row>
    <row r="120" spans="1:21" ht="30" customHeight="1" x14ac:dyDescent="0.2">
      <c r="A120" s="1998"/>
      <c r="B120" s="1999"/>
      <c r="C120" s="2084"/>
      <c r="D120" s="2144"/>
      <c r="E120" s="2114"/>
      <c r="F120" s="2013"/>
      <c r="G120" s="574"/>
      <c r="H120" s="1081"/>
      <c r="I120" s="1264"/>
      <c r="J120" s="744"/>
      <c r="K120" s="1129"/>
      <c r="L120" s="1264"/>
      <c r="M120" s="744"/>
      <c r="N120" s="1129"/>
      <c r="O120" s="1264"/>
      <c r="P120" s="695"/>
      <c r="Q120" s="2145"/>
      <c r="R120" s="1393"/>
      <c r="S120" s="1393"/>
      <c r="T120" s="1392"/>
      <c r="U120" s="1936"/>
    </row>
    <row r="121" spans="1:21" ht="17.25" customHeight="1" thickBot="1" x14ac:dyDescent="0.25">
      <c r="A121" s="1176"/>
      <c r="B121" s="1177"/>
      <c r="C121" s="904"/>
      <c r="D121" s="2300"/>
      <c r="E121" s="1395"/>
      <c r="F121" s="1396"/>
      <c r="G121" s="825" t="s">
        <v>9</v>
      </c>
      <c r="H121" s="814">
        <f>H109+H110+H111</f>
        <v>5063.6000000000004</v>
      </c>
      <c r="I121" s="1245">
        <f>I109+I110+I111</f>
        <v>5063.6000000000004</v>
      </c>
      <c r="J121" s="816">
        <f>J109+J110+J111</f>
        <v>0</v>
      </c>
      <c r="K121" s="814">
        <f t="shared" ref="K121:N121" si="10">K109+K110+K111</f>
        <v>5429.6</v>
      </c>
      <c r="L121" s="1245">
        <f t="shared" ref="L121" si="11">L109+L110+L111</f>
        <v>5429.6</v>
      </c>
      <c r="M121" s="816">
        <f>M109+M110+M111</f>
        <v>0</v>
      </c>
      <c r="N121" s="814">
        <f t="shared" si="10"/>
        <v>5531.6</v>
      </c>
      <c r="O121" s="1245">
        <f t="shared" ref="O121" si="12">O109+O110+O111</f>
        <v>5531.6</v>
      </c>
      <c r="P121" s="1139">
        <f>P109+P110+P111</f>
        <v>0</v>
      </c>
      <c r="Q121" s="1397"/>
      <c r="R121" s="1329"/>
      <c r="S121" s="1329"/>
      <c r="T121" s="43"/>
      <c r="U121" s="1926"/>
    </row>
    <row r="122" spans="1:21" ht="36" customHeight="1" x14ac:dyDescent="0.2">
      <c r="A122" s="1173" t="s">
        <v>8</v>
      </c>
      <c r="B122" s="1174" t="s">
        <v>10</v>
      </c>
      <c r="C122" s="1178" t="s">
        <v>10</v>
      </c>
      <c r="D122" s="2214" t="s">
        <v>320</v>
      </c>
      <c r="E122" s="2177" t="s">
        <v>68</v>
      </c>
      <c r="F122" s="2178" t="s">
        <v>63</v>
      </c>
      <c r="G122" s="13" t="s">
        <v>188</v>
      </c>
      <c r="H122" s="1084">
        <v>270</v>
      </c>
      <c r="I122" s="1791">
        <f>150+120+39.2</f>
        <v>309.2</v>
      </c>
      <c r="J122" s="1792">
        <f>I122-H122</f>
        <v>39.200000000000003</v>
      </c>
      <c r="K122" s="714"/>
      <c r="L122" s="1236"/>
      <c r="M122" s="1075"/>
      <c r="N122" s="714"/>
      <c r="O122" s="1236"/>
      <c r="P122" s="679"/>
      <c r="Q122" s="2164" t="s">
        <v>308</v>
      </c>
      <c r="R122" s="130">
        <v>10</v>
      </c>
      <c r="S122" s="130"/>
      <c r="T122" s="2322"/>
      <c r="U122" s="2353" t="s">
        <v>391</v>
      </c>
    </row>
    <row r="123" spans="1:21" ht="50.25" customHeight="1" x14ac:dyDescent="0.2">
      <c r="A123" s="1186"/>
      <c r="B123" s="1169"/>
      <c r="C123" s="1172"/>
      <c r="D123" s="2199"/>
      <c r="E123" s="2091"/>
      <c r="F123" s="2013"/>
      <c r="G123" s="142" t="s">
        <v>40</v>
      </c>
      <c r="H123" s="1092">
        <v>395.8</v>
      </c>
      <c r="I123" s="1234">
        <f>395.8</f>
        <v>395.8</v>
      </c>
      <c r="J123" s="1649">
        <f>I123-H123</f>
        <v>0</v>
      </c>
      <c r="K123" s="1737"/>
      <c r="L123" s="1741"/>
      <c r="M123" s="1439"/>
      <c r="N123" s="1737"/>
      <c r="O123" s="1741"/>
      <c r="P123" s="1745"/>
      <c r="Q123" s="2454"/>
      <c r="R123" s="1500"/>
      <c r="S123" s="1500"/>
      <c r="T123" s="2323"/>
      <c r="U123" s="2357"/>
    </row>
    <row r="124" spans="1:21" ht="29.25" customHeight="1" x14ac:dyDescent="0.2">
      <c r="A124" s="1186"/>
      <c r="B124" s="1169"/>
      <c r="C124" s="1172"/>
      <c r="D124" s="2199"/>
      <c r="E124" s="2091"/>
      <c r="F124" s="2013"/>
      <c r="G124" s="224" t="s">
        <v>99</v>
      </c>
      <c r="H124" s="1081">
        <v>116.2</v>
      </c>
      <c r="I124" s="1954">
        <v>116.2</v>
      </c>
      <c r="J124" s="1131"/>
      <c r="K124" s="715"/>
      <c r="L124" s="1478"/>
      <c r="M124" s="1131"/>
      <c r="N124" s="715"/>
      <c r="O124" s="1478"/>
      <c r="P124" s="686"/>
      <c r="Q124" s="2454"/>
      <c r="R124" s="1500"/>
      <c r="S124" s="1500"/>
      <c r="T124" s="2323"/>
      <c r="U124" s="2357"/>
    </row>
    <row r="125" spans="1:21" ht="51" customHeight="1" thickBot="1" x14ac:dyDescent="0.25">
      <c r="A125" s="1186"/>
      <c r="B125" s="1169"/>
      <c r="C125" s="1180"/>
      <c r="D125" s="2220"/>
      <c r="E125" s="583"/>
      <c r="F125" s="1179"/>
      <c r="G125" s="81" t="s">
        <v>9</v>
      </c>
      <c r="H125" s="759">
        <f>SUM(H122:H124)</f>
        <v>782</v>
      </c>
      <c r="I125" s="1238">
        <f t="shared" ref="I125:J125" si="13">SUM(I122:I124)</f>
        <v>821.2</v>
      </c>
      <c r="J125" s="1738">
        <f t="shared" si="13"/>
        <v>39.200000000000003</v>
      </c>
      <c r="K125" s="814"/>
      <c r="L125" s="1245"/>
      <c r="M125" s="1738"/>
      <c r="N125" s="814"/>
      <c r="O125" s="1245"/>
      <c r="P125" s="747"/>
      <c r="Q125" s="2455"/>
      <c r="R125" s="542"/>
      <c r="S125" s="542"/>
      <c r="T125" s="163"/>
      <c r="U125" s="2358"/>
    </row>
    <row r="126" spans="1:21" ht="15.75" customHeight="1" x14ac:dyDescent="0.2">
      <c r="A126" s="1173" t="s">
        <v>8</v>
      </c>
      <c r="B126" s="1174" t="s">
        <v>10</v>
      </c>
      <c r="C126" s="1178" t="s">
        <v>43</v>
      </c>
      <c r="D126" s="2175" t="s">
        <v>328</v>
      </c>
      <c r="E126" s="2177" t="s">
        <v>68</v>
      </c>
      <c r="F126" s="2178" t="s">
        <v>63</v>
      </c>
      <c r="G126" s="13" t="s">
        <v>64</v>
      </c>
      <c r="H126" s="1084"/>
      <c r="I126" s="1248"/>
      <c r="J126" s="1258"/>
      <c r="K126" s="1294">
        <v>4264</v>
      </c>
      <c r="L126" s="1742">
        <v>4264</v>
      </c>
      <c r="M126" s="1639"/>
      <c r="N126" s="1294"/>
      <c r="O126" s="1742"/>
      <c r="P126" s="1258"/>
      <c r="Q126" s="1498" t="s">
        <v>324</v>
      </c>
      <c r="R126" s="130"/>
      <c r="S126" s="130">
        <v>20</v>
      </c>
      <c r="T126" s="2322"/>
      <c r="U126" s="1515"/>
    </row>
    <row r="127" spans="1:21" ht="16.5" customHeight="1" x14ac:dyDescent="0.2">
      <c r="A127" s="1186"/>
      <c r="B127" s="1169"/>
      <c r="C127" s="1172"/>
      <c r="D127" s="2144"/>
      <c r="E127" s="2091"/>
      <c r="F127" s="2013"/>
      <c r="G127" s="142" t="s">
        <v>65</v>
      </c>
      <c r="H127" s="1092"/>
      <c r="I127" s="1234"/>
      <c r="J127" s="1259"/>
      <c r="K127" s="1129">
        <v>752.5</v>
      </c>
      <c r="L127" s="1264">
        <v>752.5</v>
      </c>
      <c r="M127" s="1743"/>
      <c r="N127" s="1129"/>
      <c r="O127" s="1264"/>
      <c r="P127" s="1259"/>
      <c r="Q127" s="1505"/>
      <c r="R127" s="1500"/>
      <c r="S127" s="1500"/>
      <c r="T127" s="2323"/>
      <c r="U127" s="1515"/>
    </row>
    <row r="128" spans="1:21" ht="15" customHeight="1" thickBot="1" x14ac:dyDescent="0.25">
      <c r="A128" s="1186"/>
      <c r="B128" s="1169"/>
      <c r="C128" s="1180"/>
      <c r="D128" s="2176"/>
      <c r="E128" s="583"/>
      <c r="F128" s="1179"/>
      <c r="G128" s="81" t="s">
        <v>9</v>
      </c>
      <c r="H128" s="759">
        <f>SUM(H126:H127)</f>
        <v>0</v>
      </c>
      <c r="I128" s="1238">
        <f>SUM(I126:I127)</f>
        <v>0</v>
      </c>
      <c r="J128" s="1139">
        <f>SUM(J126:J127)</f>
        <v>0</v>
      </c>
      <c r="K128" s="814">
        <f>K126+K127</f>
        <v>5016.5</v>
      </c>
      <c r="L128" s="1245">
        <f>L126+L127</f>
        <v>5016.5</v>
      </c>
      <c r="M128" s="816">
        <f>SUM(M126:M127)</f>
        <v>0</v>
      </c>
      <c r="N128" s="814">
        <f>N126+N127</f>
        <v>0</v>
      </c>
      <c r="O128" s="1245">
        <f>O126+O127</f>
        <v>0</v>
      </c>
      <c r="P128" s="1139">
        <f>SUM(P126:P127)</f>
        <v>0</v>
      </c>
      <c r="Q128" s="1516"/>
      <c r="R128" s="1509"/>
      <c r="S128" s="1509"/>
      <c r="T128" s="1517"/>
      <c r="U128" s="1933"/>
    </row>
    <row r="129" spans="1:21" ht="13.5" thickBot="1" x14ac:dyDescent="0.25">
      <c r="A129" s="93" t="s">
        <v>8</v>
      </c>
      <c r="B129" s="9" t="s">
        <v>10</v>
      </c>
      <c r="C129" s="2147" t="s">
        <v>11</v>
      </c>
      <c r="D129" s="2147"/>
      <c r="E129" s="2147"/>
      <c r="F129" s="2147"/>
      <c r="G129" s="2148"/>
      <c r="H129" s="766">
        <f>H121+H125+H128</f>
        <v>5845.6</v>
      </c>
      <c r="I129" s="1265">
        <f t="shared" ref="I129:K129" si="14">I121+I125+I128</f>
        <v>5884.8</v>
      </c>
      <c r="J129" s="1260">
        <f t="shared" si="14"/>
        <v>39.200000000000003</v>
      </c>
      <c r="K129" s="766">
        <f t="shared" si="14"/>
        <v>10446.1</v>
      </c>
      <c r="L129" s="1265">
        <f>L121+L125+L128</f>
        <v>10446.1</v>
      </c>
      <c r="M129" s="735">
        <f t="shared" ref="M129" si="15">M121+M125+M128</f>
        <v>0</v>
      </c>
      <c r="N129" s="766">
        <f>N121+N125+N128</f>
        <v>5531.6</v>
      </c>
      <c r="O129" s="1265">
        <f t="shared" ref="O129:P129" si="16">O121+O125+O128</f>
        <v>5531.6</v>
      </c>
      <c r="P129" s="1260">
        <f t="shared" si="16"/>
        <v>0</v>
      </c>
      <c r="Q129" s="2166"/>
      <c r="R129" s="2166"/>
      <c r="S129" s="2166"/>
      <c r="T129" s="2167"/>
      <c r="U129" s="1937"/>
    </row>
    <row r="130" spans="1:21" ht="13.5" thickBot="1" x14ac:dyDescent="0.25">
      <c r="A130" s="92" t="s">
        <v>8</v>
      </c>
      <c r="B130" s="9" t="s">
        <v>43</v>
      </c>
      <c r="C130" s="2168" t="s">
        <v>254</v>
      </c>
      <c r="D130" s="2169"/>
      <c r="E130" s="2169"/>
      <c r="F130" s="2169"/>
      <c r="G130" s="2169"/>
      <c r="H130" s="2169"/>
      <c r="I130" s="2169"/>
      <c r="J130" s="2169"/>
      <c r="K130" s="2169"/>
      <c r="L130" s="2169"/>
      <c r="M130" s="2169"/>
      <c r="N130" s="2169"/>
      <c r="O130" s="2169"/>
      <c r="P130" s="2169"/>
      <c r="Q130" s="2169"/>
      <c r="R130" s="2169"/>
      <c r="S130" s="2169"/>
      <c r="T130" s="2170"/>
      <c r="U130" s="1935"/>
    </row>
    <row r="131" spans="1:21" ht="15.75" customHeight="1" x14ac:dyDescent="0.2">
      <c r="A131" s="1357" t="s">
        <v>8</v>
      </c>
      <c r="B131" s="1358" t="s">
        <v>43</v>
      </c>
      <c r="C131" s="1359" t="s">
        <v>8</v>
      </c>
      <c r="D131" s="2152" t="s">
        <v>228</v>
      </c>
      <c r="E131" s="551" t="s">
        <v>111</v>
      </c>
      <c r="F131" s="1363" t="s">
        <v>53</v>
      </c>
      <c r="G131" s="749" t="s">
        <v>40</v>
      </c>
      <c r="H131" s="1084">
        <v>211.5</v>
      </c>
      <c r="I131" s="1946">
        <f>211.5-30</f>
        <v>181.5</v>
      </c>
      <c r="J131" s="1961">
        <f>I131-H131</f>
        <v>-30</v>
      </c>
      <c r="K131" s="1623">
        <v>61</v>
      </c>
      <c r="L131" s="1947">
        <f>61+30</f>
        <v>91</v>
      </c>
      <c r="M131" s="1948">
        <f>L131-K131</f>
        <v>30</v>
      </c>
      <c r="N131" s="750">
        <v>3</v>
      </c>
      <c r="O131" s="1747">
        <v>3</v>
      </c>
      <c r="P131" s="1751"/>
      <c r="Q131" s="2171"/>
      <c r="R131" s="2173"/>
      <c r="S131" s="2173"/>
      <c r="T131" s="2447"/>
      <c r="U131" s="2445"/>
    </row>
    <row r="132" spans="1:21" ht="15" customHeight="1" x14ac:dyDescent="0.2">
      <c r="A132" s="1342"/>
      <c r="B132" s="1343"/>
      <c r="C132" s="1349"/>
      <c r="D132" s="2189"/>
      <c r="E132" s="1368"/>
      <c r="F132" s="1344"/>
      <c r="G132" s="154" t="s">
        <v>188</v>
      </c>
      <c r="H132" s="1092">
        <v>290</v>
      </c>
      <c r="I132" s="1234">
        <f>315-25</f>
        <v>290</v>
      </c>
      <c r="J132" s="1266"/>
      <c r="K132" s="1746">
        <v>305</v>
      </c>
      <c r="L132" s="1748">
        <v>305</v>
      </c>
      <c r="M132" s="1749"/>
      <c r="N132" s="1752">
        <v>305</v>
      </c>
      <c r="O132" s="1748">
        <v>305</v>
      </c>
      <c r="P132" s="1753"/>
      <c r="Q132" s="2145"/>
      <c r="R132" s="2174"/>
      <c r="S132" s="2174"/>
      <c r="T132" s="2448"/>
      <c r="U132" s="2389"/>
    </row>
    <row r="133" spans="1:21" ht="15.75" customHeight="1" x14ac:dyDescent="0.2">
      <c r="A133" s="1342"/>
      <c r="B133" s="1343"/>
      <c r="C133" s="1349"/>
      <c r="D133" s="2189"/>
      <c r="E133" s="1368"/>
      <c r="F133" s="1344"/>
      <c r="G133" s="154" t="s">
        <v>99</v>
      </c>
      <c r="H133" s="1092">
        <v>791.6</v>
      </c>
      <c r="I133" s="1234">
        <f>791.6</f>
        <v>791.6</v>
      </c>
      <c r="J133" s="1997"/>
      <c r="K133" s="1746">
        <v>744.1</v>
      </c>
      <c r="L133" s="1748">
        <v>744.1</v>
      </c>
      <c r="M133" s="1750"/>
      <c r="N133" s="1752">
        <v>627.1</v>
      </c>
      <c r="O133" s="1748">
        <v>627.1</v>
      </c>
      <c r="P133" s="1754"/>
      <c r="Q133" s="2145"/>
      <c r="R133" s="1500"/>
      <c r="S133" s="1500"/>
      <c r="T133" s="2065"/>
      <c r="U133" s="2389"/>
    </row>
    <row r="134" spans="1:21" ht="15.75" customHeight="1" x14ac:dyDescent="0.2">
      <c r="A134" s="1351"/>
      <c r="B134" s="1352"/>
      <c r="C134" s="1353"/>
      <c r="D134" s="2154"/>
      <c r="E134" s="1369"/>
      <c r="F134" s="552"/>
      <c r="G134" s="119" t="s">
        <v>107</v>
      </c>
      <c r="H134" s="1081">
        <v>112</v>
      </c>
      <c r="I134" s="536">
        <v>112</v>
      </c>
      <c r="J134" s="1267"/>
      <c r="K134" s="752">
        <v>0</v>
      </c>
      <c r="L134" s="1282">
        <v>0</v>
      </c>
      <c r="M134" s="1124"/>
      <c r="N134" s="753">
        <v>0</v>
      </c>
      <c r="O134" s="1282">
        <v>0</v>
      </c>
      <c r="P134" s="1755"/>
      <c r="Q134" s="2172"/>
      <c r="R134" s="106"/>
      <c r="S134" s="106"/>
      <c r="T134" s="2227"/>
      <c r="U134" s="2453"/>
    </row>
    <row r="135" spans="1:21" ht="35.25" customHeight="1" x14ac:dyDescent="0.2">
      <c r="A135" s="1342"/>
      <c r="B135" s="1343"/>
      <c r="C135" s="1349"/>
      <c r="D135" s="1347" t="s">
        <v>222</v>
      </c>
      <c r="E135" s="2350" t="s">
        <v>109</v>
      </c>
      <c r="F135" s="1345"/>
      <c r="G135" s="1212"/>
      <c r="H135" s="1301"/>
      <c r="I135" s="1263"/>
      <c r="J135" s="681"/>
      <c r="K135" s="1130"/>
      <c r="L135" s="1263"/>
      <c r="M135" s="1128"/>
      <c r="N135" s="1663"/>
      <c r="O135" s="1263"/>
      <c r="P135" s="1680"/>
      <c r="Q135" s="149" t="s">
        <v>267</v>
      </c>
      <c r="R135" s="1518" t="s">
        <v>213</v>
      </c>
      <c r="S135" s="1518" t="s">
        <v>213</v>
      </c>
      <c r="T135" s="1519" t="s">
        <v>213</v>
      </c>
      <c r="U135" s="2452" t="s">
        <v>413</v>
      </c>
    </row>
    <row r="136" spans="1:21" ht="29.25" customHeight="1" x14ac:dyDescent="0.2">
      <c r="A136" s="1342"/>
      <c r="B136" s="1343"/>
      <c r="C136" s="1349"/>
      <c r="D136" s="1347"/>
      <c r="E136" s="2351"/>
      <c r="F136" s="1345"/>
      <c r="G136" s="206"/>
      <c r="H136" s="1082"/>
      <c r="I136" s="1263"/>
      <c r="J136" s="681"/>
      <c r="K136" s="1130"/>
      <c r="L136" s="1263"/>
      <c r="M136" s="1128"/>
      <c r="N136" s="1663"/>
      <c r="O136" s="1263"/>
      <c r="P136" s="1680"/>
      <c r="Q136" s="1520" t="s">
        <v>119</v>
      </c>
      <c r="R136" s="1521">
        <v>1</v>
      </c>
      <c r="S136" s="1521">
        <v>1</v>
      </c>
      <c r="T136" s="1522">
        <v>1</v>
      </c>
      <c r="U136" s="2371"/>
    </row>
    <row r="137" spans="1:21" ht="29.25" customHeight="1" x14ac:dyDescent="0.2">
      <c r="A137" s="1342"/>
      <c r="B137" s="1343"/>
      <c r="C137" s="1349"/>
      <c r="D137" s="1347"/>
      <c r="E137" s="754"/>
      <c r="F137" s="1345"/>
      <c r="G137" s="206"/>
      <c r="H137" s="1082"/>
      <c r="I137" s="1270"/>
      <c r="J137" s="1268"/>
      <c r="K137" s="1629"/>
      <c r="L137" s="1270"/>
      <c r="M137" s="1134"/>
      <c r="N137" s="1756"/>
      <c r="O137" s="1270"/>
      <c r="P137" s="1757"/>
      <c r="Q137" s="1520" t="s">
        <v>247</v>
      </c>
      <c r="R137" s="1523">
        <v>50</v>
      </c>
      <c r="S137" s="1523">
        <v>100</v>
      </c>
      <c r="T137" s="1117"/>
      <c r="U137" s="2371"/>
    </row>
    <row r="138" spans="1:21" ht="16.5" customHeight="1" x14ac:dyDescent="0.2">
      <c r="A138" s="1342"/>
      <c r="B138" s="1343"/>
      <c r="C138" s="1349"/>
      <c r="D138" s="1347"/>
      <c r="E138" s="754"/>
      <c r="F138" s="1345"/>
      <c r="G138" s="206"/>
      <c r="H138" s="1082"/>
      <c r="I138" s="1236"/>
      <c r="J138" s="679"/>
      <c r="K138" s="714"/>
      <c r="L138" s="1236"/>
      <c r="M138" s="1075"/>
      <c r="N138" s="1670"/>
      <c r="O138" s="1236"/>
      <c r="P138" s="1664"/>
      <c r="Q138" s="231" t="s">
        <v>54</v>
      </c>
      <c r="R138" s="1524">
        <v>69</v>
      </c>
      <c r="S138" s="1524">
        <v>69</v>
      </c>
      <c r="T138" s="1525">
        <v>69</v>
      </c>
      <c r="U138" s="2371"/>
    </row>
    <row r="139" spans="1:21" ht="29.25" customHeight="1" x14ac:dyDescent="0.2">
      <c r="A139" s="1342"/>
      <c r="B139" s="1343"/>
      <c r="C139" s="1349"/>
      <c r="D139" s="1348"/>
      <c r="E139" s="754"/>
      <c r="F139" s="1345"/>
      <c r="G139" s="206"/>
      <c r="H139" s="1082"/>
      <c r="I139" s="1263"/>
      <c r="J139" s="681"/>
      <c r="K139" s="1130"/>
      <c r="L139" s="1263"/>
      <c r="M139" s="1128"/>
      <c r="N139" s="1663"/>
      <c r="O139" s="1263"/>
      <c r="P139" s="1680"/>
      <c r="Q139" s="1526" t="s">
        <v>329</v>
      </c>
      <c r="R139" s="1527">
        <v>1</v>
      </c>
      <c r="S139" s="1528"/>
      <c r="T139" s="1529"/>
      <c r="U139" s="2371"/>
    </row>
    <row r="140" spans="1:21" ht="13.5" customHeight="1" x14ac:dyDescent="0.2">
      <c r="A140" s="1342"/>
      <c r="B140" s="1343"/>
      <c r="C140" s="1349"/>
      <c r="D140" s="1376" t="s">
        <v>94</v>
      </c>
      <c r="E140" s="754"/>
      <c r="F140" s="1345"/>
      <c r="G140" s="206"/>
      <c r="H140" s="1082"/>
      <c r="I140" s="1263"/>
      <c r="J140" s="681"/>
      <c r="K140" s="1130"/>
      <c r="L140" s="1263"/>
      <c r="M140" s="1128"/>
      <c r="N140" s="1663"/>
      <c r="O140" s="1263"/>
      <c r="P140" s="1680"/>
      <c r="Q140" s="646" t="s">
        <v>125</v>
      </c>
      <c r="R140" s="1530" t="s">
        <v>214</v>
      </c>
      <c r="S140" s="1530" t="s">
        <v>214</v>
      </c>
      <c r="T140" s="1531" t="s">
        <v>214</v>
      </c>
      <c r="U140" s="2371"/>
    </row>
    <row r="141" spans="1:21" ht="41.25" customHeight="1" x14ac:dyDescent="0.2">
      <c r="A141" s="1342"/>
      <c r="B141" s="1343"/>
      <c r="C141" s="1349"/>
      <c r="D141" s="1372" t="s">
        <v>281</v>
      </c>
      <c r="E141" s="1356"/>
      <c r="F141" s="1345"/>
      <c r="G141" s="206"/>
      <c r="H141" s="1082"/>
      <c r="I141" s="1236"/>
      <c r="J141" s="679"/>
      <c r="K141" s="714"/>
      <c r="L141" s="1236"/>
      <c r="M141" s="1075"/>
      <c r="N141" s="1670"/>
      <c r="O141" s="1236"/>
      <c r="P141" s="1664"/>
      <c r="Q141" s="105" t="s">
        <v>309</v>
      </c>
      <c r="R141" s="223" t="s">
        <v>245</v>
      </c>
      <c r="S141" s="223"/>
      <c r="T141" s="1224"/>
      <c r="U141" s="2371"/>
    </row>
    <row r="142" spans="1:21" ht="21" customHeight="1" x14ac:dyDescent="0.2">
      <c r="A142" s="1342"/>
      <c r="B142" s="1343"/>
      <c r="C142" s="1349"/>
      <c r="D142" s="2022" t="s">
        <v>282</v>
      </c>
      <c r="E142" s="1356"/>
      <c r="F142" s="1345"/>
      <c r="G142" s="206"/>
      <c r="H142" s="1082"/>
      <c r="I142" s="1236"/>
      <c r="J142" s="679"/>
      <c r="K142" s="714"/>
      <c r="L142" s="1236"/>
      <c r="M142" s="1075"/>
      <c r="N142" s="1670"/>
      <c r="O142" s="1236"/>
      <c r="P142" s="1664"/>
      <c r="Q142" s="2164" t="s">
        <v>268</v>
      </c>
      <c r="R142" s="2257" t="s">
        <v>246</v>
      </c>
      <c r="S142" s="2257" t="s">
        <v>229</v>
      </c>
      <c r="T142" s="2325" t="s">
        <v>229</v>
      </c>
      <c r="U142" s="1515"/>
    </row>
    <row r="143" spans="1:21" ht="33.75" customHeight="1" x14ac:dyDescent="0.2">
      <c r="A143" s="1342"/>
      <c r="B143" s="1343"/>
      <c r="C143" s="1349"/>
      <c r="D143" s="2016"/>
      <c r="E143" s="1356"/>
      <c r="F143" s="1345"/>
      <c r="G143" s="206"/>
      <c r="H143" s="1082"/>
      <c r="I143" s="1236"/>
      <c r="J143" s="679"/>
      <c r="K143" s="714"/>
      <c r="L143" s="1236"/>
      <c r="M143" s="1075"/>
      <c r="N143" s="1670"/>
      <c r="O143" s="1236"/>
      <c r="P143" s="1664"/>
      <c r="Q143" s="2165"/>
      <c r="R143" s="2324"/>
      <c r="S143" s="2324"/>
      <c r="T143" s="2326"/>
      <c r="U143" s="1515"/>
    </row>
    <row r="144" spans="1:21" ht="45.75" customHeight="1" x14ac:dyDescent="0.2">
      <c r="A144" s="1342"/>
      <c r="B144" s="1343"/>
      <c r="C144" s="1349"/>
      <c r="D144" s="2016"/>
      <c r="E144" s="1356"/>
      <c r="F144" s="1350"/>
      <c r="G144" s="206"/>
      <c r="H144" s="1222"/>
      <c r="I144" s="1236"/>
      <c r="J144" s="679"/>
      <c r="K144" s="714"/>
      <c r="L144" s="1236"/>
      <c r="M144" s="1075"/>
      <c r="N144" s="1670"/>
      <c r="O144" s="1236"/>
      <c r="P144" s="1664"/>
      <c r="Q144" s="105" t="s">
        <v>269</v>
      </c>
      <c r="R144" s="223" t="s">
        <v>240</v>
      </c>
      <c r="S144" s="223"/>
      <c r="T144" s="1224"/>
      <c r="U144" s="1515"/>
    </row>
    <row r="145" spans="1:21" ht="28.5" customHeight="1" x14ac:dyDescent="0.2">
      <c r="A145" s="1342"/>
      <c r="B145" s="1343"/>
      <c r="C145" s="1349"/>
      <c r="D145" s="1362" t="s">
        <v>277</v>
      </c>
      <c r="E145" s="2179" t="s">
        <v>349</v>
      </c>
      <c r="F145" s="1350"/>
      <c r="G145" s="206"/>
      <c r="H145" s="1222"/>
      <c r="I145" s="1236"/>
      <c r="J145" s="679"/>
      <c r="K145" s="714"/>
      <c r="L145" s="1236"/>
      <c r="M145" s="1075"/>
      <c r="N145" s="1670"/>
      <c r="O145" s="1236"/>
      <c r="P145" s="1664"/>
      <c r="Q145" s="1532" t="s">
        <v>270</v>
      </c>
      <c r="R145" s="1507">
        <v>1</v>
      </c>
      <c r="S145" s="1506"/>
      <c r="T145" s="1225"/>
      <c r="U145" s="1515"/>
    </row>
    <row r="146" spans="1:21" ht="41.25" customHeight="1" x14ac:dyDescent="0.2">
      <c r="A146" s="1342"/>
      <c r="B146" s="1343"/>
      <c r="C146" s="1349"/>
      <c r="D146" s="1364"/>
      <c r="E146" s="2428"/>
      <c r="F146" s="1350"/>
      <c r="G146" s="206"/>
      <c r="H146" s="1222"/>
      <c r="I146" s="1236"/>
      <c r="J146" s="679"/>
      <c r="K146" s="714"/>
      <c r="L146" s="1236"/>
      <c r="M146" s="1075"/>
      <c r="N146" s="1670"/>
      <c r="O146" s="1236"/>
      <c r="P146" s="1664"/>
      <c r="Q146" s="1533" t="s">
        <v>310</v>
      </c>
      <c r="R146" s="657">
        <v>100</v>
      </c>
      <c r="S146" s="626"/>
      <c r="T146" s="1226"/>
      <c r="U146" s="1515"/>
    </row>
    <row r="147" spans="1:21" ht="42.75" customHeight="1" x14ac:dyDescent="0.2">
      <c r="A147" s="1998"/>
      <c r="B147" s="1999"/>
      <c r="C147" s="2084"/>
      <c r="D147" s="1373"/>
      <c r="E147" s="1356"/>
      <c r="F147" s="1350"/>
      <c r="G147" s="1212"/>
      <c r="H147" s="1301"/>
      <c r="I147" s="1072"/>
      <c r="J147" s="704"/>
      <c r="K147" s="1082"/>
      <c r="L147" s="1072"/>
      <c r="M147" s="1133"/>
      <c r="N147" s="1218"/>
      <c r="O147" s="1072"/>
      <c r="P147" s="1689"/>
      <c r="Q147" s="167" t="s">
        <v>271</v>
      </c>
      <c r="R147" s="658">
        <v>100</v>
      </c>
      <c r="S147" s="655"/>
      <c r="T147" s="1227"/>
      <c r="U147" s="1515"/>
    </row>
    <row r="148" spans="1:21" ht="18.75" customHeight="1" x14ac:dyDescent="0.2">
      <c r="A148" s="1998"/>
      <c r="B148" s="1999"/>
      <c r="C148" s="2084"/>
      <c r="D148" s="2190" t="s">
        <v>223</v>
      </c>
      <c r="E148" s="754"/>
      <c r="F148" s="1350"/>
      <c r="G148" s="206"/>
      <c r="H148" s="1222"/>
      <c r="I148" s="1263"/>
      <c r="J148" s="681"/>
      <c r="K148" s="1130"/>
      <c r="L148" s="1263"/>
      <c r="M148" s="1128"/>
      <c r="N148" s="1663"/>
      <c r="O148" s="1263"/>
      <c r="P148" s="1680"/>
      <c r="Q148" s="1497" t="s">
        <v>302</v>
      </c>
      <c r="R148" s="1506">
        <v>165</v>
      </c>
      <c r="S148" s="1506">
        <v>170</v>
      </c>
      <c r="T148" s="1225">
        <v>175</v>
      </c>
      <c r="U148" s="1515"/>
    </row>
    <row r="149" spans="1:21" ht="43.5" customHeight="1" x14ac:dyDescent="0.2">
      <c r="A149" s="1998"/>
      <c r="B149" s="1999"/>
      <c r="C149" s="2084"/>
      <c r="D149" s="2153"/>
      <c r="E149" s="754"/>
      <c r="F149" s="1350"/>
      <c r="G149" s="206"/>
      <c r="H149" s="1222"/>
      <c r="I149" s="1263"/>
      <c r="J149" s="681"/>
      <c r="K149" s="1130"/>
      <c r="L149" s="1263"/>
      <c r="M149" s="1128"/>
      <c r="N149" s="1663"/>
      <c r="O149" s="1263"/>
      <c r="P149" s="1680"/>
      <c r="Q149" s="157" t="s">
        <v>290</v>
      </c>
      <c r="R149" s="615" t="s">
        <v>231</v>
      </c>
      <c r="S149" s="615" t="s">
        <v>230</v>
      </c>
      <c r="T149" s="1228" t="s">
        <v>232</v>
      </c>
      <c r="U149" s="1515"/>
    </row>
    <row r="150" spans="1:21" ht="39" customHeight="1" x14ac:dyDescent="0.2">
      <c r="A150" s="1998"/>
      <c r="B150" s="1999"/>
      <c r="C150" s="2084"/>
      <c r="D150" s="757"/>
      <c r="E150" s="754"/>
      <c r="F150" s="1350"/>
      <c r="G150" s="206"/>
      <c r="H150" s="1222"/>
      <c r="I150" s="1236"/>
      <c r="J150" s="681"/>
      <c r="K150" s="1130"/>
      <c r="L150" s="1263"/>
      <c r="M150" s="1128"/>
      <c r="N150" s="1663"/>
      <c r="O150" s="1263"/>
      <c r="P150" s="1680"/>
      <c r="Q150" s="157" t="s">
        <v>291</v>
      </c>
      <c r="R150" s="1962" t="s">
        <v>233</v>
      </c>
      <c r="S150" s="1963" t="s">
        <v>388</v>
      </c>
      <c r="T150" s="1229"/>
      <c r="U150" s="2359"/>
    </row>
    <row r="151" spans="1:21" ht="44.25" customHeight="1" x14ac:dyDescent="0.2">
      <c r="A151" s="1346"/>
      <c r="B151" s="1343"/>
      <c r="C151" s="819"/>
      <c r="D151" s="1374"/>
      <c r="E151" s="1365"/>
      <c r="F151" s="1345"/>
      <c r="G151" s="1212"/>
      <c r="H151" s="1301"/>
      <c r="I151" s="1072"/>
      <c r="J151" s="704"/>
      <c r="K151" s="1082"/>
      <c r="L151" s="1072"/>
      <c r="M151" s="1133"/>
      <c r="N151" s="1218"/>
      <c r="O151" s="1072"/>
      <c r="P151" s="1689"/>
      <c r="Q151" s="1534" t="s">
        <v>319</v>
      </c>
      <c r="R151" s="222" t="s">
        <v>79</v>
      </c>
      <c r="S151" s="222"/>
      <c r="T151" s="1121"/>
      <c r="U151" s="2389"/>
    </row>
    <row r="152" spans="1:21" ht="28.5" customHeight="1" x14ac:dyDescent="0.2">
      <c r="A152" s="1346"/>
      <c r="B152" s="1343"/>
      <c r="C152" s="819"/>
      <c r="D152" s="1354" t="s">
        <v>278</v>
      </c>
      <c r="E152" s="1365"/>
      <c r="F152" s="1366"/>
      <c r="G152" s="1212"/>
      <c r="H152" s="1301"/>
      <c r="I152" s="1072"/>
      <c r="J152" s="1133"/>
      <c r="K152" s="1082"/>
      <c r="L152" s="1072"/>
      <c r="M152" s="1133"/>
      <c r="N152" s="1218"/>
      <c r="O152" s="1072"/>
      <c r="P152" s="1689"/>
      <c r="Q152" s="1535" t="s">
        <v>330</v>
      </c>
      <c r="R152" s="1536">
        <v>16</v>
      </c>
      <c r="S152" s="1536">
        <v>5</v>
      </c>
      <c r="T152" s="1537">
        <v>5</v>
      </c>
      <c r="U152" s="2389"/>
    </row>
    <row r="153" spans="1:21" ht="28.5" customHeight="1" x14ac:dyDescent="0.2">
      <c r="A153" s="1346"/>
      <c r="B153" s="1343"/>
      <c r="C153" s="819"/>
      <c r="D153" s="2203" t="s">
        <v>317</v>
      </c>
      <c r="E153" s="1365"/>
      <c r="F153" s="1366"/>
      <c r="G153" s="1212"/>
      <c r="H153" s="1301"/>
      <c r="I153" s="1072"/>
      <c r="J153" s="1133"/>
      <c r="K153" s="1082"/>
      <c r="L153" s="1072"/>
      <c r="M153" s="1133"/>
      <c r="N153" s="1218"/>
      <c r="O153" s="1072"/>
      <c r="P153" s="1689"/>
      <c r="Q153" s="1143" t="s">
        <v>327</v>
      </c>
      <c r="R153" s="1144">
        <v>9</v>
      </c>
      <c r="S153" s="1145">
        <v>4</v>
      </c>
      <c r="T153" s="1213">
        <v>4</v>
      </c>
      <c r="U153" s="2389"/>
    </row>
    <row r="154" spans="1:21" ht="27.75" customHeight="1" x14ac:dyDescent="0.2">
      <c r="A154" s="1346"/>
      <c r="B154" s="1343"/>
      <c r="C154" s="819"/>
      <c r="D154" s="2292"/>
      <c r="E154" s="1365"/>
      <c r="F154" s="1366"/>
      <c r="G154" s="206"/>
      <c r="H154" s="1082"/>
      <c r="I154" s="536"/>
      <c r="J154" s="896"/>
      <c r="K154" s="1081"/>
      <c r="L154" s="536"/>
      <c r="M154" s="896"/>
      <c r="N154" s="1679"/>
      <c r="O154" s="536"/>
      <c r="P154" s="1458"/>
      <c r="Q154" s="1146" t="s">
        <v>318</v>
      </c>
      <c r="R154" s="1147"/>
      <c r="S154" s="1148">
        <v>1</v>
      </c>
      <c r="T154" s="1117"/>
      <c r="U154" s="1515"/>
    </row>
    <row r="155" spans="1:21" ht="16.5" customHeight="1" thickBot="1" x14ac:dyDescent="0.25">
      <c r="A155" s="305"/>
      <c r="B155" s="1367"/>
      <c r="C155" s="639"/>
      <c r="D155" s="1048"/>
      <c r="E155" s="828"/>
      <c r="F155" s="764"/>
      <c r="G155" s="81" t="s">
        <v>9</v>
      </c>
      <c r="H155" s="759">
        <f>SUM(H131:H151)</f>
        <v>1405.1</v>
      </c>
      <c r="I155" s="1245">
        <f>SUM(I131:I152)</f>
        <v>1375.1</v>
      </c>
      <c r="J155" s="816">
        <f>SUM(J131:J152)</f>
        <v>-30</v>
      </c>
      <c r="K155" s="814">
        <f t="shared" ref="K155:N155" si="17">SUM(K131:K152)</f>
        <v>1110.0999999999999</v>
      </c>
      <c r="L155" s="1245">
        <f t="shared" ref="L155" si="18">SUM(L131:L152)</f>
        <v>1140.0999999999999</v>
      </c>
      <c r="M155" s="816">
        <f>SUM(M131:M152)</f>
        <v>30</v>
      </c>
      <c r="N155" s="1701">
        <f t="shared" si="17"/>
        <v>935.1</v>
      </c>
      <c r="O155" s="1245">
        <f t="shared" ref="O155" si="19">SUM(O131:O152)</f>
        <v>935.1</v>
      </c>
      <c r="P155" s="1461">
        <f>SUM(P131:P152)</f>
        <v>0</v>
      </c>
      <c r="Q155" s="1502"/>
      <c r="R155" s="642"/>
      <c r="S155" s="642"/>
      <c r="T155" s="1230"/>
      <c r="U155" s="1515"/>
    </row>
    <row r="156" spans="1:21" ht="27.75" customHeight="1" x14ac:dyDescent="0.2">
      <c r="A156" s="1998" t="s">
        <v>8</v>
      </c>
      <c r="B156" s="1999" t="s">
        <v>43</v>
      </c>
      <c r="C156" s="2084" t="s">
        <v>10</v>
      </c>
      <c r="D156" s="2199" t="s">
        <v>284</v>
      </c>
      <c r="E156" s="2200"/>
      <c r="F156" s="2201"/>
      <c r="G156" s="13" t="s">
        <v>99</v>
      </c>
      <c r="H156" s="1222">
        <v>31.9</v>
      </c>
      <c r="I156" s="1250">
        <f>34.6-2.7</f>
        <v>31.9</v>
      </c>
      <c r="J156" s="704">
        <f>I156-H156</f>
        <v>0</v>
      </c>
      <c r="K156" s="1082">
        <v>70</v>
      </c>
      <c r="L156" s="1072">
        <v>70</v>
      </c>
      <c r="M156" s="1133">
        <f>L156-K156</f>
        <v>0</v>
      </c>
      <c r="N156" s="1218"/>
      <c r="O156" s="1072"/>
      <c r="P156" s="1689">
        <f>O156-N156</f>
        <v>0</v>
      </c>
      <c r="Q156" s="1570" t="s">
        <v>129</v>
      </c>
      <c r="R156" s="1361">
        <v>1</v>
      </c>
      <c r="S156" s="1500"/>
      <c r="T156" s="1213"/>
      <c r="U156" s="2304"/>
    </row>
    <row r="157" spans="1:21" ht="16.5" customHeight="1" x14ac:dyDescent="0.2">
      <c r="A157" s="1998"/>
      <c r="B157" s="1999"/>
      <c r="C157" s="2084"/>
      <c r="D157" s="2199"/>
      <c r="E157" s="2200"/>
      <c r="F157" s="2201"/>
      <c r="G157" s="154" t="s">
        <v>107</v>
      </c>
      <c r="H157" s="1300">
        <v>0</v>
      </c>
      <c r="I157" s="1262">
        <v>0</v>
      </c>
      <c r="J157" s="1266"/>
      <c r="K157" s="1092"/>
      <c r="L157" s="1234"/>
      <c r="M157" s="1749"/>
      <c r="N157" s="1758"/>
      <c r="O157" s="1234"/>
      <c r="P157" s="1753"/>
      <c r="Q157" s="1573" t="s">
        <v>274</v>
      </c>
      <c r="R157" s="1165">
        <v>1</v>
      </c>
      <c r="S157" s="1500"/>
      <c r="T157" s="1231"/>
      <c r="U157" s="2305"/>
    </row>
    <row r="158" spans="1:21" ht="12.75" customHeight="1" x14ac:dyDescent="0.2">
      <c r="A158" s="1998"/>
      <c r="B158" s="1999"/>
      <c r="C158" s="2084"/>
      <c r="D158" s="2153"/>
      <c r="E158" s="2200"/>
      <c r="F158" s="2201"/>
      <c r="G158" s="10" t="s">
        <v>40</v>
      </c>
      <c r="H158" s="1222">
        <v>12</v>
      </c>
      <c r="I158" s="1250">
        <f>14.5-2.5</f>
        <v>12</v>
      </c>
      <c r="J158" s="704">
        <f>I158-H158</f>
        <v>0</v>
      </c>
      <c r="K158" s="1082"/>
      <c r="L158" s="1072"/>
      <c r="M158" s="1133">
        <f>L158-K158</f>
        <v>0</v>
      </c>
      <c r="N158" s="1218"/>
      <c r="O158" s="1072"/>
      <c r="P158" s="1689">
        <f>O158-N158</f>
        <v>0</v>
      </c>
      <c r="Q158" s="1570" t="s">
        <v>273</v>
      </c>
      <c r="R158" s="1165">
        <v>2</v>
      </c>
      <c r="S158" s="1500"/>
      <c r="T158" s="1213"/>
      <c r="U158" s="2305"/>
    </row>
    <row r="159" spans="1:21" ht="15" customHeight="1" x14ac:dyDescent="0.2">
      <c r="A159" s="1998"/>
      <c r="B159" s="1999"/>
      <c r="C159" s="2084"/>
      <c r="D159" s="826"/>
      <c r="E159" s="2200"/>
      <c r="F159" s="2201"/>
      <c r="G159" s="206"/>
      <c r="H159" s="1082"/>
      <c r="I159" s="1072"/>
      <c r="J159" s="534"/>
      <c r="K159" s="1081"/>
      <c r="L159" s="536"/>
      <c r="M159" s="896"/>
      <c r="N159" s="1679"/>
      <c r="O159" s="536"/>
      <c r="P159" s="1458"/>
      <c r="Q159" s="1573" t="s">
        <v>249</v>
      </c>
      <c r="R159" s="1165"/>
      <c r="S159" s="1500">
        <v>1</v>
      </c>
      <c r="T159" s="1213"/>
      <c r="U159" s="2313"/>
    </row>
    <row r="160" spans="1:21" ht="13.5" thickBot="1" x14ac:dyDescent="0.25">
      <c r="A160" s="305"/>
      <c r="B160" s="1177"/>
      <c r="C160" s="764"/>
      <c r="D160" s="1164"/>
      <c r="E160" s="2109"/>
      <c r="F160" s="2202"/>
      <c r="G160" s="81" t="s">
        <v>9</v>
      </c>
      <c r="H160" s="759">
        <f>SUM(H156:H159)</f>
        <v>43.9</v>
      </c>
      <c r="I160" s="1238">
        <f>SUM(I156:I159)</f>
        <v>43.9</v>
      </c>
      <c r="J160" s="1139">
        <f t="shared" ref="J160" si="20">SUM(J156:J159)</f>
        <v>0</v>
      </c>
      <c r="K160" s="814">
        <f>K156</f>
        <v>70</v>
      </c>
      <c r="L160" s="1245">
        <f>L156</f>
        <v>70</v>
      </c>
      <c r="M160" s="816">
        <f t="shared" ref="M160" si="21">SUM(M156:M159)</f>
        <v>0</v>
      </c>
      <c r="N160" s="1701"/>
      <c r="O160" s="1245"/>
      <c r="P160" s="1461">
        <f t="shared" ref="P160" si="22">SUM(P156:P159)</f>
        <v>0</v>
      </c>
      <c r="Q160" s="1586"/>
      <c r="R160" s="1163"/>
      <c r="S160" s="1504"/>
      <c r="T160" s="1538"/>
      <c r="U160" s="1515"/>
    </row>
    <row r="161" spans="1:21" ht="16.5" customHeight="1" x14ac:dyDescent="0.2">
      <c r="A161" s="2183" t="s">
        <v>8</v>
      </c>
      <c r="B161" s="2185" t="s">
        <v>43</v>
      </c>
      <c r="C161" s="2187" t="s">
        <v>43</v>
      </c>
      <c r="D161" s="2192" t="s">
        <v>70</v>
      </c>
      <c r="E161" s="2194" t="s">
        <v>108</v>
      </c>
      <c r="F161" s="2197" t="s">
        <v>79</v>
      </c>
      <c r="G161" s="13" t="s">
        <v>40</v>
      </c>
      <c r="H161" s="1082">
        <v>148.19999999999999</v>
      </c>
      <c r="I161" s="1072">
        <v>148.19999999999999</v>
      </c>
      <c r="J161" s="704"/>
      <c r="K161" s="1082">
        <v>148.19999999999999</v>
      </c>
      <c r="L161" s="1072">
        <v>148.19999999999999</v>
      </c>
      <c r="M161" s="1133"/>
      <c r="N161" s="1759">
        <v>148.19999999999999</v>
      </c>
      <c r="O161" s="1239">
        <v>148.19999999999999</v>
      </c>
      <c r="P161" s="1689"/>
      <c r="Q161" s="12" t="s">
        <v>98</v>
      </c>
      <c r="R161" s="1046">
        <v>18</v>
      </c>
      <c r="S161" s="1499">
        <v>18</v>
      </c>
      <c r="T161" s="1539">
        <v>18</v>
      </c>
      <c r="U161" s="1938"/>
    </row>
    <row r="162" spans="1:21" x14ac:dyDescent="0.2">
      <c r="A162" s="1998"/>
      <c r="B162" s="1999"/>
      <c r="C162" s="2084"/>
      <c r="D162" s="2065"/>
      <c r="E162" s="2195"/>
      <c r="F162" s="2013"/>
      <c r="G162" s="224" t="s">
        <v>88</v>
      </c>
      <c r="H162" s="1081"/>
      <c r="I162" s="1263"/>
      <c r="J162" s="686"/>
      <c r="K162" s="1131"/>
      <c r="L162" s="1478"/>
      <c r="M162" s="1131"/>
      <c r="N162" s="1667"/>
      <c r="O162" s="1478"/>
      <c r="P162" s="1690"/>
      <c r="Q162" s="2211" t="s">
        <v>128</v>
      </c>
      <c r="R162" s="1165">
        <v>2</v>
      </c>
      <c r="S162" s="1500">
        <v>2</v>
      </c>
      <c r="T162" s="1213">
        <v>2</v>
      </c>
      <c r="U162" s="1938"/>
    </row>
    <row r="163" spans="1:21" ht="13.5" thickBot="1" x14ac:dyDescent="0.25">
      <c r="A163" s="2205"/>
      <c r="B163" s="2206"/>
      <c r="C163" s="2191"/>
      <c r="D163" s="2193"/>
      <c r="E163" s="2196"/>
      <c r="F163" s="2198"/>
      <c r="G163" s="81" t="s">
        <v>9</v>
      </c>
      <c r="H163" s="759">
        <f>SUM(H161:H162)</f>
        <v>148.19999999999999</v>
      </c>
      <c r="I163" s="1238">
        <f>SUM(I161:I162)</f>
        <v>148.19999999999999</v>
      </c>
      <c r="J163" s="1139">
        <f>SUM(J161:J162)</f>
        <v>0</v>
      </c>
      <c r="K163" s="816">
        <f>K161</f>
        <v>148.19999999999999</v>
      </c>
      <c r="L163" s="1245">
        <f>L161</f>
        <v>148.19999999999999</v>
      </c>
      <c r="M163" s="816">
        <f>SUM(M161:M162)</f>
        <v>0</v>
      </c>
      <c r="N163" s="1701">
        <f>N161</f>
        <v>148.19999999999999</v>
      </c>
      <c r="O163" s="1245">
        <f>O161</f>
        <v>148.19999999999999</v>
      </c>
      <c r="P163" s="1461">
        <f>SUM(P161:P162)</f>
        <v>0</v>
      </c>
      <c r="Q163" s="2212"/>
      <c r="R163" s="70"/>
      <c r="S163" s="70"/>
      <c r="T163" s="1230"/>
      <c r="U163" s="1938"/>
    </row>
    <row r="164" spans="1:21" ht="13.5" customHeight="1" x14ac:dyDescent="0.2">
      <c r="A164" s="2183" t="s">
        <v>8</v>
      </c>
      <c r="B164" s="2185" t="s">
        <v>43</v>
      </c>
      <c r="C164" s="2187" t="s">
        <v>48</v>
      </c>
      <c r="D164" s="2214" t="s">
        <v>221</v>
      </c>
      <c r="E164" s="2215" t="s">
        <v>151</v>
      </c>
      <c r="F164" s="569" t="s">
        <v>63</v>
      </c>
      <c r="G164" s="13" t="s">
        <v>64</v>
      </c>
      <c r="H164" s="1133"/>
      <c r="I164" s="1263"/>
      <c r="J164" s="1269"/>
      <c r="K164" s="1130"/>
      <c r="L164" s="1263"/>
      <c r="M164" s="1630"/>
      <c r="N164" s="1760">
        <v>295.39999999999998</v>
      </c>
      <c r="O164" s="1761">
        <v>295.39999999999998</v>
      </c>
      <c r="P164" s="1762"/>
      <c r="Q164" s="1610" t="s">
        <v>200</v>
      </c>
      <c r="R164" s="185"/>
      <c r="S164" s="1500">
        <v>1</v>
      </c>
      <c r="T164" s="1213"/>
      <c r="U164" s="1515"/>
    </row>
    <row r="165" spans="1:21" ht="13.5" customHeight="1" x14ac:dyDescent="0.2">
      <c r="A165" s="1998"/>
      <c r="B165" s="1999"/>
      <c r="C165" s="2084"/>
      <c r="D165" s="2153"/>
      <c r="E165" s="2216"/>
      <c r="F165" s="550"/>
      <c r="G165" s="13" t="s">
        <v>40</v>
      </c>
      <c r="H165" s="1133"/>
      <c r="I165" s="1263"/>
      <c r="J165" s="681"/>
      <c r="K165" s="1130">
        <v>2.9</v>
      </c>
      <c r="L165" s="1263">
        <v>2.9</v>
      </c>
      <c r="M165" s="1128"/>
      <c r="N165" s="1663">
        <v>15.7</v>
      </c>
      <c r="O165" s="1263">
        <v>15.7</v>
      </c>
      <c r="P165" s="1680"/>
      <c r="Q165" s="1573" t="s">
        <v>66</v>
      </c>
      <c r="R165" s="556"/>
      <c r="S165" s="1500">
        <v>1</v>
      </c>
      <c r="T165" s="1213"/>
      <c r="U165" s="1515"/>
    </row>
    <row r="166" spans="1:21" ht="15" customHeight="1" x14ac:dyDescent="0.2">
      <c r="A166" s="1998"/>
      <c r="B166" s="1999"/>
      <c r="C166" s="2084"/>
      <c r="D166" s="2153"/>
      <c r="E166" s="2216"/>
      <c r="F166" s="550"/>
      <c r="G166" s="79" t="s">
        <v>188</v>
      </c>
      <c r="H166" s="896"/>
      <c r="I166" s="1244"/>
      <c r="J166" s="693"/>
      <c r="K166" s="1401"/>
      <c r="L166" s="1244"/>
      <c r="M166" s="1126"/>
      <c r="N166" s="1696">
        <v>36.5</v>
      </c>
      <c r="O166" s="1242">
        <v>36.5</v>
      </c>
      <c r="P166" s="1697"/>
      <c r="Q166" s="1588" t="s">
        <v>209</v>
      </c>
      <c r="R166" s="1165"/>
      <c r="S166" s="1500"/>
      <c r="T166" s="1213">
        <v>30</v>
      </c>
      <c r="U166" s="1515"/>
    </row>
    <row r="167" spans="1:21" ht="13.5" thickBot="1" x14ac:dyDescent="0.25">
      <c r="A167" s="1186"/>
      <c r="B167" s="1169"/>
      <c r="C167" s="1180"/>
      <c r="D167" s="2176"/>
      <c r="E167" s="570"/>
      <c r="F167" s="1585"/>
      <c r="G167" s="81" t="s">
        <v>9</v>
      </c>
      <c r="H167" s="759">
        <f>SUM(H165:H166)</f>
        <v>0</v>
      </c>
      <c r="I167" s="1238">
        <f>SUM(I165:I166)</f>
        <v>0</v>
      </c>
      <c r="J167" s="1139">
        <f>SUM(J164:J166)</f>
        <v>0</v>
      </c>
      <c r="K167" s="759">
        <f>SUM(K165:K166)</f>
        <v>2.9</v>
      </c>
      <c r="L167" s="1238">
        <f>SUM(L165:L166)</f>
        <v>2.9</v>
      </c>
      <c r="M167" s="816">
        <f>SUM(M164:M166)</f>
        <v>0</v>
      </c>
      <c r="N167" s="817">
        <f>SUM(N164:N166)</f>
        <v>347.6</v>
      </c>
      <c r="O167" s="1238">
        <f>SUM(O164:O166)</f>
        <v>347.6</v>
      </c>
      <c r="P167" s="1461">
        <f>SUM(P164:P166)</f>
        <v>0</v>
      </c>
      <c r="Q167" s="1099"/>
      <c r="R167" s="70"/>
      <c r="S167" s="70"/>
      <c r="T167" s="1230"/>
      <c r="U167" s="1939"/>
    </row>
    <row r="168" spans="1:21" ht="16.5" customHeight="1" x14ac:dyDescent="0.2">
      <c r="A168" s="2183" t="s">
        <v>8</v>
      </c>
      <c r="B168" s="2185" t="s">
        <v>43</v>
      </c>
      <c r="C168" s="2187" t="s">
        <v>49</v>
      </c>
      <c r="D168" s="2207" t="s">
        <v>344</v>
      </c>
      <c r="E168" s="2347" t="s">
        <v>386</v>
      </c>
      <c r="F168" s="2197" t="s">
        <v>63</v>
      </c>
      <c r="G168" s="206" t="s">
        <v>64</v>
      </c>
      <c r="H168" s="1082">
        <v>5</v>
      </c>
      <c r="I168" s="1072">
        <v>5</v>
      </c>
      <c r="J168" s="704"/>
      <c r="K168" s="1133">
        <v>200</v>
      </c>
      <c r="L168" s="1072">
        <v>200</v>
      </c>
      <c r="M168" s="1133"/>
      <c r="N168" s="1218">
        <v>200</v>
      </c>
      <c r="O168" s="1072">
        <v>200</v>
      </c>
      <c r="P168" s="1689"/>
      <c r="Q168" s="1911" t="s">
        <v>337</v>
      </c>
      <c r="R168" s="1907"/>
      <c r="S168" s="1907">
        <v>1</v>
      </c>
      <c r="T168" s="1213">
        <v>2</v>
      </c>
      <c r="U168" s="2291"/>
    </row>
    <row r="169" spans="1:21" ht="26.25" customHeight="1" x14ac:dyDescent="0.2">
      <c r="A169" s="1998"/>
      <c r="B169" s="1999"/>
      <c r="C169" s="2084"/>
      <c r="D169" s="2296"/>
      <c r="E169" s="2348"/>
      <c r="F169" s="2012"/>
      <c r="G169" s="206" t="s">
        <v>40</v>
      </c>
      <c r="H169" s="1082"/>
      <c r="I169" s="1791"/>
      <c r="J169" s="1796"/>
      <c r="K169" s="1133"/>
      <c r="L169" s="1072"/>
      <c r="M169" s="1133"/>
      <c r="N169" s="1218"/>
      <c r="O169" s="1072"/>
      <c r="P169" s="1689"/>
      <c r="Q169" s="1911" t="s">
        <v>354</v>
      </c>
      <c r="R169" s="1907"/>
      <c r="S169" s="1907">
        <v>1</v>
      </c>
      <c r="T169" s="1213"/>
      <c r="U169" s="2291"/>
    </row>
    <row r="170" spans="1:21" ht="18.75" customHeight="1" x14ac:dyDescent="0.2">
      <c r="A170" s="1998"/>
      <c r="B170" s="1999"/>
      <c r="C170" s="2084"/>
      <c r="D170" s="2296"/>
      <c r="E170" s="2348"/>
      <c r="F170" s="2012"/>
      <c r="G170" s="206"/>
      <c r="H170" s="1081"/>
      <c r="I170" s="536"/>
      <c r="J170" s="534"/>
      <c r="K170" s="896"/>
      <c r="L170" s="536"/>
      <c r="M170" s="896"/>
      <c r="N170" s="1679"/>
      <c r="O170" s="536"/>
      <c r="P170" s="1458"/>
      <c r="Q170" s="978" t="s">
        <v>346</v>
      </c>
      <c r="R170" s="1903"/>
      <c r="S170" s="1907"/>
      <c r="T170" s="1121" t="s">
        <v>340</v>
      </c>
      <c r="U170" s="2291"/>
    </row>
    <row r="171" spans="1:21" ht="21.75" customHeight="1" thickBot="1" x14ac:dyDescent="0.25">
      <c r="A171" s="2205"/>
      <c r="B171" s="2206"/>
      <c r="C171" s="2191"/>
      <c r="D171" s="1451"/>
      <c r="E171" s="2349"/>
      <c r="F171" s="2198"/>
      <c r="G171" s="81" t="s">
        <v>9</v>
      </c>
      <c r="H171" s="814">
        <f>SUM(H168:H170)</f>
        <v>5</v>
      </c>
      <c r="I171" s="1245">
        <f>SUM(I168:I170)</f>
        <v>5</v>
      </c>
      <c r="J171" s="1139">
        <f>SUM(J168:J170)</f>
        <v>0</v>
      </c>
      <c r="K171" s="816">
        <f>K168</f>
        <v>200</v>
      </c>
      <c r="L171" s="1245">
        <f>L168</f>
        <v>200</v>
      </c>
      <c r="M171" s="816">
        <f>SUM(M168:M170)</f>
        <v>0</v>
      </c>
      <c r="N171" s="1701">
        <f>N168</f>
        <v>200</v>
      </c>
      <c r="O171" s="1245">
        <f>O168</f>
        <v>200</v>
      </c>
      <c r="P171" s="1461">
        <f>SUM(P168:P170)</f>
        <v>0</v>
      </c>
      <c r="Q171" s="1795" t="s">
        <v>341</v>
      </c>
      <c r="R171" s="1794"/>
      <c r="S171" s="1794">
        <v>2</v>
      </c>
      <c r="T171" s="1213"/>
      <c r="U171" s="2297"/>
    </row>
    <row r="172" spans="1:21" ht="23.25" customHeight="1" x14ac:dyDescent="0.2">
      <c r="A172" s="2183" t="s">
        <v>8</v>
      </c>
      <c r="B172" s="2185" t="s">
        <v>43</v>
      </c>
      <c r="C172" s="2187" t="s">
        <v>51</v>
      </c>
      <c r="D172" s="2207" t="s">
        <v>389</v>
      </c>
      <c r="E172" s="2347" t="s">
        <v>386</v>
      </c>
      <c r="F172" s="2197" t="s">
        <v>63</v>
      </c>
      <c r="G172" s="206" t="s">
        <v>40</v>
      </c>
      <c r="H172" s="1082"/>
      <c r="I172" s="1791">
        <v>5</v>
      </c>
      <c r="J172" s="1796">
        <f>I172-H172</f>
        <v>5</v>
      </c>
      <c r="K172" s="1133"/>
      <c r="L172" s="1072"/>
      <c r="M172" s="1133"/>
      <c r="N172" s="1218"/>
      <c r="O172" s="1072"/>
      <c r="P172" s="1689"/>
      <c r="Q172" s="1797" t="s">
        <v>385</v>
      </c>
      <c r="R172" s="1798">
        <v>1</v>
      </c>
      <c r="S172" s="1906"/>
      <c r="T172" s="1913"/>
      <c r="U172" s="2371" t="s">
        <v>390</v>
      </c>
    </row>
    <row r="173" spans="1:21" ht="36.75" customHeight="1" x14ac:dyDescent="0.2">
      <c r="A173" s="1998"/>
      <c r="B173" s="1999"/>
      <c r="C173" s="2084"/>
      <c r="D173" s="2321"/>
      <c r="E173" s="2348"/>
      <c r="F173" s="2012"/>
      <c r="G173" s="206" t="s">
        <v>64</v>
      </c>
      <c r="H173" s="1082"/>
      <c r="I173" s="1791"/>
      <c r="J173" s="1796"/>
      <c r="K173" s="1133"/>
      <c r="L173" s="1072"/>
      <c r="M173" s="1133"/>
      <c r="N173" s="1218"/>
      <c r="O173" s="1072"/>
      <c r="P173" s="1689"/>
      <c r="Q173" s="1911"/>
      <c r="R173" s="1907"/>
      <c r="S173" s="1907"/>
      <c r="T173" s="1213"/>
      <c r="U173" s="2371"/>
    </row>
    <row r="174" spans="1:21" ht="39" customHeight="1" x14ac:dyDescent="0.2">
      <c r="A174" s="1998"/>
      <c r="B174" s="1999"/>
      <c r="C174" s="2084"/>
      <c r="D174" s="2321"/>
      <c r="E174" s="2348"/>
      <c r="F174" s="2012"/>
      <c r="G174" s="119"/>
      <c r="H174" s="1081"/>
      <c r="I174" s="536"/>
      <c r="J174" s="534"/>
      <c r="K174" s="896"/>
      <c r="L174" s="536"/>
      <c r="M174" s="896"/>
      <c r="N174" s="1679"/>
      <c r="O174" s="536"/>
      <c r="P174" s="1458"/>
      <c r="Q174" s="1911"/>
      <c r="R174" s="1907"/>
      <c r="S174" s="1907"/>
      <c r="T174" s="1213"/>
      <c r="U174" s="2371"/>
    </row>
    <row r="175" spans="1:21" ht="33.75" customHeight="1" thickBot="1" x14ac:dyDescent="0.25">
      <c r="A175" s="2205"/>
      <c r="B175" s="2206"/>
      <c r="C175" s="2191"/>
      <c r="D175" s="1904"/>
      <c r="E175" s="2349"/>
      <c r="F175" s="2198"/>
      <c r="G175" s="825" t="s">
        <v>9</v>
      </c>
      <c r="H175" s="814">
        <f>SUM(H172:H174)</f>
        <v>0</v>
      </c>
      <c r="I175" s="1245">
        <f>SUM(I172:I174)</f>
        <v>5</v>
      </c>
      <c r="J175" s="1139">
        <f>SUM(J172:J174)</f>
        <v>5</v>
      </c>
      <c r="K175" s="816">
        <f>K172</f>
        <v>0</v>
      </c>
      <c r="L175" s="1245">
        <f>L172</f>
        <v>0</v>
      </c>
      <c r="M175" s="816">
        <f>SUM(M172:M174)</f>
        <v>0</v>
      </c>
      <c r="N175" s="1701">
        <f>N172</f>
        <v>0</v>
      </c>
      <c r="O175" s="1245">
        <f>O172</f>
        <v>0</v>
      </c>
      <c r="P175" s="1461">
        <f>SUM(P172:P174)</f>
        <v>0</v>
      </c>
      <c r="Q175" s="1911"/>
      <c r="R175" s="1907"/>
      <c r="S175" s="1907"/>
      <c r="T175" s="1213"/>
      <c r="U175" s="2451"/>
    </row>
    <row r="176" spans="1:21" ht="13.5" thickBot="1" x14ac:dyDescent="0.25">
      <c r="A176" s="93" t="s">
        <v>8</v>
      </c>
      <c r="B176" s="9" t="s">
        <v>43</v>
      </c>
      <c r="C176" s="2427" t="s">
        <v>11</v>
      </c>
      <c r="D176" s="2147"/>
      <c r="E176" s="2147"/>
      <c r="F176" s="2147"/>
      <c r="G176" s="2148"/>
      <c r="H176" s="735">
        <f>H167+H163+H160+H155+H171+H175</f>
        <v>1602.2</v>
      </c>
      <c r="I176" s="735">
        <f>I167+I163+I160+I155+I171+I175</f>
        <v>1577.2</v>
      </c>
      <c r="J176" s="735">
        <f>J167+J163+J160+J155+J171+J175</f>
        <v>-25</v>
      </c>
      <c r="K176" s="735">
        <f t="shared" ref="K176:P176" si="23">K167+K163+K160+K155+K171+K175</f>
        <v>1531.2</v>
      </c>
      <c r="L176" s="735">
        <f t="shared" si="23"/>
        <v>1561.2</v>
      </c>
      <c r="M176" s="735">
        <f t="shared" si="23"/>
        <v>30</v>
      </c>
      <c r="N176" s="735">
        <f t="shared" si="23"/>
        <v>1630.9</v>
      </c>
      <c r="O176" s="735">
        <f t="shared" si="23"/>
        <v>1630.9</v>
      </c>
      <c r="P176" s="735">
        <f t="shared" si="23"/>
        <v>0</v>
      </c>
      <c r="Q176" s="2213"/>
      <c r="R176" s="2166"/>
      <c r="S176" s="2166"/>
      <c r="T176" s="2167"/>
      <c r="U176" s="1937"/>
    </row>
    <row r="177" spans="1:21" ht="13.5" thickBot="1" x14ac:dyDescent="0.25">
      <c r="A177" s="92" t="s">
        <v>8</v>
      </c>
      <c r="B177" s="9" t="s">
        <v>48</v>
      </c>
      <c r="C177" s="2168" t="s">
        <v>50</v>
      </c>
      <c r="D177" s="2169"/>
      <c r="E177" s="2169"/>
      <c r="F177" s="2169"/>
      <c r="G177" s="2169"/>
      <c r="H177" s="2169"/>
      <c r="I177" s="2169"/>
      <c r="J177" s="2169"/>
      <c r="K177" s="2169"/>
      <c r="L177" s="2169"/>
      <c r="M177" s="2169"/>
      <c r="N177" s="2169"/>
      <c r="O177" s="2169"/>
      <c r="P177" s="2169"/>
      <c r="Q177" s="2169"/>
      <c r="R177" s="2169"/>
      <c r="S177" s="2169"/>
      <c r="T177" s="2170"/>
      <c r="U177" s="1935"/>
    </row>
    <row r="178" spans="1:21" ht="21" customHeight="1" x14ac:dyDescent="0.2">
      <c r="A178" s="1909" t="s">
        <v>8</v>
      </c>
      <c r="B178" s="1910" t="s">
        <v>48</v>
      </c>
      <c r="C178" s="1107" t="s">
        <v>8</v>
      </c>
      <c r="D178" s="2152" t="s">
        <v>333</v>
      </c>
      <c r="E178" s="532"/>
      <c r="F178" s="1908" t="s">
        <v>53</v>
      </c>
      <c r="G178" s="128" t="s">
        <v>40</v>
      </c>
      <c r="H178" s="1253">
        <f>451.3+65</f>
        <v>516.29999999999995</v>
      </c>
      <c r="I178" s="1964">
        <f>451.3+65+30</f>
        <v>546.29999999999995</v>
      </c>
      <c r="J178" s="1403">
        <f>I178-H178</f>
        <v>30</v>
      </c>
      <c r="K178" s="762">
        <v>1112.0999999999999</v>
      </c>
      <c r="L178" s="1637">
        <v>1112.0999999999999</v>
      </c>
      <c r="M178" s="1133">
        <f>L178-K178</f>
        <v>0</v>
      </c>
      <c r="N178" s="762">
        <v>1112.0999999999999</v>
      </c>
      <c r="O178" s="1637">
        <v>1112.0999999999999</v>
      </c>
      <c r="P178" s="701">
        <f>O178-N178</f>
        <v>0</v>
      </c>
      <c r="Q178" s="1640"/>
      <c r="R178" s="1540"/>
      <c r="S178" s="1540"/>
      <c r="T178" s="1541"/>
      <c r="U178" s="2445" t="s">
        <v>414</v>
      </c>
    </row>
    <row r="179" spans="1:21" ht="14.25" customHeight="1" x14ac:dyDescent="0.2">
      <c r="A179" s="1900"/>
      <c r="B179" s="1901"/>
      <c r="C179" s="196"/>
      <c r="D179" s="2293"/>
      <c r="E179" s="1912"/>
      <c r="F179" s="1902"/>
      <c r="G179" s="119" t="s">
        <v>107</v>
      </c>
      <c r="H179" s="1081">
        <v>149.80000000000001</v>
      </c>
      <c r="I179" s="536">
        <v>149.80000000000001</v>
      </c>
      <c r="J179" s="1271"/>
      <c r="K179" s="752">
        <v>418.9</v>
      </c>
      <c r="L179" s="1282">
        <v>418.9</v>
      </c>
      <c r="M179" s="1271"/>
      <c r="N179" s="752">
        <v>548.1</v>
      </c>
      <c r="O179" s="1282">
        <v>548.1</v>
      </c>
      <c r="P179" s="1419"/>
      <c r="Q179" s="1916"/>
      <c r="R179" s="469"/>
      <c r="S179" s="470"/>
      <c r="T179" s="2294"/>
      <c r="U179" s="2389"/>
    </row>
    <row r="180" spans="1:21" ht="15.75" customHeight="1" x14ac:dyDescent="0.2">
      <c r="A180" s="1900"/>
      <c r="B180" s="1901"/>
      <c r="C180" s="196"/>
      <c r="D180" s="1465" t="s">
        <v>196</v>
      </c>
      <c r="E180" s="1912"/>
      <c r="F180" s="1902"/>
      <c r="G180" s="128" t="s">
        <v>99</v>
      </c>
      <c r="H180" s="1118">
        <v>336.8</v>
      </c>
      <c r="I180" s="1251">
        <f>336.8</f>
        <v>336.8</v>
      </c>
      <c r="J180" s="1966"/>
      <c r="K180" s="752"/>
      <c r="L180" s="1282"/>
      <c r="M180" s="1271"/>
      <c r="N180" s="752"/>
      <c r="O180" s="1282"/>
      <c r="P180" s="1419"/>
      <c r="Q180" s="1915"/>
      <c r="R180" s="472"/>
      <c r="S180" s="473"/>
      <c r="T180" s="2295"/>
      <c r="U180" s="2446"/>
    </row>
    <row r="181" spans="1:21" ht="30.75" customHeight="1" x14ac:dyDescent="0.2">
      <c r="A181" s="1303"/>
      <c r="B181" s="1304"/>
      <c r="C181" s="196"/>
      <c r="D181" s="1473" t="s">
        <v>321</v>
      </c>
      <c r="E181" s="1311"/>
      <c r="F181" s="1305"/>
      <c r="G181" s="496" t="s">
        <v>188</v>
      </c>
      <c r="H181" s="1080">
        <v>1326.5</v>
      </c>
      <c r="I181" s="1235">
        <v>1326.5</v>
      </c>
      <c r="J181" s="1272"/>
      <c r="K181" s="1632">
        <v>50</v>
      </c>
      <c r="L181" s="1638">
        <v>50</v>
      </c>
      <c r="M181" s="1272"/>
      <c r="N181" s="1632">
        <v>50</v>
      </c>
      <c r="O181" s="1638">
        <v>50</v>
      </c>
      <c r="P181" s="1407"/>
      <c r="Q181" s="1641" t="s">
        <v>97</v>
      </c>
      <c r="R181" s="1474" t="s">
        <v>334</v>
      </c>
      <c r="S181" s="660">
        <v>1.2</v>
      </c>
      <c r="T181" s="661">
        <v>1.2</v>
      </c>
      <c r="U181" s="2446"/>
    </row>
    <row r="182" spans="1:21" ht="15.75" customHeight="1" x14ac:dyDescent="0.2">
      <c r="A182" s="1303"/>
      <c r="B182" s="1304"/>
      <c r="C182" s="196"/>
      <c r="D182" s="1469" t="s">
        <v>225</v>
      </c>
      <c r="E182" s="1311"/>
      <c r="F182" s="1305"/>
      <c r="G182" s="206"/>
      <c r="H182" s="1082"/>
      <c r="I182" s="1236"/>
      <c r="J182" s="1075"/>
      <c r="K182" s="714"/>
      <c r="L182" s="1236"/>
      <c r="M182" s="1075"/>
      <c r="N182" s="714"/>
      <c r="O182" s="1236"/>
      <c r="P182" s="679"/>
      <c r="Q182" s="841"/>
      <c r="R182" s="222"/>
      <c r="S182" s="222"/>
      <c r="T182" s="1482"/>
      <c r="U182" s="2446"/>
    </row>
    <row r="183" spans="1:21" ht="27.75" customHeight="1" x14ac:dyDescent="0.2">
      <c r="A183" s="1303"/>
      <c r="B183" s="1304"/>
      <c r="C183" s="196"/>
      <c r="D183" s="1572" t="s">
        <v>226</v>
      </c>
      <c r="E183" s="1576"/>
      <c r="F183" s="1578"/>
      <c r="G183" s="206"/>
      <c r="H183" s="1082"/>
      <c r="I183" s="1236"/>
      <c r="J183" s="1075"/>
      <c r="K183" s="714"/>
      <c r="L183" s="1236"/>
      <c r="M183" s="1075"/>
      <c r="N183" s="714"/>
      <c r="O183" s="1236"/>
      <c r="P183" s="679"/>
      <c r="Q183" s="841"/>
      <c r="R183" s="222"/>
      <c r="S183" s="222"/>
      <c r="T183" s="1482"/>
      <c r="U183" s="2446"/>
    </row>
    <row r="184" spans="1:21" ht="42" customHeight="1" x14ac:dyDescent="0.2">
      <c r="A184" s="1303"/>
      <c r="B184" s="1304"/>
      <c r="C184" s="196"/>
      <c r="D184" s="1475" t="s">
        <v>227</v>
      </c>
      <c r="E184" s="1576"/>
      <c r="F184" s="1578"/>
      <c r="G184" s="206"/>
      <c r="H184" s="1082"/>
      <c r="I184" s="1236"/>
      <c r="J184" s="1075"/>
      <c r="K184" s="714"/>
      <c r="L184" s="1236"/>
      <c r="M184" s="1075"/>
      <c r="N184" s="714"/>
      <c r="O184" s="1236"/>
      <c r="P184" s="679"/>
      <c r="Q184" s="1642" t="s">
        <v>166</v>
      </c>
      <c r="R184" s="1476" t="s">
        <v>155</v>
      </c>
      <c r="S184" s="1476"/>
      <c r="T184" s="140"/>
      <c r="U184" s="1936"/>
    </row>
    <row r="185" spans="1:21" ht="45" customHeight="1" x14ac:dyDescent="0.2">
      <c r="A185" s="1462"/>
      <c r="B185" s="1463"/>
      <c r="C185" s="196"/>
      <c r="D185" s="1560" t="s">
        <v>371</v>
      </c>
      <c r="E185" s="1577"/>
      <c r="F185" s="1579"/>
      <c r="G185" s="119"/>
      <c r="H185" s="1081"/>
      <c r="I185" s="1264"/>
      <c r="J185" s="744"/>
      <c r="K185" s="1129"/>
      <c r="L185" s="1264"/>
      <c r="M185" s="744"/>
      <c r="N185" s="1129"/>
      <c r="O185" s="1264"/>
      <c r="P185" s="695"/>
      <c r="Q185" s="1643" t="s">
        <v>372</v>
      </c>
      <c r="R185" s="1562">
        <v>100</v>
      </c>
      <c r="S185" s="220"/>
      <c r="T185" s="107"/>
      <c r="U185" s="1940"/>
    </row>
    <row r="186" spans="1:21" ht="30.75" customHeight="1" x14ac:dyDescent="0.2">
      <c r="A186" s="1466"/>
      <c r="B186" s="1467"/>
      <c r="C186" s="196"/>
      <c r="D186" s="2302" t="s">
        <v>217</v>
      </c>
      <c r="E186" s="1576"/>
      <c r="F186" s="1578"/>
      <c r="G186" s="206"/>
      <c r="H186" s="1082"/>
      <c r="I186" s="1236"/>
      <c r="J186" s="1075"/>
      <c r="K186" s="714"/>
      <c r="L186" s="1236"/>
      <c r="M186" s="1075"/>
      <c r="N186" s="714"/>
      <c r="O186" s="1236"/>
      <c r="P186" s="679"/>
      <c r="Q186" s="1644" t="s">
        <v>58</v>
      </c>
      <c r="R186" s="1793" t="s">
        <v>384</v>
      </c>
      <c r="S186" s="1481" t="s">
        <v>215</v>
      </c>
      <c r="T186" s="1571"/>
      <c r="U186" s="1965"/>
    </row>
    <row r="187" spans="1:21" ht="18" customHeight="1" x14ac:dyDescent="0.2">
      <c r="A187" s="1466"/>
      <c r="B187" s="1467"/>
      <c r="C187" s="196"/>
      <c r="D187" s="2303"/>
      <c r="E187" s="1576"/>
      <c r="F187" s="1578"/>
      <c r="G187" s="206"/>
      <c r="H187" s="1082"/>
      <c r="I187" s="1236"/>
      <c r="J187" s="1075"/>
      <c r="K187" s="714"/>
      <c r="L187" s="1236"/>
      <c r="M187" s="1075"/>
      <c r="N187" s="714"/>
      <c r="O187" s="1236"/>
      <c r="P187" s="679"/>
      <c r="Q187" s="845" t="s">
        <v>95</v>
      </c>
      <c r="R187" s="136" t="s">
        <v>130</v>
      </c>
      <c r="S187" s="136" t="s">
        <v>130</v>
      </c>
      <c r="T187" s="140"/>
      <c r="U187" s="1940"/>
    </row>
    <row r="188" spans="1:21" x14ac:dyDescent="0.2">
      <c r="A188" s="1998"/>
      <c r="B188" s="1999"/>
      <c r="C188" s="2084"/>
      <c r="D188" s="2074" t="s">
        <v>75</v>
      </c>
      <c r="E188" s="1470"/>
      <c r="F188" s="1468"/>
      <c r="G188" s="206"/>
      <c r="H188" s="1082"/>
      <c r="I188" s="1263"/>
      <c r="J188" s="1128"/>
      <c r="K188" s="1130"/>
      <c r="L188" s="1263"/>
      <c r="M188" s="1128"/>
      <c r="N188" s="1130"/>
      <c r="O188" s="1263"/>
      <c r="P188" s="681"/>
      <c r="Q188" s="2432" t="s">
        <v>57</v>
      </c>
      <c r="R188" s="470">
        <v>0.6</v>
      </c>
      <c r="S188" s="470">
        <v>1.3</v>
      </c>
      <c r="T188" s="2294"/>
      <c r="U188" s="1515"/>
    </row>
    <row r="189" spans="1:21" ht="15" customHeight="1" x14ac:dyDescent="0.2">
      <c r="A189" s="1998"/>
      <c r="B189" s="1999"/>
      <c r="C189" s="2012"/>
      <c r="D189" s="2089"/>
      <c r="E189" s="1471"/>
      <c r="F189" s="1472"/>
      <c r="G189" s="119"/>
      <c r="H189" s="1081"/>
      <c r="I189" s="1478"/>
      <c r="J189" s="1131"/>
      <c r="K189" s="715"/>
      <c r="L189" s="1478"/>
      <c r="M189" s="1131"/>
      <c r="N189" s="715"/>
      <c r="O189" s="1478"/>
      <c r="P189" s="686"/>
      <c r="Q189" s="2433"/>
      <c r="R189" s="473"/>
      <c r="S189" s="473"/>
      <c r="T189" s="2431"/>
      <c r="U189" s="1515"/>
    </row>
    <row r="190" spans="1:21" ht="18" customHeight="1" x14ac:dyDescent="0.2">
      <c r="A190" s="1998"/>
      <c r="B190" s="1999"/>
      <c r="C190" s="2084"/>
      <c r="D190" s="2222" t="s">
        <v>198</v>
      </c>
      <c r="E190" s="2224"/>
      <c r="F190" s="2013"/>
      <c r="G190" s="206"/>
      <c r="H190" s="1082"/>
      <c r="I190" s="1236"/>
      <c r="J190" s="1075"/>
      <c r="K190" s="714"/>
      <c r="L190" s="1236"/>
      <c r="M190" s="1075"/>
      <c r="N190" s="714"/>
      <c r="O190" s="1236"/>
      <c r="P190" s="679"/>
      <c r="Q190" s="841" t="s">
        <v>56</v>
      </c>
      <c r="R190" s="469">
        <v>2.9</v>
      </c>
      <c r="S190" s="660">
        <v>1.7</v>
      </c>
      <c r="T190" s="1100"/>
      <c r="U190" s="1515"/>
    </row>
    <row r="191" spans="1:21" ht="44.25" customHeight="1" x14ac:dyDescent="0.2">
      <c r="A191" s="1998"/>
      <c r="B191" s="1999"/>
      <c r="C191" s="2084"/>
      <c r="D191" s="2222"/>
      <c r="E191" s="2224"/>
      <c r="F191" s="2013"/>
      <c r="G191" s="1212"/>
      <c r="H191" s="1302"/>
      <c r="I191" s="1236"/>
      <c r="J191" s="1075"/>
      <c r="K191" s="714"/>
      <c r="L191" s="1236"/>
      <c r="M191" s="1075"/>
      <c r="N191" s="714"/>
      <c r="O191" s="1236"/>
      <c r="P191" s="679"/>
      <c r="Q191" s="1645" t="s">
        <v>331</v>
      </c>
      <c r="R191" s="1117">
        <v>100</v>
      </c>
      <c r="S191" s="1479"/>
      <c r="T191" s="1480"/>
      <c r="U191" s="1515"/>
    </row>
    <row r="192" spans="1:21" ht="15.75" customHeight="1" x14ac:dyDescent="0.2">
      <c r="A192" s="1998"/>
      <c r="B192" s="1999"/>
      <c r="C192" s="2084"/>
      <c r="D192" s="2223"/>
      <c r="E192" s="2225"/>
      <c r="F192" s="2226"/>
      <c r="G192" s="1379"/>
      <c r="H192" s="1380"/>
      <c r="I192" s="1381"/>
      <c r="J192" s="1382"/>
      <c r="K192" s="1633"/>
      <c r="L192" s="1381"/>
      <c r="M192" s="1382"/>
      <c r="N192" s="1633"/>
      <c r="O192" s="1381"/>
      <c r="P192" s="1408"/>
      <c r="Q192" s="1646" t="s">
        <v>322</v>
      </c>
      <c r="R192" s="1224" t="s">
        <v>323</v>
      </c>
      <c r="S192" s="473"/>
      <c r="T192" s="1383"/>
      <c r="U192" s="1515"/>
    </row>
    <row r="193" spans="1:24" ht="32.25" customHeight="1" x14ac:dyDescent="0.2">
      <c r="A193" s="1303"/>
      <c r="B193" s="1304"/>
      <c r="C193" s="1307"/>
      <c r="D193" s="1492" t="s">
        <v>197</v>
      </c>
      <c r="E193" s="1477"/>
      <c r="F193" s="221"/>
      <c r="G193" s="496"/>
      <c r="H193" s="1080"/>
      <c r="I193" s="1235"/>
      <c r="J193" s="1127"/>
      <c r="K193" s="1080"/>
      <c r="L193" s="1235"/>
      <c r="M193" s="1127"/>
      <c r="N193" s="1080"/>
      <c r="O193" s="1235"/>
      <c r="P193" s="696"/>
      <c r="Q193" s="1647" t="s">
        <v>199</v>
      </c>
      <c r="R193" s="1548">
        <v>18</v>
      </c>
      <c r="S193" s="1490">
        <v>18</v>
      </c>
      <c r="T193" s="1491"/>
      <c r="U193" s="1917"/>
    </row>
    <row r="194" spans="1:24" x14ac:dyDescent="0.2">
      <c r="A194" s="1998"/>
      <c r="B194" s="1999"/>
      <c r="C194" s="2012"/>
      <c r="D194" s="2144" t="s">
        <v>55</v>
      </c>
      <c r="E194" s="2224"/>
      <c r="F194" s="2013"/>
      <c r="G194" s="206"/>
      <c r="H194" s="1082"/>
      <c r="I194" s="1236"/>
      <c r="J194" s="1075"/>
      <c r="K194" s="714"/>
      <c r="L194" s="1236"/>
      <c r="M194" s="1075"/>
      <c r="N194" s="714"/>
      <c r="O194" s="1236"/>
      <c r="P194" s="679"/>
      <c r="Q194" s="841" t="s">
        <v>77</v>
      </c>
      <c r="R194" s="1309">
        <v>14</v>
      </c>
      <c r="S194" s="1309">
        <v>14</v>
      </c>
      <c r="T194" s="1312"/>
      <c r="U194" s="2291"/>
    </row>
    <row r="195" spans="1:24" ht="25.5" customHeight="1" x14ac:dyDescent="0.2">
      <c r="A195" s="1998"/>
      <c r="B195" s="1999"/>
      <c r="C195" s="2012"/>
      <c r="D195" s="2144"/>
      <c r="E195" s="2224"/>
      <c r="F195" s="2013"/>
      <c r="G195" s="822"/>
      <c r="H195" s="1083"/>
      <c r="I195" s="1240"/>
      <c r="J195" s="1273"/>
      <c r="K195" s="1083"/>
      <c r="L195" s="1240"/>
      <c r="M195" s="1273"/>
      <c r="N195" s="1083"/>
      <c r="O195" s="1240"/>
      <c r="P195" s="1409"/>
      <c r="Q195" s="841" t="s">
        <v>373</v>
      </c>
      <c r="R195" s="2174">
        <v>100</v>
      </c>
      <c r="S195" s="2174"/>
      <c r="T195" s="2256"/>
      <c r="U195" s="2291"/>
    </row>
    <row r="196" spans="1:24" ht="13.5" thickBot="1" x14ac:dyDescent="0.25">
      <c r="A196" s="305"/>
      <c r="B196" s="1310"/>
      <c r="C196" s="904"/>
      <c r="D196" s="2083"/>
      <c r="E196" s="2081"/>
      <c r="F196" s="2083"/>
      <c r="G196" s="81" t="s">
        <v>9</v>
      </c>
      <c r="H196" s="821">
        <f t="shared" ref="H196:P196" si="24">SUM(H178:H195)</f>
        <v>2329.4</v>
      </c>
      <c r="I196" s="1274">
        <f t="shared" si="24"/>
        <v>2359.4</v>
      </c>
      <c r="J196" s="1406">
        <f t="shared" si="24"/>
        <v>30</v>
      </c>
      <c r="K196" s="821">
        <f t="shared" si="24"/>
        <v>1581</v>
      </c>
      <c r="L196" s="1274">
        <f t="shared" si="24"/>
        <v>1581</v>
      </c>
      <c r="M196" s="1624">
        <f t="shared" si="24"/>
        <v>0</v>
      </c>
      <c r="N196" s="821">
        <f t="shared" si="24"/>
        <v>1710.2</v>
      </c>
      <c r="O196" s="1274">
        <f t="shared" si="24"/>
        <v>1710.2</v>
      </c>
      <c r="P196" s="1648">
        <f t="shared" si="24"/>
        <v>0</v>
      </c>
      <c r="Q196" s="1074"/>
      <c r="R196" s="2111"/>
      <c r="S196" s="2111"/>
      <c r="T196" s="2083"/>
      <c r="U196" s="2291"/>
    </row>
    <row r="197" spans="1:24" ht="29.25" customHeight="1" x14ac:dyDescent="0.2">
      <c r="A197" s="1306" t="s">
        <v>8</v>
      </c>
      <c r="B197" s="1304" t="s">
        <v>48</v>
      </c>
      <c r="C197" s="196" t="s">
        <v>10</v>
      </c>
      <c r="D197" s="2245" t="s">
        <v>311</v>
      </c>
      <c r="E197" s="2246"/>
      <c r="F197" s="2249" t="s">
        <v>63</v>
      </c>
      <c r="G197" s="206" t="s">
        <v>188</v>
      </c>
      <c r="H197" s="1084"/>
      <c r="I197" s="1275"/>
      <c r="J197" s="1258"/>
      <c r="K197" s="714">
        <v>203</v>
      </c>
      <c r="L197" s="1236">
        <v>203</v>
      </c>
      <c r="M197" s="1639"/>
      <c r="N197" s="1636"/>
      <c r="O197" s="1275"/>
      <c r="P197" s="1258"/>
      <c r="Q197" s="1314" t="s">
        <v>234</v>
      </c>
      <c r="R197" s="674">
        <v>1</v>
      </c>
      <c r="S197" s="675"/>
      <c r="T197" s="638"/>
      <c r="U197" s="1515"/>
    </row>
    <row r="198" spans="1:24" ht="24" customHeight="1" x14ac:dyDescent="0.2">
      <c r="A198" s="1306"/>
      <c r="B198" s="1304"/>
      <c r="C198" s="196"/>
      <c r="D198" s="2016"/>
      <c r="E198" s="2247"/>
      <c r="F198" s="2250"/>
      <c r="G198" s="119" t="s">
        <v>40</v>
      </c>
      <c r="H198" s="1081">
        <v>30</v>
      </c>
      <c r="I198" s="1264">
        <v>30</v>
      </c>
      <c r="J198" s="695"/>
      <c r="K198" s="1129"/>
      <c r="L198" s="1264"/>
      <c r="M198" s="744"/>
      <c r="N198" s="1129"/>
      <c r="O198" s="1264"/>
      <c r="P198" s="695"/>
      <c r="Q198" s="2327" t="s">
        <v>275</v>
      </c>
      <c r="R198" s="1309"/>
      <c r="S198" s="1309">
        <v>100</v>
      </c>
      <c r="T198" s="638"/>
      <c r="U198" s="1515"/>
    </row>
    <row r="199" spans="1:24" ht="13.5" thickBot="1" x14ac:dyDescent="0.25">
      <c r="A199" s="305"/>
      <c r="B199" s="1310"/>
      <c r="C199" s="764"/>
      <c r="D199" s="199"/>
      <c r="E199" s="2248"/>
      <c r="F199" s="2251"/>
      <c r="G199" s="81" t="s">
        <v>9</v>
      </c>
      <c r="H199" s="765">
        <f>SUM(H197:H198)</f>
        <v>30</v>
      </c>
      <c r="I199" s="1252">
        <f t="shared" ref="I199:J199" si="25">SUM(I197:I198)</f>
        <v>30</v>
      </c>
      <c r="J199" s="1319">
        <f t="shared" si="25"/>
        <v>0</v>
      </c>
      <c r="K199" s="765">
        <f>K197</f>
        <v>203</v>
      </c>
      <c r="L199" s="1252">
        <f>L197</f>
        <v>203</v>
      </c>
      <c r="M199" s="1446">
        <f t="shared" ref="M199" si="26">SUM(M197:M198)</f>
        <v>0</v>
      </c>
      <c r="N199" s="765"/>
      <c r="O199" s="1252"/>
      <c r="P199" s="1319">
        <f t="shared" ref="P199" si="27">SUM(P197:P198)</f>
        <v>0</v>
      </c>
      <c r="Q199" s="2328"/>
      <c r="R199" s="642"/>
      <c r="S199" s="642"/>
      <c r="T199" s="71"/>
      <c r="U199" s="1933"/>
    </row>
    <row r="200" spans="1:24" ht="13.5" thickBot="1" x14ac:dyDescent="0.25">
      <c r="A200" s="305" t="s">
        <v>8</v>
      </c>
      <c r="B200" s="1310" t="s">
        <v>48</v>
      </c>
      <c r="C200" s="2232" t="s">
        <v>11</v>
      </c>
      <c r="D200" s="2232"/>
      <c r="E200" s="2232"/>
      <c r="F200" s="2232"/>
      <c r="G200" s="2148"/>
      <c r="H200" s="766">
        <f>H199+H196</f>
        <v>2359.4</v>
      </c>
      <c r="I200" s="1265">
        <f>I199+I196</f>
        <v>2389.4</v>
      </c>
      <c r="J200" s="1265">
        <f t="shared" ref="J200:N200" si="28">J199+J196</f>
        <v>30</v>
      </c>
      <c r="K200" s="1634">
        <f t="shared" si="28"/>
        <v>1784</v>
      </c>
      <c r="L200" s="1265">
        <f t="shared" ref="L200:M200" si="29">L199+L196</f>
        <v>1784</v>
      </c>
      <c r="M200" s="735">
        <f t="shared" si="29"/>
        <v>0</v>
      </c>
      <c r="N200" s="766">
        <f t="shared" si="28"/>
        <v>1710.2</v>
      </c>
      <c r="O200" s="1265">
        <f t="shared" ref="O200:P200" si="30">O199+O196</f>
        <v>1710.2</v>
      </c>
      <c r="P200" s="1260">
        <f t="shared" si="30"/>
        <v>0</v>
      </c>
      <c r="Q200" s="2166"/>
      <c r="R200" s="2166"/>
      <c r="S200" s="2166"/>
      <c r="T200" s="2166"/>
      <c r="U200" s="1941"/>
    </row>
    <row r="201" spans="1:24" ht="13.5" thickBot="1" x14ac:dyDescent="0.25">
      <c r="A201" s="93" t="s">
        <v>8</v>
      </c>
      <c r="B201" s="2233" t="s">
        <v>12</v>
      </c>
      <c r="C201" s="2234"/>
      <c r="D201" s="2234"/>
      <c r="E201" s="2234"/>
      <c r="F201" s="2234"/>
      <c r="G201" s="2235"/>
      <c r="H201" s="767">
        <f t="shared" ref="H201:P201" si="31">H200+H176+H129+H107</f>
        <v>14053.3</v>
      </c>
      <c r="I201" s="1276">
        <f t="shared" si="31"/>
        <v>13672</v>
      </c>
      <c r="J201" s="769">
        <f t="shared" si="31"/>
        <v>-381.3</v>
      </c>
      <c r="K201" s="1635">
        <f t="shared" si="31"/>
        <v>22721.7</v>
      </c>
      <c r="L201" s="1276">
        <f t="shared" si="31"/>
        <v>23320.7</v>
      </c>
      <c r="M201" s="1276">
        <f t="shared" si="31"/>
        <v>599</v>
      </c>
      <c r="N201" s="1276">
        <f t="shared" si="31"/>
        <v>25659.4</v>
      </c>
      <c r="O201" s="1276">
        <f t="shared" si="31"/>
        <v>23255.8</v>
      </c>
      <c r="P201" s="769">
        <f t="shared" si="31"/>
        <v>-2403.6</v>
      </c>
      <c r="Q201" s="2237"/>
      <c r="R201" s="2237"/>
      <c r="S201" s="2237"/>
      <c r="T201" s="2237"/>
      <c r="U201" s="1942"/>
    </row>
    <row r="202" spans="1:24" ht="13.5" thickBot="1" x14ac:dyDescent="0.25">
      <c r="A202" s="62" t="s">
        <v>51</v>
      </c>
      <c r="B202" s="2239" t="s">
        <v>82</v>
      </c>
      <c r="C202" s="2240"/>
      <c r="D202" s="2240"/>
      <c r="E202" s="2240"/>
      <c r="F202" s="2240"/>
      <c r="G202" s="2241"/>
      <c r="H202" s="770">
        <f>SUM(H201)</f>
        <v>14053.3</v>
      </c>
      <c r="I202" s="1277">
        <f t="shared" ref="I202:N202" si="32">SUM(I201)</f>
        <v>13672</v>
      </c>
      <c r="J202" s="772">
        <f t="shared" si="32"/>
        <v>-381.3</v>
      </c>
      <c r="K202" s="770">
        <f t="shared" si="32"/>
        <v>22721.7</v>
      </c>
      <c r="L202" s="1277">
        <f t="shared" ref="L202:M202" si="33">SUM(L201)</f>
        <v>23320.7</v>
      </c>
      <c r="M202" s="1631">
        <f t="shared" si="33"/>
        <v>599</v>
      </c>
      <c r="N202" s="770">
        <f t="shared" si="32"/>
        <v>25659.4</v>
      </c>
      <c r="O202" s="1277">
        <f t="shared" ref="O202:P202" si="34">SUM(O201)</f>
        <v>23255.8</v>
      </c>
      <c r="P202" s="772">
        <f t="shared" si="34"/>
        <v>-2403.6</v>
      </c>
      <c r="Q202" s="2243"/>
      <c r="R202" s="2243"/>
      <c r="S202" s="2243"/>
      <c r="T202" s="2243"/>
      <c r="U202" s="1943"/>
    </row>
    <row r="203" spans="1:24" s="15" customFormat="1" ht="12" customHeight="1" x14ac:dyDescent="0.2">
      <c r="A203" s="2283"/>
      <c r="B203" s="2283"/>
      <c r="C203" s="2283"/>
      <c r="D203" s="2283"/>
      <c r="E203" s="2283"/>
      <c r="F203" s="2283"/>
      <c r="G203" s="2283"/>
      <c r="H203" s="2283"/>
      <c r="I203" s="2283"/>
      <c r="J203" s="2283"/>
      <c r="K203" s="2283"/>
      <c r="L203" s="2283"/>
      <c r="M203" s="2283"/>
      <c r="N203" s="2283"/>
      <c r="O203" s="2283"/>
      <c r="P203" s="2283"/>
      <c r="Q203" s="2283"/>
      <c r="R203" s="2283"/>
      <c r="S203" s="2283"/>
      <c r="T203" s="2283"/>
      <c r="U203" s="1944"/>
      <c r="V203" s="14"/>
      <c r="W203" s="14"/>
      <c r="X203" s="14"/>
    </row>
    <row r="204" spans="1:24" s="15" customFormat="1" ht="15" customHeight="1" thickBot="1" x14ac:dyDescent="0.25">
      <c r="A204" s="2284" t="s">
        <v>17</v>
      </c>
      <c r="B204" s="2284"/>
      <c r="C204" s="2284"/>
      <c r="D204" s="2284"/>
      <c r="E204" s="2284"/>
      <c r="F204" s="2284"/>
      <c r="G204" s="2284"/>
      <c r="H204" s="2284"/>
      <c r="I204" s="2284"/>
      <c r="J204" s="2284"/>
      <c r="K204" s="1137"/>
      <c r="L204" s="1137"/>
      <c r="M204" s="1137"/>
      <c r="N204" s="1141"/>
      <c r="O204" s="1141"/>
      <c r="P204" s="1137"/>
      <c r="Q204" s="5"/>
      <c r="R204" s="5"/>
      <c r="S204" s="5"/>
      <c r="T204" s="5"/>
      <c r="U204" s="1944"/>
      <c r="V204" s="14"/>
      <c r="W204" s="14"/>
      <c r="X204" s="14"/>
    </row>
    <row r="205" spans="1:24" ht="49.5" customHeight="1" x14ac:dyDescent="0.2">
      <c r="A205" s="2335" t="s">
        <v>13</v>
      </c>
      <c r="B205" s="2336"/>
      <c r="C205" s="2336"/>
      <c r="D205" s="2336"/>
      <c r="E205" s="2336"/>
      <c r="F205" s="2336"/>
      <c r="G205" s="2337"/>
      <c r="H205" s="2421" t="s">
        <v>256</v>
      </c>
      <c r="I205" s="2329" t="s">
        <v>383</v>
      </c>
      <c r="J205" s="2418" t="s">
        <v>314</v>
      </c>
      <c r="K205" s="2421" t="s">
        <v>122</v>
      </c>
      <c r="L205" s="2329" t="s">
        <v>325</v>
      </c>
      <c r="M205" s="2424" t="s">
        <v>314</v>
      </c>
      <c r="N205" s="2421" t="s">
        <v>191</v>
      </c>
      <c r="O205" s="2329" t="s">
        <v>336</v>
      </c>
      <c r="P205" s="2332" t="s">
        <v>314</v>
      </c>
      <c r="Q205" s="14"/>
    </row>
    <row r="206" spans="1:24" ht="18" customHeight="1" x14ac:dyDescent="0.2">
      <c r="A206" s="2338"/>
      <c r="B206" s="2339"/>
      <c r="C206" s="2339"/>
      <c r="D206" s="2339"/>
      <c r="E206" s="2339"/>
      <c r="F206" s="2339"/>
      <c r="G206" s="2340"/>
      <c r="H206" s="2429"/>
      <c r="I206" s="2330"/>
      <c r="J206" s="2419"/>
      <c r="K206" s="2422"/>
      <c r="L206" s="2330"/>
      <c r="M206" s="2425"/>
      <c r="N206" s="2422"/>
      <c r="O206" s="2330"/>
      <c r="P206" s="2333"/>
      <c r="Q206" s="14"/>
    </row>
    <row r="207" spans="1:24" ht="30" customHeight="1" thickBot="1" x14ac:dyDescent="0.25">
      <c r="A207" s="2341"/>
      <c r="B207" s="2342"/>
      <c r="C207" s="2342"/>
      <c r="D207" s="2342"/>
      <c r="E207" s="2342"/>
      <c r="F207" s="2342"/>
      <c r="G207" s="2343"/>
      <c r="H207" s="2430"/>
      <c r="I207" s="2331"/>
      <c r="J207" s="2420"/>
      <c r="K207" s="2423"/>
      <c r="L207" s="2331"/>
      <c r="M207" s="2426"/>
      <c r="N207" s="2423"/>
      <c r="O207" s="2331"/>
      <c r="P207" s="2334"/>
      <c r="Q207" s="14"/>
    </row>
    <row r="208" spans="1:24" ht="14.25" customHeight="1" x14ac:dyDescent="0.2">
      <c r="A208" s="2288" t="s">
        <v>18</v>
      </c>
      <c r="B208" s="2289"/>
      <c r="C208" s="2289"/>
      <c r="D208" s="2289"/>
      <c r="E208" s="2289"/>
      <c r="F208" s="2289"/>
      <c r="G208" s="2290"/>
      <c r="H208" s="1151">
        <f>H209+H215+H216+H217</f>
        <v>13371</v>
      </c>
      <c r="I208" s="1151">
        <f t="shared" ref="I208" si="35">I209+I215+I216+I217</f>
        <v>13259.7</v>
      </c>
      <c r="J208" s="1769">
        <f t="shared" ref="J208" si="36">J209+J215+J216+J217</f>
        <v>-111.3</v>
      </c>
      <c r="K208" s="1151">
        <f t="shared" ref="K208" si="37">K209+K215+K216+K217</f>
        <v>16253.1</v>
      </c>
      <c r="L208" s="1151">
        <f t="shared" ref="L208" si="38">L209+L215+L216+L217</f>
        <v>16852.099999999999</v>
      </c>
      <c r="M208" s="1769">
        <f t="shared" ref="M208" si="39">M209+M215+M216+M217</f>
        <v>599</v>
      </c>
      <c r="N208" s="1151">
        <f t="shared" ref="N208" si="40">N209+N215+N216+N217</f>
        <v>19525.3</v>
      </c>
      <c r="O208" s="1774">
        <f t="shared" ref="O208" si="41">O209+O215+O216+O217</f>
        <v>19244.3</v>
      </c>
      <c r="P208" s="1769">
        <f t="shared" ref="P208" si="42">P209+P215+P216+P217</f>
        <v>-281</v>
      </c>
      <c r="Q208" s="14"/>
    </row>
    <row r="209" spans="1:20" ht="14.25" customHeight="1" x14ac:dyDescent="0.2">
      <c r="A209" s="2229" t="s">
        <v>153</v>
      </c>
      <c r="B209" s="2230"/>
      <c r="C209" s="2230"/>
      <c r="D209" s="2230"/>
      <c r="E209" s="2230"/>
      <c r="F209" s="2230"/>
      <c r="G209" s="2231"/>
      <c r="H209" s="1281">
        <f>SUM(H210:H214)</f>
        <v>13101.3</v>
      </c>
      <c r="I209" s="1765">
        <f>SUM(I210:I214)</f>
        <v>12990</v>
      </c>
      <c r="J209" s="1770">
        <f t="shared" ref="J209" si="43">SUM(J210:J214)</f>
        <v>-111.3</v>
      </c>
      <c r="K209" s="1281">
        <f>SUM(K210:K214)</f>
        <v>15834.2</v>
      </c>
      <c r="L209" s="1765">
        <f>SUM(L210:L214)</f>
        <v>16433.2</v>
      </c>
      <c r="M209" s="1770">
        <f>L209-K209</f>
        <v>599</v>
      </c>
      <c r="N209" s="1150">
        <f>SUM(N210:N214)</f>
        <v>18977.2</v>
      </c>
      <c r="O209" s="1281">
        <f>SUM(O210:O214)</f>
        <v>18696.2</v>
      </c>
      <c r="P209" s="1278">
        <f t="shared" ref="P209" si="44">SUM(P210:P214)</f>
        <v>-281</v>
      </c>
      <c r="Q209" s="14"/>
    </row>
    <row r="210" spans="1:20" ht="14.25" customHeight="1" x14ac:dyDescent="0.2">
      <c r="A210" s="2280" t="s">
        <v>33</v>
      </c>
      <c r="B210" s="2281"/>
      <c r="C210" s="2281"/>
      <c r="D210" s="2281"/>
      <c r="E210" s="2281"/>
      <c r="F210" s="2281"/>
      <c r="G210" s="2282"/>
      <c r="H210" s="1152">
        <f>SUMIF(G13:G202,"SB",H13:H202)</f>
        <v>8090.9</v>
      </c>
      <c r="I210" s="837">
        <f>SUMIF(G13:G202,"SB",I13:I202)</f>
        <v>8090.9</v>
      </c>
      <c r="J210" s="1458">
        <f>SUMIF(G13:G202,"SB",J13:J202)</f>
        <v>0</v>
      </c>
      <c r="K210" s="1152">
        <f>SUMIF(G13:G202,"SB",K13:K202)</f>
        <v>8196.7999999999993</v>
      </c>
      <c r="L210" s="837">
        <f>SUMIF(G13:G202,"SB",L13:L202)</f>
        <v>8371.6</v>
      </c>
      <c r="M210" s="1458">
        <f>L210-K210</f>
        <v>174.8</v>
      </c>
      <c r="N210" s="1152">
        <f>SUMIF(G13:G202,"SB",N13:N202)</f>
        <v>9066.4</v>
      </c>
      <c r="O210" s="536">
        <f>SUMIF(G13:G202,"SB",O13:O202)</f>
        <v>8798.5</v>
      </c>
      <c r="P210" s="534">
        <f>SUMIF(G13:G202,"SB",P13:P202)</f>
        <v>-267.89999999999998</v>
      </c>
      <c r="Q210" s="1320"/>
    </row>
    <row r="211" spans="1:20" ht="14.25" customHeight="1" x14ac:dyDescent="0.2">
      <c r="A211" s="2262" t="s">
        <v>34</v>
      </c>
      <c r="B211" s="2263"/>
      <c r="C211" s="2263"/>
      <c r="D211" s="2263"/>
      <c r="E211" s="2263"/>
      <c r="F211" s="2263"/>
      <c r="G211" s="2264"/>
      <c r="H211" s="1153">
        <f>SUMIF(G13:G202,"SB(P)",H13:H202)</f>
        <v>0</v>
      </c>
      <c r="I211" s="1766">
        <f>SUMIF(G13:G202,"SB(P)",I13:I202)</f>
        <v>0</v>
      </c>
      <c r="J211" s="1755">
        <f>SUMIF(G13:G202,"SB(P)",J13:J202)</f>
        <v>0</v>
      </c>
      <c r="K211" s="1153">
        <f>SUMIF(G13:G202,"SB(P)",K13:K202)</f>
        <v>70</v>
      </c>
      <c r="L211" s="1766">
        <f>SUMIF(G13:G202,"SB(P)",L13:L202)</f>
        <v>70</v>
      </c>
      <c r="M211" s="1755">
        <f>SUMIF(J13:J202,"SB(P)",M13:M202)</f>
        <v>0</v>
      </c>
      <c r="N211" s="1153">
        <f>SUMIF(G13:G202,"SB(P)",N13:N202)</f>
        <v>3</v>
      </c>
      <c r="O211" s="1282">
        <f>SUMIF(G13:G202,"SB(P)",O13:O202)</f>
        <v>3</v>
      </c>
      <c r="P211" s="824">
        <f>SUMIF(M13:M202,"SB(P)",P13:P202)</f>
        <v>0</v>
      </c>
      <c r="Q211" s="49"/>
    </row>
    <row r="212" spans="1:20" ht="14.25" customHeight="1" x14ac:dyDescent="0.2">
      <c r="A212" s="2262" t="s">
        <v>100</v>
      </c>
      <c r="B212" s="2263"/>
      <c r="C212" s="2263"/>
      <c r="D212" s="2263"/>
      <c r="E212" s="2263"/>
      <c r="F212" s="2263"/>
      <c r="G212" s="2264"/>
      <c r="H212" s="1152">
        <f>SUMIF(G13:G202,"SB(VR)",H13:H202)</f>
        <v>1306.5999999999999</v>
      </c>
      <c r="I212" s="837">
        <f>SUMIF(G13:G202,"SB(VR)",I13:I202)</f>
        <v>1306.5999999999999</v>
      </c>
      <c r="J212" s="1458">
        <f>SUMIF(G13:G202,"SB(VR)",J13:J202)</f>
        <v>0</v>
      </c>
      <c r="K212" s="1152">
        <f>SUMIF(G13:G202,"SB(VR)",K13:K202)</f>
        <v>844.2</v>
      </c>
      <c r="L212" s="837">
        <f>SUMIF(G12:G202,"SB(VR)",L12:L202)</f>
        <v>844.2</v>
      </c>
      <c r="M212" s="1458">
        <f>SUMIF(J13:J202,"SB(VR)",M13:M202)</f>
        <v>0</v>
      </c>
      <c r="N212" s="1152">
        <f>SUMIF(G13:G202,"SB(VR)",N13:N202)</f>
        <v>657.2</v>
      </c>
      <c r="O212" s="536">
        <f>SUMIF(G13:G202,"SB(VR)",O13:O202)</f>
        <v>657.2</v>
      </c>
      <c r="P212" s="534">
        <f>SUMIF(M13:M202,"SB(VR)",P13:P202)</f>
        <v>0</v>
      </c>
      <c r="Q212" s="1763"/>
    </row>
    <row r="213" spans="1:20" ht="14.25" customHeight="1" x14ac:dyDescent="0.2">
      <c r="A213" s="2259" t="s">
        <v>115</v>
      </c>
      <c r="B213" s="2260"/>
      <c r="C213" s="2260"/>
      <c r="D213" s="2260"/>
      <c r="E213" s="2260"/>
      <c r="F213" s="2260"/>
      <c r="G213" s="2261"/>
      <c r="H213" s="1153">
        <f>SUMIF(G11:G202,"SB(L)",H11:H202)</f>
        <v>0</v>
      </c>
      <c r="I213" s="1766">
        <f>SUMIF(G12:G202,"SB(L)",I12:I202)</f>
        <v>0</v>
      </c>
      <c r="J213" s="1755">
        <f>SUMIF(G12:G202,"SB(L)",J12:J202)</f>
        <v>0</v>
      </c>
      <c r="K213" s="1153">
        <f>SUMIF(G11:G202,"SB(L)",K11:K202)</f>
        <v>36.700000000000003</v>
      </c>
      <c r="L213" s="1766">
        <f>SUMIF(G12:G202,"SB(L)",L12:L202)</f>
        <v>36.700000000000003</v>
      </c>
      <c r="M213" s="1755">
        <f>SUMIF(J12:J202,"SB(L)",M12:M202)</f>
        <v>0</v>
      </c>
      <c r="N213" s="1153">
        <f>SUMIF(G11:G202,"SB(L)",N11:N202)</f>
        <v>36.700000000000003</v>
      </c>
      <c r="O213" s="1282">
        <f>SUMIF(G12:G202,"SB(L)",O12:O202)</f>
        <v>36.700000000000003</v>
      </c>
      <c r="P213" s="824">
        <f>SUMIF(M12:M202,"SB(L)",P12:P202)</f>
        <v>0</v>
      </c>
    </row>
    <row r="214" spans="1:20" ht="14.25" customHeight="1" x14ac:dyDescent="0.2">
      <c r="A214" s="2316" t="s">
        <v>186</v>
      </c>
      <c r="B214" s="2317"/>
      <c r="C214" s="2317"/>
      <c r="D214" s="2317"/>
      <c r="E214" s="2317"/>
      <c r="F214" s="2317"/>
      <c r="G214" s="2318"/>
      <c r="H214" s="1152">
        <f>SUMIF(G12:G202,"SB(KPP)",H12:H202)</f>
        <v>3703.8</v>
      </c>
      <c r="I214" s="837">
        <f>SUMIF(G13:G202,"SB(KPP)",I13:I202)</f>
        <v>3592.5</v>
      </c>
      <c r="J214" s="1458">
        <f>SUMIF(G13:G202,"SB(KPP)",J13:J202)</f>
        <v>-111.3</v>
      </c>
      <c r="K214" s="1152">
        <f>SUMIF(G12:G202,"SB(KPP)",K12:K202)</f>
        <v>6686.5</v>
      </c>
      <c r="L214" s="837">
        <f>SUMIF(G13:G202,"SB(KPP)",L13:L202)</f>
        <v>7110.7</v>
      </c>
      <c r="M214" s="1458">
        <f>L214-K214</f>
        <v>424.2</v>
      </c>
      <c r="N214" s="1152">
        <f>SUMIF(G12:G202,"SB(KPP)",N12:N202)</f>
        <v>9213.9</v>
      </c>
      <c r="O214" s="536">
        <f>SUMIF(G13:G202,"SB(KPP)",O13:O202)</f>
        <v>9200.7999999999993</v>
      </c>
      <c r="P214" s="534">
        <f>SUMIF(G13:G202,"SB(KPP)",P13:P202)</f>
        <v>-13.1</v>
      </c>
    </row>
    <row r="215" spans="1:20" ht="14.25" customHeight="1" x14ac:dyDescent="0.2">
      <c r="A215" s="2268" t="s">
        <v>184</v>
      </c>
      <c r="B215" s="2269"/>
      <c r="C215" s="2269"/>
      <c r="D215" s="2269"/>
      <c r="E215" s="2269"/>
      <c r="F215" s="2269"/>
      <c r="G215" s="2270"/>
      <c r="H215" s="1154">
        <f>SUMIF(G12:G202,"SB(VRL)",H12:H202)</f>
        <v>261.8</v>
      </c>
      <c r="I215" s="1767">
        <f>SUMIF(G13:G202,"SB(VRL)",I13:I202)</f>
        <v>261.8</v>
      </c>
      <c r="J215" s="1771">
        <f>SUMIF(G13:G202,"SB(VRL)",J13:J202)</f>
        <v>0</v>
      </c>
      <c r="K215" s="1154">
        <f>SUMIF(G12:G202,"SB(VRL)",K12:K202)</f>
        <v>418.9</v>
      </c>
      <c r="L215" s="1767">
        <f>SUMIF(G13:G202,"SB(VRL)",L13:L202)</f>
        <v>418.9</v>
      </c>
      <c r="M215" s="1771">
        <f>SUMIF(J13:J202,"SB(VRL)",M13:M202)</f>
        <v>0</v>
      </c>
      <c r="N215" s="1154">
        <f>SUMIF(G12:G202,"SB(VRL)",N12:N202)</f>
        <v>548.1</v>
      </c>
      <c r="O215" s="1283">
        <f>SUMIF(G13:G202,"SB(VRL)",O13:O202)</f>
        <v>548.1</v>
      </c>
      <c r="P215" s="1279">
        <f>SUMIF(M13:M202,"SB(VRL)",P13:P202)</f>
        <v>0</v>
      </c>
    </row>
    <row r="216" spans="1:20" ht="14.25" customHeight="1" x14ac:dyDescent="0.2">
      <c r="A216" s="2271" t="s">
        <v>185</v>
      </c>
      <c r="B216" s="2269"/>
      <c r="C216" s="2269"/>
      <c r="D216" s="2269"/>
      <c r="E216" s="2269"/>
      <c r="F216" s="2269"/>
      <c r="G216" s="2270"/>
      <c r="H216" s="1154">
        <f>SUMIF(G13:G202,"SB(ŽPL)",H13:H202)</f>
        <v>7.9</v>
      </c>
      <c r="I216" s="1767">
        <f>SUMIF(G13:G202,"SB(ŽPL)",I13:I202)</f>
        <v>7.9</v>
      </c>
      <c r="J216" s="1771">
        <f>SUMIF(G13:G203,"SB(ŽPL)",J13:J203)</f>
        <v>0</v>
      </c>
      <c r="K216" s="1154">
        <f>SUMIF(G13:G202,"SB(ŽPL)",K13:K202)</f>
        <v>0</v>
      </c>
      <c r="L216" s="1767">
        <f>SUMIF(G13:G202,"SB(ŽPL)",L13:L202)</f>
        <v>0</v>
      </c>
      <c r="M216" s="1771">
        <f>SUMIF(J13:J203,"SB(ŽPL)",M13:M203)</f>
        <v>0</v>
      </c>
      <c r="N216" s="1154">
        <f>SUMIF(G13:G202,"SB(ŽPL)",N13:N202)</f>
        <v>0</v>
      </c>
      <c r="O216" s="1283">
        <f>SUMIF(G13:G202,"SB(ŽPL)",O13:O202)</f>
        <v>0</v>
      </c>
      <c r="P216" s="1279">
        <f>SUMIF(M13:M203,"SB(ŽPL)",P13:P203)</f>
        <v>0</v>
      </c>
      <c r="Q216" s="49"/>
    </row>
    <row r="217" spans="1:20" ht="14.25" customHeight="1" x14ac:dyDescent="0.2">
      <c r="A217" s="2271" t="s">
        <v>110</v>
      </c>
      <c r="B217" s="2272"/>
      <c r="C217" s="2272"/>
      <c r="D217" s="2272"/>
      <c r="E217" s="2272"/>
      <c r="F217" s="2272"/>
      <c r="G217" s="2273"/>
      <c r="H217" s="1154">
        <f>SUMIF(G14:G202,"PF",H14:H202)</f>
        <v>0</v>
      </c>
      <c r="I217" s="1767">
        <f>SUMIF(G13:G202,"PF",I13:I202)</f>
        <v>0</v>
      </c>
      <c r="J217" s="1771">
        <f>SUMIF(G13:G202,"PF",J13:J202)</f>
        <v>0</v>
      </c>
      <c r="K217" s="1154">
        <f>SUMIF(G14:G202,"PF",K14:K202)</f>
        <v>0</v>
      </c>
      <c r="L217" s="1767">
        <f>SUMIF(G13:G202,"PF",L13:L202)</f>
        <v>0</v>
      </c>
      <c r="M217" s="1771">
        <f>SUMIF(J13:J202,"PF",M13:M202)</f>
        <v>0</v>
      </c>
      <c r="N217" s="1154">
        <f>SUMIF(G14:G202,"PF",N14:N202)</f>
        <v>0</v>
      </c>
      <c r="O217" s="1283">
        <f>SUMIF(G13:G202,"PF",O13:O202)</f>
        <v>0</v>
      </c>
      <c r="P217" s="1279">
        <f>SUMIF(M13:M202,"PF",P13:P202)</f>
        <v>0</v>
      </c>
      <c r="Q217" s="69"/>
    </row>
    <row r="218" spans="1:20" ht="14.25" customHeight="1" x14ac:dyDescent="0.2">
      <c r="A218" s="2274" t="s">
        <v>19</v>
      </c>
      <c r="B218" s="2275"/>
      <c r="C218" s="2275"/>
      <c r="D218" s="2275"/>
      <c r="E218" s="2275"/>
      <c r="F218" s="2275"/>
      <c r="G218" s="2276"/>
      <c r="H218" s="1155">
        <f>SUM(H219:H222)</f>
        <v>682.3</v>
      </c>
      <c r="I218" s="1155">
        <f t="shared" ref="I218:J218" si="45">SUM(I219:I222)</f>
        <v>412.3</v>
      </c>
      <c r="J218" s="1772">
        <f t="shared" si="45"/>
        <v>-270</v>
      </c>
      <c r="K218" s="1155">
        <f>SUM(K219:K222)</f>
        <v>6468.6</v>
      </c>
      <c r="L218" s="1155">
        <f t="shared" ref="L218" si="46">SUM(L219:L222)</f>
        <v>6468.6</v>
      </c>
      <c r="M218" s="1772">
        <f t="shared" ref="M218" si="47">SUM(M219:M222)</f>
        <v>0</v>
      </c>
      <c r="N218" s="1155">
        <f>SUM(N219:N222)</f>
        <v>6134.1</v>
      </c>
      <c r="O218" s="1775">
        <f t="shared" ref="O218" si="48">SUM(O219:O222)</f>
        <v>4011.5</v>
      </c>
      <c r="P218" s="1764">
        <f t="shared" ref="P218" si="49">SUM(P219:P222)</f>
        <v>-2122.6</v>
      </c>
    </row>
    <row r="219" spans="1:20" x14ac:dyDescent="0.2">
      <c r="A219" s="2277" t="s">
        <v>35</v>
      </c>
      <c r="B219" s="2278"/>
      <c r="C219" s="2278"/>
      <c r="D219" s="2278"/>
      <c r="E219" s="2278"/>
      <c r="F219" s="2278"/>
      <c r="G219" s="2279"/>
      <c r="H219" s="1153">
        <f>SUMIF(G13:G202,"ES",H13:H202)</f>
        <v>5</v>
      </c>
      <c r="I219" s="1766">
        <f>SUMIF(G13:G202,"ES",I13:I202)</f>
        <v>5</v>
      </c>
      <c r="J219" s="1755">
        <f>SUMIF(G13:G202,"ES",J13:J202)</f>
        <v>0</v>
      </c>
      <c r="K219" s="1153">
        <f>SUMIF(G13:G202,"ES",K13:K202)</f>
        <v>5010.1000000000004</v>
      </c>
      <c r="L219" s="1766">
        <f>SUMIF(G13:G202,"ES",L13:L202)</f>
        <v>5010.1000000000004</v>
      </c>
      <c r="M219" s="1755">
        <f>SUMIF(J13:J202,"ES",M13:M202)</f>
        <v>0</v>
      </c>
      <c r="N219" s="1153">
        <f>SUMIF(G13:G202,"ES",N13:N202)</f>
        <v>4261.1000000000004</v>
      </c>
      <c r="O219" s="1282">
        <f>SUMIF(G13:G202,"ES",O13:O202)</f>
        <v>2300.6</v>
      </c>
      <c r="P219" s="824">
        <f>SUMIF(G13:G202,"ES",P13:P202)</f>
        <v>-1960.5</v>
      </c>
      <c r="Q219" s="49"/>
    </row>
    <row r="220" spans="1:20" x14ac:dyDescent="0.2">
      <c r="A220" s="2259" t="s">
        <v>37</v>
      </c>
      <c r="B220" s="2260"/>
      <c r="C220" s="2260"/>
      <c r="D220" s="2260"/>
      <c r="E220" s="2260"/>
      <c r="F220" s="2260"/>
      <c r="G220" s="2261"/>
      <c r="H220" s="1153">
        <f>SUMIF(G13:G202,"KVJUD",H13:H202)</f>
        <v>623.29999999999995</v>
      </c>
      <c r="I220" s="1766">
        <f>SUMIF(G13:G202,"KVJUD",I13:I202)</f>
        <v>353.3</v>
      </c>
      <c r="J220" s="1755">
        <f>SUMIF(G13:G202,"KVJUD",J13:J202)</f>
        <v>-270</v>
      </c>
      <c r="K220" s="1153">
        <f>SUMIF(G13:G202,"KVJUD",K13:K202)</f>
        <v>624</v>
      </c>
      <c r="L220" s="1766">
        <f>SUMIF(G13:G202,"KVJUD",L13:L202)</f>
        <v>624</v>
      </c>
      <c r="M220" s="1755">
        <f>SUMIF(J13:J202,"KVJUD",M13:M202)</f>
        <v>0</v>
      </c>
      <c r="N220" s="1153">
        <f>SUMIF(G13:G202,"KVJUD",N13:N202)</f>
        <v>1616</v>
      </c>
      <c r="O220" s="1282">
        <f>SUMIF(G13:G202,"KVJUD",O13:O202)</f>
        <v>1616</v>
      </c>
      <c r="P220" s="824">
        <f>SUMIF(M13:M202,"KVJUD",P13:P202)</f>
        <v>0</v>
      </c>
      <c r="Q220" s="51"/>
      <c r="R220" s="6"/>
      <c r="S220" s="6"/>
      <c r="T220" s="6"/>
    </row>
    <row r="221" spans="1:20" x14ac:dyDescent="0.2">
      <c r="A221" s="2262" t="s">
        <v>38</v>
      </c>
      <c r="B221" s="2263"/>
      <c r="C221" s="2263"/>
      <c r="D221" s="2263"/>
      <c r="E221" s="2263"/>
      <c r="F221" s="2263"/>
      <c r="G221" s="2264"/>
      <c r="H221" s="1153">
        <f>SUMIF(G13:G202,"LRVB",H13:H202)</f>
        <v>0</v>
      </c>
      <c r="I221" s="1766">
        <f>SUMIF(G13:G202,"LRVB",I13:I202)</f>
        <v>0</v>
      </c>
      <c r="J221" s="1755">
        <f>SUMIF(G13:G202,"LRVB",J13:J202)</f>
        <v>0</v>
      </c>
      <c r="K221" s="1153">
        <f>SUMIF(G13:G202,"LRVB",K13:K202)</f>
        <v>0</v>
      </c>
      <c r="L221" s="1766">
        <f>SUMIF(G13:G202,"LRVB",L13:L202)</f>
        <v>0</v>
      </c>
      <c r="M221" s="1755">
        <f>SUMIF(J13:J202,"LRVB",M13:M202)</f>
        <v>0</v>
      </c>
      <c r="N221" s="1153">
        <f>SUMIF(G13:G202,"LRVB",N13:N202)</f>
        <v>227</v>
      </c>
      <c r="O221" s="1282">
        <f>SUMIF(G13:G202,"LRVB",O13:O202)</f>
        <v>64.900000000000006</v>
      </c>
      <c r="P221" s="824">
        <f>SUMIF(G13:G202,"LRVB",P13:P202)</f>
        <v>-162.1</v>
      </c>
      <c r="Q221" s="51"/>
      <c r="R221" s="6"/>
      <c r="S221" s="6"/>
      <c r="T221" s="6"/>
    </row>
    <row r="222" spans="1:20" x14ac:dyDescent="0.2">
      <c r="A222" s="2262" t="s">
        <v>39</v>
      </c>
      <c r="B222" s="2263"/>
      <c r="C222" s="2263"/>
      <c r="D222" s="2263"/>
      <c r="E222" s="2263"/>
      <c r="F222" s="2263"/>
      <c r="G222" s="2264"/>
      <c r="H222" s="1153">
        <f>SUMIF(G13:G202,"Kt",H13:H202)</f>
        <v>54</v>
      </c>
      <c r="I222" s="1766">
        <f>SUMIF(G13:G202,"Kt",I13:I202)</f>
        <v>54</v>
      </c>
      <c r="J222" s="1755">
        <f>SUMIF(G13:G202,"Kt",J13:J202)</f>
        <v>0</v>
      </c>
      <c r="K222" s="1153">
        <f>SUMIF(G13:G202,"Kt",K13:K202)</f>
        <v>834.5</v>
      </c>
      <c r="L222" s="1766">
        <f>SUMIF(G13:G202,"Kt",L13:L202)</f>
        <v>834.5</v>
      </c>
      <c r="M222" s="1755">
        <f>SUMIF(J13:J202,"Kt",M13:M202)</f>
        <v>0</v>
      </c>
      <c r="N222" s="1153">
        <f>SUMIF(G13:G202,"Kt",N13:N202)</f>
        <v>30</v>
      </c>
      <c r="O222" s="1282">
        <f>SUMIF(G13:G202,"Kt",O13:O202)</f>
        <v>30</v>
      </c>
      <c r="P222" s="824">
        <f>SUMIF(M13:M202,"Kt",P13:P202)</f>
        <v>0</v>
      </c>
      <c r="Q222" s="51"/>
      <c r="R222" s="6"/>
      <c r="S222" s="6"/>
      <c r="T222" s="6"/>
    </row>
    <row r="223" spans="1:20" ht="13.5" thickBot="1" x14ac:dyDescent="0.25">
      <c r="A223" s="2265" t="s">
        <v>20</v>
      </c>
      <c r="B223" s="2266"/>
      <c r="C223" s="2266"/>
      <c r="D223" s="2266"/>
      <c r="E223" s="2266"/>
      <c r="F223" s="2266"/>
      <c r="G223" s="2267"/>
      <c r="H223" s="1156">
        <f t="shared" ref="H223:P223" si="50">SUM(H208,H218)</f>
        <v>14053.3</v>
      </c>
      <c r="I223" s="1768">
        <f t="shared" si="50"/>
        <v>13672</v>
      </c>
      <c r="J223" s="1773">
        <f t="shared" si="50"/>
        <v>-381.3</v>
      </c>
      <c r="K223" s="1156">
        <f t="shared" si="50"/>
        <v>22721.7</v>
      </c>
      <c r="L223" s="1284">
        <f t="shared" si="50"/>
        <v>23320.7</v>
      </c>
      <c r="M223" s="1280">
        <f t="shared" si="50"/>
        <v>599</v>
      </c>
      <c r="N223" s="1156">
        <f t="shared" si="50"/>
        <v>25659.4</v>
      </c>
      <c r="O223" s="1284">
        <f t="shared" si="50"/>
        <v>23255.8</v>
      </c>
      <c r="P223" s="1280">
        <f t="shared" si="50"/>
        <v>-2403.6</v>
      </c>
      <c r="Q223" s="6"/>
      <c r="R223" s="6"/>
      <c r="S223" s="6"/>
      <c r="T223" s="6"/>
    </row>
    <row r="224" spans="1:20" x14ac:dyDescent="0.2">
      <c r="H224" s="1188"/>
      <c r="I224" s="1188"/>
      <c r="J224" s="1188"/>
      <c r="K224" s="1188"/>
      <c r="L224" s="1609"/>
      <c r="M224" s="1609"/>
      <c r="N224" s="1134"/>
      <c r="O224" s="1134"/>
      <c r="P224" s="1609"/>
    </row>
    <row r="225" spans="1:20" x14ac:dyDescent="0.2">
      <c r="N225" s="1134"/>
      <c r="O225" s="1134"/>
    </row>
    <row r="226" spans="1:20" x14ac:dyDescent="0.2">
      <c r="H226" s="69"/>
      <c r="I226" s="69"/>
      <c r="N226" s="1134"/>
      <c r="O226" s="1134"/>
    </row>
    <row r="227" spans="1:20" x14ac:dyDescent="0.2">
      <c r="A227" s="6"/>
      <c r="B227" s="6"/>
      <c r="C227" s="6"/>
      <c r="D227" s="6"/>
      <c r="E227" s="6"/>
      <c r="F227" s="6"/>
      <c r="G227" s="6"/>
      <c r="H227" s="6"/>
      <c r="I227" s="395"/>
      <c r="J227" s="395"/>
      <c r="K227" s="395"/>
      <c r="L227" s="395"/>
      <c r="M227" s="395"/>
      <c r="N227" s="1134"/>
      <c r="O227" s="1134"/>
      <c r="P227" s="395"/>
      <c r="Q227" s="6"/>
      <c r="R227" s="6"/>
      <c r="S227" s="6"/>
      <c r="T227" s="6"/>
    </row>
    <row r="228" spans="1:20" x14ac:dyDescent="0.2">
      <c r="A228" s="6"/>
      <c r="B228" s="6"/>
      <c r="C228" s="6"/>
      <c r="D228" s="6"/>
      <c r="E228" s="6"/>
      <c r="F228" s="6"/>
      <c r="G228" s="6"/>
      <c r="H228" s="683"/>
      <c r="I228" s="51"/>
      <c r="J228" s="6"/>
      <c r="K228" s="6"/>
      <c r="L228" s="6"/>
      <c r="M228" s="6"/>
      <c r="N228" s="1141"/>
      <c r="O228" s="1141"/>
      <c r="P228" s="6"/>
      <c r="Q228" s="6"/>
      <c r="R228" s="6"/>
      <c r="S228" s="6"/>
      <c r="T228" s="6"/>
    </row>
    <row r="229" spans="1:20" x14ac:dyDescent="0.2">
      <c r="G229" s="1975"/>
      <c r="N229" s="1316"/>
      <c r="O229" s="1609"/>
    </row>
    <row r="232" spans="1:20" x14ac:dyDescent="0.2">
      <c r="N232" s="395"/>
      <c r="O232" s="395"/>
    </row>
    <row r="233" spans="1:20" x14ac:dyDescent="0.2">
      <c r="N233" s="6"/>
      <c r="O233" s="6"/>
    </row>
  </sheetData>
  <mergeCells count="343">
    <mergeCell ref="E85:E86"/>
    <mergeCell ref="F88:F89"/>
    <mergeCell ref="F72:F73"/>
    <mergeCell ref="U178:U183"/>
    <mergeCell ref="U156:U159"/>
    <mergeCell ref="T131:T132"/>
    <mergeCell ref="T133:T134"/>
    <mergeCell ref="U122:U125"/>
    <mergeCell ref="T122:T124"/>
    <mergeCell ref="Q85:Q86"/>
    <mergeCell ref="T109:T111"/>
    <mergeCell ref="Q91:Q92"/>
    <mergeCell ref="U84:U86"/>
    <mergeCell ref="U104:U105"/>
    <mergeCell ref="U91:U94"/>
    <mergeCell ref="U172:U175"/>
    <mergeCell ref="U135:U141"/>
    <mergeCell ref="U150:U153"/>
    <mergeCell ref="U131:U134"/>
    <mergeCell ref="Q122:Q125"/>
    <mergeCell ref="U113:U114"/>
    <mergeCell ref="E88:E89"/>
    <mergeCell ref="D70:D71"/>
    <mergeCell ref="E70:E71"/>
    <mergeCell ref="F60:F61"/>
    <mergeCell ref="E60:E61"/>
    <mergeCell ref="Q77:Q79"/>
    <mergeCell ref="S78:S79"/>
    <mergeCell ref="T78:T79"/>
    <mergeCell ref="Q81:Q83"/>
    <mergeCell ref="D54:D55"/>
    <mergeCell ref="D64:D65"/>
    <mergeCell ref="T188:T189"/>
    <mergeCell ref="Q188:Q189"/>
    <mergeCell ref="A90:A97"/>
    <mergeCell ref="B90:B97"/>
    <mergeCell ref="C90:C97"/>
    <mergeCell ref="D91:D92"/>
    <mergeCell ref="E91:E92"/>
    <mergeCell ref="D93:D94"/>
    <mergeCell ref="D95:D96"/>
    <mergeCell ref="D105:D106"/>
    <mergeCell ref="A119:A120"/>
    <mergeCell ref="B119:B120"/>
    <mergeCell ref="R105:R106"/>
    <mergeCell ref="Q98:Q100"/>
    <mergeCell ref="Q119:Q120"/>
    <mergeCell ref="A164:A166"/>
    <mergeCell ref="A156:A159"/>
    <mergeCell ref="B156:B159"/>
    <mergeCell ref="E156:E160"/>
    <mergeCell ref="F156:F160"/>
    <mergeCell ref="A172:A175"/>
    <mergeCell ref="B172:B175"/>
    <mergeCell ref="C172:C175"/>
    <mergeCell ref="D87:D89"/>
    <mergeCell ref="T105:T106"/>
    <mergeCell ref="I205:I207"/>
    <mergeCell ref="J205:J207"/>
    <mergeCell ref="K205:K207"/>
    <mergeCell ref="L205:L207"/>
    <mergeCell ref="M205:M207"/>
    <mergeCell ref="N205:N207"/>
    <mergeCell ref="E105:E106"/>
    <mergeCell ref="F105:F106"/>
    <mergeCell ref="C176:G176"/>
    <mergeCell ref="E145:E146"/>
    <mergeCell ref="E119:E120"/>
    <mergeCell ref="F119:F120"/>
    <mergeCell ref="E172:E175"/>
    <mergeCell ref="F172:F175"/>
    <mergeCell ref="H205:H207"/>
    <mergeCell ref="C130:T130"/>
    <mergeCell ref="D131:D134"/>
    <mergeCell ref="Q131:Q134"/>
    <mergeCell ref="R131:R132"/>
    <mergeCell ref="S131:S132"/>
    <mergeCell ref="C156:C159"/>
    <mergeCell ref="D156:D158"/>
    <mergeCell ref="U60:U61"/>
    <mergeCell ref="U70:U71"/>
    <mergeCell ref="U45:U47"/>
    <mergeCell ref="Q70:Q71"/>
    <mergeCell ref="Q54:Q59"/>
    <mergeCell ref="R36:R37"/>
    <mergeCell ref="E82:E83"/>
    <mergeCell ref="C108:T108"/>
    <mergeCell ref="D109:D111"/>
    <mergeCell ref="E109:E111"/>
    <mergeCell ref="C107:G107"/>
    <mergeCell ref="F91:F92"/>
    <mergeCell ref="F93:F94"/>
    <mergeCell ref="G93:G94"/>
    <mergeCell ref="Q104:Q106"/>
    <mergeCell ref="E52:E59"/>
    <mergeCell ref="F52:F59"/>
    <mergeCell ref="D60:D61"/>
    <mergeCell ref="Q88:Q89"/>
    <mergeCell ref="U98:U100"/>
    <mergeCell ref="R88:R89"/>
    <mergeCell ref="U101:U102"/>
    <mergeCell ref="R78:R79"/>
    <mergeCell ref="Q64:Q65"/>
    <mergeCell ref="Q16:Q17"/>
    <mergeCell ref="Q24:Q25"/>
    <mergeCell ref="Q29:Q30"/>
    <mergeCell ref="P6:P8"/>
    <mergeCell ref="D18:D19"/>
    <mergeCell ref="U77:U79"/>
    <mergeCell ref="S105:S106"/>
    <mergeCell ref="S88:S89"/>
    <mergeCell ref="T88:T89"/>
    <mergeCell ref="U81:U83"/>
    <mergeCell ref="U72:U73"/>
    <mergeCell ref="U74:U76"/>
    <mergeCell ref="G6:G8"/>
    <mergeCell ref="H6:H8"/>
    <mergeCell ref="I6:I8"/>
    <mergeCell ref="J6:J8"/>
    <mergeCell ref="Q6:T6"/>
    <mergeCell ref="Q7:Q8"/>
    <mergeCell ref="R7:T7"/>
    <mergeCell ref="Q18:Q21"/>
    <mergeCell ref="T18:T19"/>
    <mergeCell ref="Q74:Q76"/>
    <mergeCell ref="U52:U59"/>
    <mergeCell ref="Q40:Q41"/>
    <mergeCell ref="R5:T5"/>
    <mergeCell ref="A6:A8"/>
    <mergeCell ref="B6:B8"/>
    <mergeCell ref="C6:C8"/>
    <mergeCell ref="D6:D8"/>
    <mergeCell ref="E6:E8"/>
    <mergeCell ref="F6:F8"/>
    <mergeCell ref="A22:A23"/>
    <mergeCell ref="B22:B23"/>
    <mergeCell ref="C22:C23"/>
    <mergeCell ref="D22:D23"/>
    <mergeCell ref="E22:E23"/>
    <mergeCell ref="F22:F23"/>
    <mergeCell ref="A9:T9"/>
    <mergeCell ref="A10:T10"/>
    <mergeCell ref="B11:T11"/>
    <mergeCell ref="C12:T12"/>
    <mergeCell ref="A14:A21"/>
    <mergeCell ref="L6:L8"/>
    <mergeCell ref="M6:M8"/>
    <mergeCell ref="O6:O8"/>
    <mergeCell ref="K6:K8"/>
    <mergeCell ref="C14:C21"/>
    <mergeCell ref="F14:F21"/>
    <mergeCell ref="B14:B21"/>
    <mergeCell ref="C39:C41"/>
    <mergeCell ref="D39:D41"/>
    <mergeCell ref="A39:A41"/>
    <mergeCell ref="D14:D17"/>
    <mergeCell ref="D31:D34"/>
    <mergeCell ref="D20:D21"/>
    <mergeCell ref="F35:F37"/>
    <mergeCell ref="U24:U25"/>
    <mergeCell ref="Q27:Q28"/>
    <mergeCell ref="U26:U28"/>
    <mergeCell ref="U22:U23"/>
    <mergeCell ref="E15:E20"/>
    <mergeCell ref="Q31:Q32"/>
    <mergeCell ref="U39:U41"/>
    <mergeCell ref="U31:U34"/>
    <mergeCell ref="E24:E25"/>
    <mergeCell ref="F39:F41"/>
    <mergeCell ref="T16:T17"/>
    <mergeCell ref="U14:U21"/>
    <mergeCell ref="D26:D28"/>
    <mergeCell ref="F26:F28"/>
    <mergeCell ref="E27:E30"/>
    <mergeCell ref="D29:D30"/>
    <mergeCell ref="E42:E44"/>
    <mergeCell ref="F24:F25"/>
    <mergeCell ref="F45:F49"/>
    <mergeCell ref="F70:F71"/>
    <mergeCell ref="A168:A171"/>
    <mergeCell ref="B168:B171"/>
    <mergeCell ref="C168:C171"/>
    <mergeCell ref="B39:B41"/>
    <mergeCell ref="A35:A36"/>
    <mergeCell ref="B35:B36"/>
    <mergeCell ref="C35:C36"/>
    <mergeCell ref="D35:D37"/>
    <mergeCell ref="E35:E37"/>
    <mergeCell ref="E168:E171"/>
    <mergeCell ref="F168:F171"/>
    <mergeCell ref="E135:E136"/>
    <mergeCell ref="A147:A150"/>
    <mergeCell ref="A72:A73"/>
    <mergeCell ref="B72:B73"/>
    <mergeCell ref="C72:C73"/>
    <mergeCell ref="D72:D73"/>
    <mergeCell ref="E72:E73"/>
    <mergeCell ref="C45:C49"/>
    <mergeCell ref="A42:A44"/>
    <mergeCell ref="A64:A65"/>
    <mergeCell ref="A24:A25"/>
    <mergeCell ref="B24:B25"/>
    <mergeCell ref="C24:C25"/>
    <mergeCell ref="D24:D25"/>
    <mergeCell ref="C42:C44"/>
    <mergeCell ref="D42:D44"/>
    <mergeCell ref="D45:D48"/>
    <mergeCell ref="C52:C59"/>
    <mergeCell ref="D62:D63"/>
    <mergeCell ref="D52:D53"/>
    <mergeCell ref="A2:U2"/>
    <mergeCell ref="T126:T127"/>
    <mergeCell ref="D126:D128"/>
    <mergeCell ref="C129:G129"/>
    <mergeCell ref="Q129:T129"/>
    <mergeCell ref="A222:G222"/>
    <mergeCell ref="R142:R143"/>
    <mergeCell ref="Q142:Q143"/>
    <mergeCell ref="Q162:Q163"/>
    <mergeCell ref="S142:S143"/>
    <mergeCell ref="T142:T143"/>
    <mergeCell ref="B202:G202"/>
    <mergeCell ref="Q202:T202"/>
    <mergeCell ref="R195:R196"/>
    <mergeCell ref="S195:S196"/>
    <mergeCell ref="T195:T196"/>
    <mergeCell ref="D197:D198"/>
    <mergeCell ref="E197:E199"/>
    <mergeCell ref="F197:F199"/>
    <mergeCell ref="Q198:Q199"/>
    <mergeCell ref="C200:G200"/>
    <mergeCell ref="O205:O207"/>
    <mergeCell ref="P205:P207"/>
    <mergeCell ref="A205:G207"/>
    <mergeCell ref="A223:G223"/>
    <mergeCell ref="Q1:T1"/>
    <mergeCell ref="A217:G217"/>
    <mergeCell ref="A218:G218"/>
    <mergeCell ref="A219:G219"/>
    <mergeCell ref="A220:G220"/>
    <mergeCell ref="A221:G221"/>
    <mergeCell ref="A211:G211"/>
    <mergeCell ref="A212:G212"/>
    <mergeCell ref="A213:G213"/>
    <mergeCell ref="A214:G214"/>
    <mergeCell ref="A215:G215"/>
    <mergeCell ref="A216:G216"/>
    <mergeCell ref="A203:T203"/>
    <mergeCell ref="A204:J204"/>
    <mergeCell ref="A208:G208"/>
    <mergeCell ref="A209:G209"/>
    <mergeCell ref="D113:D114"/>
    <mergeCell ref="A161:A163"/>
    <mergeCell ref="B161:B163"/>
    <mergeCell ref="C161:C163"/>
    <mergeCell ref="D161:D163"/>
    <mergeCell ref="A210:G210"/>
    <mergeCell ref="D172:D174"/>
    <mergeCell ref="A3:U3"/>
    <mergeCell ref="A4:U4"/>
    <mergeCell ref="U66:U67"/>
    <mergeCell ref="E67:E68"/>
    <mergeCell ref="F67:F68"/>
    <mergeCell ref="R67:R68"/>
    <mergeCell ref="S67:S68"/>
    <mergeCell ref="A66:A67"/>
    <mergeCell ref="B66:B67"/>
    <mergeCell ref="C66:C67"/>
    <mergeCell ref="D66:D68"/>
    <mergeCell ref="Q66:Q68"/>
    <mergeCell ref="T67:T68"/>
    <mergeCell ref="B64:B65"/>
    <mergeCell ref="C64:C65"/>
    <mergeCell ref="N6:N8"/>
    <mergeCell ref="A52:A59"/>
    <mergeCell ref="U35:U37"/>
    <mergeCell ref="Q49:Q50"/>
    <mergeCell ref="B52:B59"/>
    <mergeCell ref="F42:F44"/>
    <mergeCell ref="B42:B44"/>
    <mergeCell ref="A45:A49"/>
    <mergeCell ref="B45:B49"/>
    <mergeCell ref="B190:B192"/>
    <mergeCell ref="C190:C192"/>
    <mergeCell ref="D190:D192"/>
    <mergeCell ref="E190:E192"/>
    <mergeCell ref="F190:F192"/>
    <mergeCell ref="B147:B150"/>
    <mergeCell ref="C147:C150"/>
    <mergeCell ref="D148:D149"/>
    <mergeCell ref="C164:C166"/>
    <mergeCell ref="D164:D167"/>
    <mergeCell ref="E164:E166"/>
    <mergeCell ref="F161:F163"/>
    <mergeCell ref="D186:D187"/>
    <mergeCell ref="A74:A76"/>
    <mergeCell ref="B74:B76"/>
    <mergeCell ref="C74:C76"/>
    <mergeCell ref="D74:D76"/>
    <mergeCell ref="E74:E76"/>
    <mergeCell ref="F74:F76"/>
    <mergeCell ref="D142:D144"/>
    <mergeCell ref="E122:E124"/>
    <mergeCell ref="F122:F124"/>
    <mergeCell ref="E126:E127"/>
    <mergeCell ref="F126:F127"/>
    <mergeCell ref="A77:A78"/>
    <mergeCell ref="B77:B78"/>
    <mergeCell ref="C77:C78"/>
    <mergeCell ref="D77:D79"/>
    <mergeCell ref="E77:E79"/>
    <mergeCell ref="F77:F79"/>
    <mergeCell ref="D84:D86"/>
    <mergeCell ref="D98:D100"/>
    <mergeCell ref="F100:F102"/>
    <mergeCell ref="C119:C120"/>
    <mergeCell ref="D122:D125"/>
    <mergeCell ref="D119:D121"/>
    <mergeCell ref="D81:D83"/>
    <mergeCell ref="Q200:T200"/>
    <mergeCell ref="B201:G201"/>
    <mergeCell ref="Q201:T201"/>
    <mergeCell ref="U194:U196"/>
    <mergeCell ref="D153:D154"/>
    <mergeCell ref="A194:A195"/>
    <mergeCell ref="B194:B195"/>
    <mergeCell ref="C194:C195"/>
    <mergeCell ref="D194:D196"/>
    <mergeCell ref="E194:E196"/>
    <mergeCell ref="F194:F196"/>
    <mergeCell ref="A188:A189"/>
    <mergeCell ref="B188:B189"/>
    <mergeCell ref="C188:C189"/>
    <mergeCell ref="D188:D189"/>
    <mergeCell ref="Q176:T176"/>
    <mergeCell ref="C177:T177"/>
    <mergeCell ref="D178:D179"/>
    <mergeCell ref="T179:T180"/>
    <mergeCell ref="D168:D170"/>
    <mergeCell ref="U168:U171"/>
    <mergeCell ref="B164:B166"/>
    <mergeCell ref="E161:E163"/>
    <mergeCell ref="A190:A192"/>
  </mergeCells>
  <printOptions horizontalCentered="1"/>
  <pageMargins left="0" right="0" top="0.78740157480314965" bottom="0.39370078740157483" header="0" footer="0"/>
  <pageSetup paperSize="9" scale="66" orientation="landscape" r:id="rId1"/>
  <rowBreaks count="5" manualBreakCount="5">
    <brk id="25" max="20" man="1"/>
    <brk id="44" max="20" man="1"/>
    <brk id="65" max="20" man="1"/>
    <brk id="90" max="20" man="1"/>
    <brk id="196"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8"/>
  <sheetViews>
    <sheetView zoomScaleNormal="100" zoomScaleSheetLayoutView="100" workbookViewId="0">
      <selection activeCell="W15" sqref="W15"/>
    </sheetView>
  </sheetViews>
  <sheetFormatPr defaultRowHeight="12.75" x14ac:dyDescent="0.2"/>
  <cols>
    <col min="1" max="4" width="2.7109375" style="7" customWidth="1"/>
    <col min="5" max="5" width="34.85546875" style="7" customWidth="1"/>
    <col min="6" max="6" width="2.7109375" style="32" customWidth="1"/>
    <col min="7" max="7" width="2.7109375" style="47" customWidth="1"/>
    <col min="8" max="8" width="14.42578125" style="47" customWidth="1"/>
    <col min="9" max="9" width="7.7109375" style="8" customWidth="1"/>
    <col min="10" max="11" width="10.140625" style="7" customWidth="1"/>
    <col min="12" max="12" width="10.28515625" style="7" customWidth="1"/>
    <col min="13" max="13" width="9.5703125" style="7" customWidth="1"/>
    <col min="14" max="14" width="6.7109375" style="7" customWidth="1"/>
    <col min="15" max="15" width="8.85546875" style="7" customWidth="1"/>
    <col min="16" max="16" width="10.28515625" style="7" customWidth="1"/>
    <col min="17" max="17" width="10.140625" style="7" customWidth="1"/>
    <col min="18" max="18" width="27.7109375" style="7" customWidth="1"/>
    <col min="19" max="21" width="3.7109375" style="7" customWidth="1"/>
    <col min="22" max="16384" width="9.140625" style="6"/>
  </cols>
  <sheetData>
    <row r="1" spans="1:22" ht="15.75" x14ac:dyDescent="0.2">
      <c r="A1" s="2456" t="s">
        <v>292</v>
      </c>
      <c r="B1" s="2456"/>
      <c r="C1" s="2456"/>
      <c r="D1" s="2456"/>
      <c r="E1" s="2456"/>
      <c r="F1" s="2456"/>
      <c r="G1" s="2456"/>
      <c r="H1" s="2456"/>
      <c r="I1" s="2456"/>
      <c r="J1" s="2456"/>
      <c r="K1" s="2456"/>
      <c r="L1" s="2456"/>
      <c r="M1" s="2456"/>
      <c r="N1" s="2456"/>
      <c r="O1" s="2456"/>
      <c r="P1" s="2456"/>
      <c r="Q1" s="2456"/>
      <c r="R1" s="2456"/>
      <c r="S1" s="2456"/>
      <c r="T1" s="2456"/>
      <c r="U1" s="2456"/>
    </row>
    <row r="2" spans="1:22" ht="18" customHeight="1" x14ac:dyDescent="0.2">
      <c r="A2" s="2028" t="s">
        <v>194</v>
      </c>
      <c r="B2" s="2028"/>
      <c r="C2" s="2028"/>
      <c r="D2" s="2028"/>
      <c r="E2" s="2028"/>
      <c r="F2" s="2028"/>
      <c r="G2" s="2028"/>
      <c r="H2" s="2028"/>
      <c r="I2" s="2028"/>
      <c r="J2" s="2028"/>
      <c r="K2" s="2028"/>
      <c r="L2" s="2028"/>
      <c r="M2" s="2028"/>
      <c r="N2" s="2028"/>
      <c r="O2" s="2028"/>
      <c r="P2" s="2028"/>
      <c r="Q2" s="2028"/>
      <c r="R2" s="2028"/>
      <c r="S2" s="2028"/>
      <c r="T2" s="2028"/>
      <c r="U2" s="2028"/>
    </row>
    <row r="3" spans="1:22" ht="18" customHeight="1" x14ac:dyDescent="0.2">
      <c r="A3" s="2029" t="s">
        <v>44</v>
      </c>
      <c r="B3" s="2029"/>
      <c r="C3" s="2029"/>
      <c r="D3" s="2029"/>
      <c r="E3" s="2029"/>
      <c r="F3" s="2029"/>
      <c r="G3" s="2029"/>
      <c r="H3" s="2029"/>
      <c r="I3" s="2029"/>
      <c r="J3" s="2029"/>
      <c r="K3" s="2029"/>
      <c r="L3" s="2029"/>
      <c r="M3" s="2029"/>
      <c r="N3" s="2029"/>
      <c r="O3" s="2029"/>
      <c r="P3" s="2029"/>
      <c r="Q3" s="2029"/>
      <c r="R3" s="2029"/>
      <c r="S3" s="2029"/>
      <c r="T3" s="2029"/>
      <c r="U3" s="2029"/>
    </row>
    <row r="4" spans="1:22" ht="18" customHeight="1" x14ac:dyDescent="0.2">
      <c r="A4" s="2030" t="s">
        <v>293</v>
      </c>
      <c r="B4" s="2030"/>
      <c r="C4" s="2030"/>
      <c r="D4" s="2030"/>
      <c r="E4" s="2030"/>
      <c r="F4" s="2030"/>
      <c r="G4" s="2030"/>
      <c r="H4" s="2030"/>
      <c r="I4" s="2030"/>
      <c r="J4" s="2030"/>
      <c r="K4" s="2030"/>
      <c r="L4" s="2030"/>
      <c r="M4" s="2030"/>
      <c r="N4" s="2030"/>
      <c r="O4" s="2030"/>
      <c r="P4" s="2030"/>
      <c r="Q4" s="2030"/>
      <c r="R4" s="2030"/>
      <c r="S4" s="2030"/>
      <c r="T4" s="2030"/>
      <c r="U4" s="2030"/>
      <c r="V4" s="4"/>
    </row>
    <row r="5" spans="1:22" ht="15" customHeight="1" thickBot="1" x14ac:dyDescent="0.25">
      <c r="A5" s="85"/>
      <c r="B5" s="85"/>
      <c r="C5" s="85"/>
      <c r="D5" s="85"/>
      <c r="E5" s="85"/>
      <c r="F5" s="86"/>
      <c r="G5" s="87"/>
      <c r="H5" s="87"/>
      <c r="I5" s="924"/>
      <c r="J5" s="85"/>
      <c r="K5" s="85"/>
      <c r="L5" s="85"/>
      <c r="M5" s="85"/>
      <c r="N5" s="85"/>
      <c r="O5" s="85"/>
      <c r="P5" s="85"/>
      <c r="Q5" s="85"/>
      <c r="R5" s="85"/>
      <c r="S5" s="2031" t="s">
        <v>0</v>
      </c>
      <c r="T5" s="2031"/>
      <c r="U5" s="2031"/>
    </row>
    <row r="6" spans="1:22" ht="49.5" customHeight="1" x14ac:dyDescent="0.2">
      <c r="A6" s="2032" t="s">
        <v>31</v>
      </c>
      <c r="B6" s="2035" t="s">
        <v>1</v>
      </c>
      <c r="C6" s="2035" t="s">
        <v>2</v>
      </c>
      <c r="D6" s="2035" t="s">
        <v>42</v>
      </c>
      <c r="E6" s="2038" t="s">
        <v>15</v>
      </c>
      <c r="F6" s="2041" t="s">
        <v>3</v>
      </c>
      <c r="G6" s="2542" t="s">
        <v>4</v>
      </c>
      <c r="H6" s="2547" t="s">
        <v>90</v>
      </c>
      <c r="I6" s="2047" t="s">
        <v>5</v>
      </c>
      <c r="J6" s="419" t="s">
        <v>157</v>
      </c>
      <c r="K6" s="419" t="s">
        <v>189</v>
      </c>
      <c r="L6" s="2527" t="s">
        <v>190</v>
      </c>
      <c r="M6" s="2528"/>
      <c r="N6" s="2528"/>
      <c r="O6" s="2529"/>
      <c r="P6" s="2523" t="s">
        <v>122</v>
      </c>
      <c r="Q6" s="2523" t="s">
        <v>191</v>
      </c>
      <c r="R6" s="2053" t="s">
        <v>14</v>
      </c>
      <c r="S6" s="2054"/>
      <c r="T6" s="2054"/>
      <c r="U6" s="2055"/>
    </row>
    <row r="7" spans="1:22" ht="14.25" customHeight="1" x14ac:dyDescent="0.2">
      <c r="A7" s="2033"/>
      <c r="B7" s="2036"/>
      <c r="C7" s="2036"/>
      <c r="D7" s="2036"/>
      <c r="E7" s="2039"/>
      <c r="F7" s="2042"/>
      <c r="G7" s="2543"/>
      <c r="H7" s="2548"/>
      <c r="I7" s="2048"/>
      <c r="J7" s="2535" t="s">
        <v>6</v>
      </c>
      <c r="K7" s="2535" t="s">
        <v>6</v>
      </c>
      <c r="L7" s="2545" t="s">
        <v>6</v>
      </c>
      <c r="M7" s="2550" t="s">
        <v>7</v>
      </c>
      <c r="N7" s="2551"/>
      <c r="O7" s="2530" t="s">
        <v>22</v>
      </c>
      <c r="P7" s="2524"/>
      <c r="Q7" s="2524"/>
      <c r="R7" s="2056" t="s">
        <v>15</v>
      </c>
      <c r="S7" s="2058" t="s">
        <v>171</v>
      </c>
      <c r="T7" s="2059"/>
      <c r="U7" s="2060"/>
    </row>
    <row r="8" spans="1:22" ht="84.75" customHeight="1" thickBot="1" x14ac:dyDescent="0.25">
      <c r="A8" s="2034"/>
      <c r="B8" s="2037"/>
      <c r="C8" s="2037"/>
      <c r="D8" s="2037"/>
      <c r="E8" s="2040"/>
      <c r="F8" s="2043"/>
      <c r="G8" s="2544"/>
      <c r="H8" s="2549"/>
      <c r="I8" s="2049"/>
      <c r="J8" s="2536"/>
      <c r="K8" s="2536"/>
      <c r="L8" s="2546"/>
      <c r="M8" s="420" t="s">
        <v>6</v>
      </c>
      <c r="N8" s="421" t="s">
        <v>16</v>
      </c>
      <c r="O8" s="2531"/>
      <c r="P8" s="2525"/>
      <c r="Q8" s="2525"/>
      <c r="R8" s="2057"/>
      <c r="S8" s="422" t="s">
        <v>93</v>
      </c>
      <c r="T8" s="422" t="s">
        <v>123</v>
      </c>
      <c r="U8" s="423" t="s">
        <v>192</v>
      </c>
    </row>
    <row r="9" spans="1:22" s="44" customFormat="1" ht="14.25" customHeight="1" x14ac:dyDescent="0.2">
      <c r="A9" s="2000" t="s">
        <v>89</v>
      </c>
      <c r="B9" s="2001"/>
      <c r="C9" s="2001"/>
      <c r="D9" s="2001"/>
      <c r="E9" s="2001"/>
      <c r="F9" s="2001"/>
      <c r="G9" s="2001"/>
      <c r="H9" s="2001"/>
      <c r="I9" s="2001"/>
      <c r="J9" s="2001"/>
      <c r="K9" s="2001"/>
      <c r="L9" s="2001"/>
      <c r="M9" s="2001"/>
      <c r="N9" s="2001"/>
      <c r="O9" s="2001"/>
      <c r="P9" s="2001"/>
      <c r="Q9" s="2001"/>
      <c r="R9" s="2001"/>
      <c r="S9" s="2001"/>
      <c r="T9" s="2001"/>
      <c r="U9" s="2002"/>
    </row>
    <row r="10" spans="1:22" s="44" customFormat="1" ht="14.25" customHeight="1" x14ac:dyDescent="0.2">
      <c r="A10" s="2003" t="s">
        <v>41</v>
      </c>
      <c r="B10" s="2004"/>
      <c r="C10" s="2004"/>
      <c r="D10" s="2004"/>
      <c r="E10" s="2004"/>
      <c r="F10" s="2004"/>
      <c r="G10" s="2004"/>
      <c r="H10" s="2004"/>
      <c r="I10" s="2004"/>
      <c r="J10" s="2004"/>
      <c r="K10" s="2004"/>
      <c r="L10" s="2004"/>
      <c r="M10" s="2004"/>
      <c r="N10" s="2004"/>
      <c r="O10" s="2004"/>
      <c r="P10" s="2004"/>
      <c r="Q10" s="2004"/>
      <c r="R10" s="2004"/>
      <c r="S10" s="2004"/>
      <c r="T10" s="2004"/>
      <c r="U10" s="2005"/>
    </row>
    <row r="11" spans="1:22" ht="16.5" customHeight="1" x14ac:dyDescent="0.2">
      <c r="A11" s="91" t="s">
        <v>8</v>
      </c>
      <c r="B11" s="2006" t="s">
        <v>45</v>
      </c>
      <c r="C11" s="2007"/>
      <c r="D11" s="2007"/>
      <c r="E11" s="2007"/>
      <c r="F11" s="2007"/>
      <c r="G11" s="2007"/>
      <c r="H11" s="2007"/>
      <c r="I11" s="2007"/>
      <c r="J11" s="2007"/>
      <c r="K11" s="2007"/>
      <c r="L11" s="2007"/>
      <c r="M11" s="2007"/>
      <c r="N11" s="2007"/>
      <c r="O11" s="2007"/>
      <c r="P11" s="2007"/>
      <c r="Q11" s="2007"/>
      <c r="R11" s="2007"/>
      <c r="S11" s="2007"/>
      <c r="T11" s="2007"/>
      <c r="U11" s="2008"/>
    </row>
    <row r="12" spans="1:22" ht="15" customHeight="1" x14ac:dyDescent="0.2">
      <c r="A12" s="945" t="s">
        <v>8</v>
      </c>
      <c r="B12" s="64" t="s">
        <v>8</v>
      </c>
      <c r="C12" s="2009" t="s">
        <v>46</v>
      </c>
      <c r="D12" s="2010"/>
      <c r="E12" s="2010"/>
      <c r="F12" s="2010"/>
      <c r="G12" s="2010"/>
      <c r="H12" s="2010"/>
      <c r="I12" s="2010"/>
      <c r="J12" s="2010"/>
      <c r="K12" s="2010"/>
      <c r="L12" s="2010"/>
      <c r="M12" s="2010"/>
      <c r="N12" s="2010"/>
      <c r="O12" s="2010"/>
      <c r="P12" s="2010"/>
      <c r="Q12" s="2010"/>
      <c r="R12" s="2010"/>
      <c r="S12" s="2010"/>
      <c r="T12" s="2010"/>
      <c r="U12" s="2011"/>
    </row>
    <row r="13" spans="1:22" ht="35.25" customHeight="1" x14ac:dyDescent="0.2">
      <c r="A13" s="918" t="s">
        <v>8</v>
      </c>
      <c r="B13" s="919" t="s">
        <v>8</v>
      </c>
      <c r="C13" s="995" t="s">
        <v>8</v>
      </c>
      <c r="D13" s="60"/>
      <c r="E13" s="226" t="s">
        <v>71</v>
      </c>
      <c r="F13" s="187" t="s">
        <v>141</v>
      </c>
      <c r="G13" s="921" t="s">
        <v>63</v>
      </c>
      <c r="H13" s="82"/>
      <c r="I13" s="10"/>
      <c r="J13" s="232"/>
      <c r="K13" s="442"/>
      <c r="L13" s="16"/>
      <c r="M13" s="78"/>
      <c r="N13" s="78"/>
      <c r="O13" s="68"/>
      <c r="P13" s="77"/>
      <c r="Q13" s="72"/>
      <c r="R13" s="29"/>
      <c r="S13" s="42"/>
      <c r="T13" s="953"/>
      <c r="U13" s="54"/>
    </row>
    <row r="14" spans="1:22" ht="18" customHeight="1" x14ac:dyDescent="0.2">
      <c r="A14" s="1998"/>
      <c r="B14" s="1999"/>
      <c r="C14" s="2457"/>
      <c r="D14" s="2460" t="s">
        <v>8</v>
      </c>
      <c r="E14" s="2022" t="s">
        <v>207</v>
      </c>
      <c r="F14" s="857" t="s">
        <v>68</v>
      </c>
      <c r="G14" s="2013"/>
      <c r="H14" s="2532" t="s">
        <v>102</v>
      </c>
      <c r="I14" s="496" t="s">
        <v>40</v>
      </c>
      <c r="J14" s="274"/>
      <c r="K14" s="301"/>
      <c r="L14" s="354">
        <v>376600</v>
      </c>
      <c r="M14" s="330"/>
      <c r="N14" s="330"/>
      <c r="O14" s="331">
        <f>L14</f>
        <v>376600</v>
      </c>
      <c r="P14" s="332">
        <v>412900</v>
      </c>
      <c r="Q14" s="509">
        <v>486200</v>
      </c>
      <c r="R14" s="922" t="s">
        <v>152</v>
      </c>
      <c r="S14" s="492"/>
      <c r="T14" s="493" t="s">
        <v>79</v>
      </c>
      <c r="U14" s="494"/>
    </row>
    <row r="15" spans="1:22" ht="21.75" customHeight="1" x14ac:dyDescent="0.2">
      <c r="A15" s="1998"/>
      <c r="B15" s="1999"/>
      <c r="C15" s="2457"/>
      <c r="D15" s="2507"/>
      <c r="E15" s="2130"/>
      <c r="F15" s="2537" t="s">
        <v>241</v>
      </c>
      <c r="G15" s="2013"/>
      <c r="H15" s="2533"/>
      <c r="I15" s="212" t="s">
        <v>187</v>
      </c>
      <c r="J15" s="414">
        <v>132414</v>
      </c>
      <c r="K15" s="439">
        <v>132414</v>
      </c>
      <c r="L15" s="311"/>
      <c r="M15" s="313"/>
      <c r="N15" s="313"/>
      <c r="O15" s="314"/>
      <c r="P15" s="259"/>
      <c r="Q15" s="260"/>
      <c r="R15" s="254" t="s">
        <v>200</v>
      </c>
      <c r="S15" s="255"/>
      <c r="T15" s="495" t="s">
        <v>79</v>
      </c>
      <c r="U15" s="256"/>
    </row>
    <row r="16" spans="1:22" ht="39.75" customHeight="1" x14ac:dyDescent="0.2">
      <c r="A16" s="1998"/>
      <c r="B16" s="1999"/>
      <c r="C16" s="2457"/>
      <c r="D16" s="2507"/>
      <c r="E16" s="227" t="s">
        <v>203</v>
      </c>
      <c r="F16" s="2182"/>
      <c r="G16" s="2013"/>
      <c r="H16" s="2533"/>
      <c r="I16" s="212" t="s">
        <v>188</v>
      </c>
      <c r="J16" s="414"/>
      <c r="K16" s="439"/>
      <c r="L16" s="311"/>
      <c r="M16" s="313"/>
      <c r="N16" s="313"/>
      <c r="O16" s="314"/>
      <c r="P16" s="259"/>
      <c r="Q16" s="260">
        <v>46200</v>
      </c>
      <c r="R16" s="215" t="s">
        <v>201</v>
      </c>
      <c r="S16" s="216"/>
      <c r="T16" s="217"/>
      <c r="U16" s="218">
        <v>50</v>
      </c>
    </row>
    <row r="17" spans="1:21" ht="16.5" customHeight="1" x14ac:dyDescent="0.2">
      <c r="A17" s="1998"/>
      <c r="B17" s="1999"/>
      <c r="C17" s="2457"/>
      <c r="D17" s="2507"/>
      <c r="E17" s="2024" t="s">
        <v>204</v>
      </c>
      <c r="F17" s="2182"/>
      <c r="G17" s="2013"/>
      <c r="H17" s="2533"/>
      <c r="I17" s="212" t="s">
        <v>205</v>
      </c>
      <c r="J17" s="414"/>
      <c r="K17" s="439"/>
      <c r="L17" s="311"/>
      <c r="M17" s="313"/>
      <c r="N17" s="313"/>
      <c r="O17" s="314"/>
      <c r="P17" s="259"/>
      <c r="Q17" s="260">
        <v>227000</v>
      </c>
      <c r="R17" s="2025" t="s">
        <v>202</v>
      </c>
      <c r="S17" s="953"/>
      <c r="T17" s="491"/>
      <c r="U17" s="54">
        <v>20</v>
      </c>
    </row>
    <row r="18" spans="1:21" ht="16.5" customHeight="1" x14ac:dyDescent="0.2">
      <c r="A18" s="1998"/>
      <c r="B18" s="1999"/>
      <c r="C18" s="2457"/>
      <c r="D18" s="2461"/>
      <c r="E18" s="2299"/>
      <c r="F18" s="1040"/>
      <c r="G18" s="2013"/>
      <c r="H18" s="2534"/>
      <c r="I18" s="213" t="s">
        <v>64</v>
      </c>
      <c r="J18" s="425"/>
      <c r="K18" s="250"/>
      <c r="L18" s="315"/>
      <c r="M18" s="319"/>
      <c r="N18" s="319"/>
      <c r="O18" s="398"/>
      <c r="P18" s="399"/>
      <c r="Q18" s="443">
        <v>2946700</v>
      </c>
      <c r="R18" s="2071"/>
      <c r="S18" s="55"/>
      <c r="T18" s="214"/>
      <c r="U18" s="56"/>
    </row>
    <row r="19" spans="1:21" ht="15.75" customHeight="1" x14ac:dyDescent="0.2">
      <c r="A19" s="1998"/>
      <c r="B19" s="1999"/>
      <c r="C19" s="2457"/>
      <c r="D19" s="2460" t="s">
        <v>10</v>
      </c>
      <c r="E19" s="2022" t="s">
        <v>279</v>
      </c>
      <c r="F19" s="2515" t="s">
        <v>241</v>
      </c>
      <c r="G19" s="2021"/>
      <c r="H19" s="2514" t="s">
        <v>101</v>
      </c>
      <c r="I19" s="158" t="s">
        <v>187</v>
      </c>
      <c r="J19" s="424">
        <v>14481</v>
      </c>
      <c r="K19" s="407">
        <v>14481</v>
      </c>
      <c r="L19" s="306"/>
      <c r="M19" s="307"/>
      <c r="N19" s="307"/>
      <c r="O19" s="327"/>
      <c r="P19" s="328"/>
      <c r="Q19" s="266"/>
      <c r="R19" s="164" t="s">
        <v>158</v>
      </c>
      <c r="S19" s="211">
        <v>1</v>
      </c>
      <c r="T19" s="209"/>
      <c r="U19" s="210"/>
    </row>
    <row r="20" spans="1:21" ht="39" customHeight="1" x14ac:dyDescent="0.2">
      <c r="A20" s="1998"/>
      <c r="B20" s="1999"/>
      <c r="C20" s="2457"/>
      <c r="D20" s="2461"/>
      <c r="E20" s="2016"/>
      <c r="F20" s="2516"/>
      <c r="G20" s="2021"/>
      <c r="H20" s="2514"/>
      <c r="I20" s="79" t="s">
        <v>40</v>
      </c>
      <c r="J20" s="425"/>
      <c r="K20" s="250"/>
      <c r="L20" s="355">
        <v>90000</v>
      </c>
      <c r="M20" s="319"/>
      <c r="N20" s="319"/>
      <c r="O20" s="320">
        <v>90000</v>
      </c>
      <c r="P20" s="235"/>
      <c r="Q20" s="263"/>
      <c r="R20" s="954" t="s">
        <v>137</v>
      </c>
      <c r="S20" s="201">
        <v>1</v>
      </c>
      <c r="T20" s="21"/>
      <c r="U20" s="22"/>
    </row>
    <row r="21" spans="1:21" ht="18" customHeight="1" x14ac:dyDescent="0.2">
      <c r="A21" s="1998"/>
      <c r="B21" s="1999"/>
      <c r="C21" s="2457"/>
      <c r="D21" s="2460" t="s">
        <v>43</v>
      </c>
      <c r="E21" s="2022" t="s">
        <v>179</v>
      </c>
      <c r="F21" s="2068" t="s">
        <v>68</v>
      </c>
      <c r="G21" s="2021"/>
      <c r="H21" s="2517"/>
      <c r="I21" s="496" t="s">
        <v>188</v>
      </c>
      <c r="J21" s="274"/>
      <c r="K21" s="301"/>
      <c r="L21" s="354">
        <v>15000</v>
      </c>
      <c r="M21" s="330"/>
      <c r="N21" s="330"/>
      <c r="O21" s="331">
        <v>15000</v>
      </c>
      <c r="P21" s="234">
        <v>20000</v>
      </c>
      <c r="Q21" s="366"/>
      <c r="R21" s="2072" t="s">
        <v>206</v>
      </c>
      <c r="S21" s="88"/>
      <c r="T21" s="34">
        <v>1</v>
      </c>
      <c r="U21" s="35"/>
    </row>
    <row r="22" spans="1:21" ht="15" customHeight="1" x14ac:dyDescent="0.2">
      <c r="A22" s="1998"/>
      <c r="B22" s="1999"/>
      <c r="C22" s="2457"/>
      <c r="D22" s="2461"/>
      <c r="E22" s="2344"/>
      <c r="F22" s="2069"/>
      <c r="G22" s="2021"/>
      <c r="H22" s="2517"/>
      <c r="I22" s="786" t="s">
        <v>40</v>
      </c>
      <c r="J22" s="425"/>
      <c r="K22" s="250"/>
      <c r="L22" s="315"/>
      <c r="M22" s="316"/>
      <c r="N22" s="316"/>
      <c r="O22" s="336"/>
      <c r="P22" s="235"/>
      <c r="Q22" s="263"/>
      <c r="R22" s="2071"/>
      <c r="S22" s="159"/>
      <c r="T22" s="30"/>
      <c r="U22" s="31"/>
    </row>
    <row r="23" spans="1:21" ht="16.5" customHeight="1" x14ac:dyDescent="0.2">
      <c r="A23" s="918"/>
      <c r="B23" s="919"/>
      <c r="C23" s="995"/>
      <c r="D23" s="2494" t="s">
        <v>48</v>
      </c>
      <c r="E23" s="2065" t="s">
        <v>294</v>
      </c>
      <c r="F23" s="956" t="s">
        <v>68</v>
      </c>
      <c r="G23" s="2021"/>
      <c r="H23" s="2517"/>
      <c r="I23" s="120" t="s">
        <v>99</v>
      </c>
      <c r="J23" s="424">
        <v>8689</v>
      </c>
      <c r="K23" s="407">
        <v>8689</v>
      </c>
      <c r="L23" s="306"/>
      <c r="M23" s="307"/>
      <c r="N23" s="307"/>
      <c r="O23" s="327"/>
      <c r="P23" s="332"/>
      <c r="Q23" s="332"/>
      <c r="R23" s="985"/>
      <c r="S23" s="986"/>
      <c r="T23" s="986"/>
      <c r="U23" s="960"/>
    </row>
    <row r="24" spans="1:21" ht="15.75" customHeight="1" x14ac:dyDescent="0.2">
      <c r="A24" s="918"/>
      <c r="B24" s="919"/>
      <c r="C24" s="995"/>
      <c r="D24" s="2472"/>
      <c r="E24" s="2065"/>
      <c r="F24" s="2598" t="s">
        <v>145</v>
      </c>
      <c r="G24" s="2021"/>
      <c r="H24" s="2517"/>
      <c r="I24" s="13" t="s">
        <v>40</v>
      </c>
      <c r="J24" s="465"/>
      <c r="K24" s="264"/>
      <c r="L24" s="311">
        <f>70000+20000+418700</f>
        <v>508700</v>
      </c>
      <c r="M24" s="333"/>
      <c r="N24" s="333"/>
      <c r="O24" s="334">
        <v>508700</v>
      </c>
      <c r="P24" s="406"/>
      <c r="Q24" s="406"/>
      <c r="R24" s="985" t="s">
        <v>132</v>
      </c>
      <c r="S24" s="986">
        <v>100</v>
      </c>
      <c r="T24" s="986"/>
      <c r="U24" s="960"/>
    </row>
    <row r="25" spans="1:21" ht="15.75" customHeight="1" x14ac:dyDescent="0.2">
      <c r="A25" s="918"/>
      <c r="B25" s="919"/>
      <c r="C25" s="995"/>
      <c r="D25" s="2472"/>
      <c r="E25" s="2065"/>
      <c r="F25" s="2599"/>
      <c r="G25" s="2021"/>
      <c r="H25" s="2517"/>
      <c r="I25" s="154" t="s">
        <v>188</v>
      </c>
      <c r="J25" s="436">
        <v>72405</v>
      </c>
      <c r="K25" s="440">
        <f>72410+4000-3543</f>
        <v>72867</v>
      </c>
      <c r="L25" s="321">
        <f>850000</f>
        <v>850000</v>
      </c>
      <c r="M25" s="453"/>
      <c r="N25" s="453"/>
      <c r="O25" s="454">
        <v>850000</v>
      </c>
      <c r="P25" s="406"/>
      <c r="Q25" s="406"/>
      <c r="R25" s="985"/>
      <c r="S25" s="986"/>
      <c r="T25" s="986"/>
      <c r="U25" s="505"/>
    </row>
    <row r="26" spans="1:21" ht="12.75" customHeight="1" x14ac:dyDescent="0.2">
      <c r="A26" s="918"/>
      <c r="B26" s="919"/>
      <c r="C26" s="995"/>
      <c r="D26" s="2495"/>
      <c r="E26" s="2066"/>
      <c r="F26" s="2600"/>
      <c r="G26" s="2021"/>
      <c r="H26" s="2517"/>
      <c r="I26" s="119" t="s">
        <v>65</v>
      </c>
      <c r="J26" s="425">
        <v>47353</v>
      </c>
      <c r="K26" s="250">
        <v>47353</v>
      </c>
      <c r="L26" s="315"/>
      <c r="M26" s="316"/>
      <c r="N26" s="316"/>
      <c r="O26" s="336"/>
      <c r="P26" s="275"/>
      <c r="Q26" s="291"/>
      <c r="R26" s="504"/>
      <c r="S26" s="53"/>
      <c r="T26" s="53"/>
      <c r="U26" s="258"/>
    </row>
    <row r="27" spans="1:21" ht="16.5" customHeight="1" x14ac:dyDescent="0.2">
      <c r="A27" s="918"/>
      <c r="B27" s="919"/>
      <c r="C27" s="112"/>
      <c r="D27" s="1001" t="s">
        <v>49</v>
      </c>
      <c r="E27" s="2597" t="s">
        <v>295</v>
      </c>
      <c r="F27" s="2601"/>
      <c r="G27" s="923"/>
      <c r="H27" s="2517"/>
      <c r="I27" s="206" t="s">
        <v>65</v>
      </c>
      <c r="J27" s="304"/>
      <c r="K27" s="264"/>
      <c r="L27" s="321">
        <v>25000</v>
      </c>
      <c r="M27" s="322"/>
      <c r="N27" s="322"/>
      <c r="O27" s="325">
        <v>25000</v>
      </c>
      <c r="P27" s="240">
        <v>52000</v>
      </c>
      <c r="Q27" s="240"/>
      <c r="R27" s="529" t="s">
        <v>139</v>
      </c>
      <c r="S27" s="603"/>
      <c r="T27" s="604">
        <v>1</v>
      </c>
      <c r="U27" s="605"/>
    </row>
    <row r="28" spans="1:21" ht="15.75" customHeight="1" x14ac:dyDescent="0.2">
      <c r="A28" s="918"/>
      <c r="B28" s="919"/>
      <c r="C28" s="480"/>
      <c r="D28" s="1013"/>
      <c r="E28" s="2373"/>
      <c r="F28" s="2602"/>
      <c r="G28" s="923"/>
      <c r="H28" s="2517"/>
      <c r="I28" s="79"/>
      <c r="J28" s="394"/>
      <c r="K28" s="476"/>
      <c r="L28" s="355"/>
      <c r="M28" s="319"/>
      <c r="N28" s="319"/>
      <c r="O28" s="320"/>
      <c r="P28" s="337"/>
      <c r="Q28" s="337"/>
      <c r="R28" s="477"/>
      <c r="S28" s="645"/>
      <c r="T28" s="106"/>
      <c r="U28" s="608"/>
    </row>
    <row r="29" spans="1:21" ht="21.75" customHeight="1" x14ac:dyDescent="0.2">
      <c r="A29" s="918"/>
      <c r="B29" s="919"/>
      <c r="C29" s="995"/>
      <c r="D29" s="1017" t="s">
        <v>51</v>
      </c>
      <c r="E29" s="2519" t="s">
        <v>219</v>
      </c>
      <c r="F29" s="932" t="s">
        <v>68</v>
      </c>
      <c r="G29" s="921"/>
      <c r="H29" s="2517"/>
      <c r="I29" s="83" t="s">
        <v>187</v>
      </c>
      <c r="J29" s="274">
        <v>5792</v>
      </c>
      <c r="K29" s="301">
        <v>5792</v>
      </c>
      <c r="L29" s="354"/>
      <c r="M29" s="330"/>
      <c r="N29" s="330"/>
      <c r="O29" s="498"/>
      <c r="P29" s="301"/>
      <c r="Q29" s="274"/>
      <c r="R29" s="2070" t="s">
        <v>158</v>
      </c>
      <c r="S29" s="130"/>
      <c r="T29" s="130">
        <v>1</v>
      </c>
      <c r="U29" s="131"/>
    </row>
    <row r="30" spans="1:21" ht="15.75" customHeight="1" x14ac:dyDescent="0.2">
      <c r="A30" s="918"/>
      <c r="B30" s="919"/>
      <c r="C30" s="995"/>
      <c r="D30" s="997"/>
      <c r="E30" s="2299"/>
      <c r="F30" s="1021"/>
      <c r="G30" s="921"/>
      <c r="H30" s="2517"/>
      <c r="I30" s="213" t="s">
        <v>40</v>
      </c>
      <c r="J30" s="425"/>
      <c r="K30" s="250"/>
      <c r="L30" s="315"/>
      <c r="M30" s="316"/>
      <c r="N30" s="316"/>
      <c r="O30" s="317"/>
      <c r="P30" s="250">
        <v>15000</v>
      </c>
      <c r="Q30" s="425"/>
      <c r="R30" s="2071"/>
      <c r="S30" s="106"/>
      <c r="T30" s="106"/>
      <c r="U30" s="107"/>
    </row>
    <row r="31" spans="1:21" ht="13.5" customHeight="1" x14ac:dyDescent="0.2">
      <c r="A31" s="1998"/>
      <c r="B31" s="1999"/>
      <c r="C31" s="2457"/>
      <c r="D31" s="1017" t="s">
        <v>52</v>
      </c>
      <c r="E31" s="2022" t="s">
        <v>224</v>
      </c>
      <c r="F31" s="2520"/>
      <c r="G31" s="921"/>
      <c r="H31" s="2517"/>
      <c r="I31" s="13" t="s">
        <v>188</v>
      </c>
      <c r="J31" s="326"/>
      <c r="K31" s="264"/>
      <c r="L31" s="326"/>
      <c r="M31" s="322"/>
      <c r="N31" s="322"/>
      <c r="O31" s="326"/>
      <c r="P31" s="406">
        <v>120000</v>
      </c>
      <c r="Q31" s="244">
        <v>100000</v>
      </c>
      <c r="R31" s="2106" t="s">
        <v>169</v>
      </c>
      <c r="S31" s="989"/>
      <c r="T31" s="556">
        <v>1</v>
      </c>
      <c r="U31" s="598"/>
    </row>
    <row r="32" spans="1:21" ht="15" customHeight="1" x14ac:dyDescent="0.2">
      <c r="A32" s="1998"/>
      <c r="B32" s="1999"/>
      <c r="C32" s="2457"/>
      <c r="D32" s="1017"/>
      <c r="E32" s="2023"/>
      <c r="F32" s="2080"/>
      <c r="G32" s="921"/>
      <c r="H32" s="2517"/>
      <c r="I32" s="951" t="s">
        <v>40</v>
      </c>
      <c r="J32" s="326"/>
      <c r="K32" s="264"/>
      <c r="L32" s="326"/>
      <c r="M32" s="322"/>
      <c r="N32" s="322"/>
      <c r="O32" s="326"/>
      <c r="P32" s="406">
        <v>10000</v>
      </c>
      <c r="Q32" s="244">
        <v>10000</v>
      </c>
      <c r="R32" s="2106"/>
      <c r="S32" s="989"/>
      <c r="T32" s="556"/>
      <c r="U32" s="598"/>
    </row>
    <row r="33" spans="1:21" ht="12.75" customHeight="1" x14ac:dyDescent="0.2">
      <c r="A33" s="1998"/>
      <c r="B33" s="1999"/>
      <c r="C33" s="2457"/>
      <c r="D33" s="997"/>
      <c r="E33" s="2299"/>
      <c r="F33" s="2521"/>
      <c r="G33" s="921"/>
      <c r="H33" s="2517"/>
      <c r="I33" s="212" t="s">
        <v>187</v>
      </c>
      <c r="J33" s="326">
        <v>14481</v>
      </c>
      <c r="K33" s="264">
        <v>14481</v>
      </c>
      <c r="L33" s="6"/>
      <c r="M33" s="53"/>
      <c r="N33" s="53"/>
      <c r="O33" s="6"/>
      <c r="P33" s="599"/>
      <c r="Q33" s="6"/>
      <c r="R33" s="2071"/>
      <c r="S33" s="30"/>
      <c r="T33" s="542">
        <v>50</v>
      </c>
      <c r="U33" s="163">
        <v>100</v>
      </c>
    </row>
    <row r="34" spans="1:21" ht="15.75" customHeight="1" x14ac:dyDescent="0.2">
      <c r="A34" s="1998"/>
      <c r="B34" s="1999"/>
      <c r="C34" s="2457"/>
      <c r="D34" s="2472"/>
      <c r="E34" s="2074" t="s">
        <v>112</v>
      </c>
      <c r="F34" s="2114" t="s">
        <v>68</v>
      </c>
      <c r="G34" s="2021"/>
      <c r="H34" s="2051"/>
      <c r="I34" s="158" t="s">
        <v>187</v>
      </c>
      <c r="J34" s="430">
        <v>19202</v>
      </c>
      <c r="K34" s="407">
        <v>25222</v>
      </c>
      <c r="L34" s="354"/>
      <c r="M34" s="330"/>
      <c r="N34" s="330"/>
      <c r="O34" s="498"/>
      <c r="P34" s="341"/>
      <c r="Q34" s="342"/>
      <c r="R34" s="2072"/>
      <c r="S34" s="181"/>
      <c r="T34" s="181"/>
      <c r="U34" s="182"/>
    </row>
    <row r="35" spans="1:21" ht="16.5" customHeight="1" x14ac:dyDescent="0.2">
      <c r="A35" s="1998"/>
      <c r="B35" s="1999"/>
      <c r="C35" s="2457"/>
      <c r="D35" s="2472"/>
      <c r="E35" s="2299"/>
      <c r="F35" s="2522"/>
      <c r="G35" s="2463"/>
      <c r="H35" s="2518"/>
      <c r="I35" s="13" t="s">
        <v>188</v>
      </c>
      <c r="J35" s="428">
        <v>103684</v>
      </c>
      <c r="K35" s="250">
        <v>92292</v>
      </c>
      <c r="L35" s="315"/>
      <c r="M35" s="316"/>
      <c r="N35" s="316"/>
      <c r="O35" s="317"/>
      <c r="P35" s="291"/>
      <c r="Q35" s="289"/>
      <c r="R35" s="2252"/>
      <c r="S35" s="183"/>
      <c r="T35" s="183"/>
      <c r="U35" s="184"/>
    </row>
    <row r="36" spans="1:21" ht="15" customHeight="1" thickBot="1" x14ac:dyDescent="0.25">
      <c r="A36" s="981"/>
      <c r="B36" s="982"/>
      <c r="C36" s="1044"/>
      <c r="D36" s="94"/>
      <c r="E36" s="2476"/>
      <c r="F36" s="2476"/>
      <c r="G36" s="2476"/>
      <c r="H36" s="2477" t="s">
        <v>91</v>
      </c>
      <c r="I36" s="2526"/>
      <c r="J36" s="352">
        <f t="shared" ref="J36:O36" si="0">SUM(J14:J35)</f>
        <v>418501</v>
      </c>
      <c r="K36" s="400">
        <f t="shared" si="0"/>
        <v>413591</v>
      </c>
      <c r="L36" s="388">
        <f t="shared" si="0"/>
        <v>1865300</v>
      </c>
      <c r="M36" s="351">
        <f t="shared" si="0"/>
        <v>0</v>
      </c>
      <c r="N36" s="351">
        <f t="shared" si="0"/>
        <v>0</v>
      </c>
      <c r="O36" s="352">
        <f t="shared" si="0"/>
        <v>1865300</v>
      </c>
      <c r="P36" s="400">
        <f>SUM(P14:P35)</f>
        <v>629900</v>
      </c>
      <c r="Q36" s="388">
        <f>SUM(Q14:Q35)</f>
        <v>3816100</v>
      </c>
      <c r="R36" s="95"/>
      <c r="S36" s="96"/>
      <c r="T36" s="96"/>
      <c r="U36" s="97"/>
    </row>
    <row r="37" spans="1:21" ht="32.25" customHeight="1" x14ac:dyDescent="0.2">
      <c r="A37" s="962" t="s">
        <v>8</v>
      </c>
      <c r="B37" s="963" t="s">
        <v>8</v>
      </c>
      <c r="C37" s="999" t="s">
        <v>10</v>
      </c>
      <c r="D37" s="561"/>
      <c r="E37" s="66" t="s">
        <v>72</v>
      </c>
      <c r="F37" s="562" t="s">
        <v>144</v>
      </c>
      <c r="G37" s="1042" t="s">
        <v>63</v>
      </c>
      <c r="H37" s="2490" t="s">
        <v>101</v>
      </c>
      <c r="I37" s="565" t="s">
        <v>188</v>
      </c>
      <c r="J37" s="429"/>
      <c r="K37" s="441"/>
      <c r="L37" s="563"/>
      <c r="M37" s="374"/>
      <c r="N37" s="374"/>
      <c r="O37" s="376"/>
      <c r="P37" s="278"/>
      <c r="Q37" s="281"/>
      <c r="R37" s="127"/>
      <c r="S37" s="146"/>
      <c r="T37" s="155"/>
      <c r="U37" s="156"/>
    </row>
    <row r="38" spans="1:21" ht="17.25" customHeight="1" x14ac:dyDescent="0.2">
      <c r="A38" s="2073"/>
      <c r="B38" s="1999"/>
      <c r="C38" s="2457"/>
      <c r="D38" s="2460" t="s">
        <v>8</v>
      </c>
      <c r="E38" s="2088" t="s">
        <v>85</v>
      </c>
      <c r="F38" s="543" t="s">
        <v>68</v>
      </c>
      <c r="G38" s="2013"/>
      <c r="H38" s="2051"/>
      <c r="I38" s="496" t="s">
        <v>188</v>
      </c>
      <c r="J38" s="431">
        <v>24241</v>
      </c>
      <c r="K38" s="301">
        <v>14215</v>
      </c>
      <c r="L38" s="354">
        <v>20000</v>
      </c>
      <c r="M38" s="330"/>
      <c r="N38" s="330"/>
      <c r="O38" s="498">
        <v>20000</v>
      </c>
      <c r="P38" s="332">
        <v>460000</v>
      </c>
      <c r="Q38" s="509">
        <v>800000</v>
      </c>
      <c r="R38" s="925" t="s">
        <v>66</v>
      </c>
      <c r="S38" s="34">
        <v>1</v>
      </c>
      <c r="T38" s="34"/>
      <c r="U38" s="35"/>
    </row>
    <row r="39" spans="1:21" ht="26.25" customHeight="1" x14ac:dyDescent="0.2">
      <c r="A39" s="2073"/>
      <c r="B39" s="1999"/>
      <c r="C39" s="2457"/>
      <c r="D39" s="2461"/>
      <c r="E39" s="2089"/>
      <c r="F39" s="560"/>
      <c r="G39" s="2013"/>
      <c r="H39" s="2051"/>
      <c r="I39" s="786" t="s">
        <v>40</v>
      </c>
      <c r="J39" s="428"/>
      <c r="K39" s="250"/>
      <c r="L39" s="315"/>
      <c r="M39" s="316"/>
      <c r="N39" s="316"/>
      <c r="O39" s="317"/>
      <c r="P39" s="337">
        <v>30000</v>
      </c>
      <c r="Q39" s="600">
        <v>50000</v>
      </c>
      <c r="R39" s="165" t="s">
        <v>178</v>
      </c>
      <c r="S39" s="30"/>
      <c r="T39" s="30">
        <v>30</v>
      </c>
      <c r="U39" s="31">
        <v>70</v>
      </c>
    </row>
    <row r="40" spans="1:21" ht="27" customHeight="1" x14ac:dyDescent="0.2">
      <c r="A40" s="2073"/>
      <c r="B40" s="1999"/>
      <c r="C40" s="2457"/>
      <c r="D40" s="996" t="s">
        <v>10</v>
      </c>
      <c r="E40" s="930" t="s">
        <v>161</v>
      </c>
      <c r="F40" s="2090" t="s">
        <v>68</v>
      </c>
      <c r="G40" s="2013"/>
      <c r="H40" s="2482"/>
      <c r="I40" s="496" t="s">
        <v>188</v>
      </c>
      <c r="J40" s="431">
        <v>155207</v>
      </c>
      <c r="K40" s="301">
        <v>155210</v>
      </c>
      <c r="L40" s="274">
        <v>319700</v>
      </c>
      <c r="M40" s="330"/>
      <c r="N40" s="498"/>
      <c r="O40" s="365">
        <v>319700</v>
      </c>
      <c r="P40" s="301"/>
      <c r="Q40" s="302"/>
      <c r="R40" s="970" t="s">
        <v>134</v>
      </c>
      <c r="S40" s="501">
        <v>100</v>
      </c>
      <c r="T40" s="990"/>
      <c r="U40" s="166"/>
    </row>
    <row r="41" spans="1:21" ht="18" customHeight="1" x14ac:dyDescent="0.2">
      <c r="A41" s="2073"/>
      <c r="B41" s="1999"/>
      <c r="C41" s="2457"/>
      <c r="D41" s="1017"/>
      <c r="E41" s="928"/>
      <c r="F41" s="2091"/>
      <c r="G41" s="2013"/>
      <c r="H41" s="2482"/>
      <c r="I41" s="206" t="s">
        <v>187</v>
      </c>
      <c r="J41" s="427">
        <v>41387</v>
      </c>
      <c r="K41" s="264">
        <f>41387+57400</f>
        <v>98787</v>
      </c>
      <c r="L41" s="326"/>
      <c r="M41" s="322"/>
      <c r="N41" s="323"/>
      <c r="O41" s="348"/>
      <c r="P41" s="264"/>
      <c r="Q41" s="506"/>
      <c r="R41" s="979"/>
      <c r="S41" s="666"/>
      <c r="T41" s="556"/>
      <c r="U41" s="598"/>
    </row>
    <row r="42" spans="1:21" ht="16.5" customHeight="1" x14ac:dyDescent="0.2">
      <c r="A42" s="2073"/>
      <c r="B42" s="1999"/>
      <c r="C42" s="2457"/>
      <c r="D42" s="1017"/>
      <c r="E42" s="928"/>
      <c r="F42" s="2091"/>
      <c r="G42" s="2013"/>
      <c r="H42" s="2482"/>
      <c r="I42" s="511" t="s">
        <v>40</v>
      </c>
      <c r="J42" s="432"/>
      <c r="K42" s="439"/>
      <c r="L42" s="414">
        <v>101100</v>
      </c>
      <c r="M42" s="313"/>
      <c r="N42" s="667"/>
      <c r="O42" s="387">
        <v>101050</v>
      </c>
      <c r="P42" s="259"/>
      <c r="Q42" s="260"/>
      <c r="R42" s="149" t="s">
        <v>84</v>
      </c>
      <c r="S42" s="499"/>
      <c r="T42" s="150"/>
      <c r="U42" s="151"/>
    </row>
    <row r="43" spans="1:21" ht="40.5" customHeight="1" x14ac:dyDescent="0.2">
      <c r="A43" s="2073"/>
      <c r="B43" s="1999"/>
      <c r="C43" s="2457"/>
      <c r="D43" s="997"/>
      <c r="E43" s="931"/>
      <c r="F43" s="2091"/>
      <c r="G43" s="2013"/>
      <c r="H43" s="2482"/>
      <c r="I43" s="19" t="s">
        <v>40</v>
      </c>
      <c r="J43" s="428"/>
      <c r="K43" s="250"/>
      <c r="L43" s="115"/>
      <c r="M43" s="53"/>
      <c r="N43" s="676"/>
      <c r="O43" s="116"/>
      <c r="P43" s="235"/>
      <c r="Q43" s="263"/>
      <c r="R43" s="167" t="s">
        <v>135</v>
      </c>
      <c r="S43" s="500">
        <v>100</v>
      </c>
      <c r="T43" s="170"/>
      <c r="U43" s="163"/>
    </row>
    <row r="44" spans="1:21" ht="15.75" customHeight="1" x14ac:dyDescent="0.2">
      <c r="A44" s="2073"/>
      <c r="B44" s="1999"/>
      <c r="C44" s="2457"/>
      <c r="D44" s="1017" t="s">
        <v>43</v>
      </c>
      <c r="E44" s="2016" t="s">
        <v>138</v>
      </c>
      <c r="F44" s="2091"/>
      <c r="G44" s="2013"/>
      <c r="H44" s="2482"/>
      <c r="I44" s="206" t="s">
        <v>188</v>
      </c>
      <c r="J44" s="427">
        <v>92678</v>
      </c>
      <c r="K44" s="264">
        <v>30314</v>
      </c>
      <c r="L44" s="326">
        <v>100000</v>
      </c>
      <c r="M44" s="322"/>
      <c r="N44" s="323"/>
      <c r="O44" s="325">
        <v>100000</v>
      </c>
      <c r="P44" s="264">
        <v>450000</v>
      </c>
      <c r="Q44" s="506">
        <v>600000</v>
      </c>
      <c r="R44" s="954" t="s">
        <v>78</v>
      </c>
      <c r="S44" s="21">
        <v>1</v>
      </c>
      <c r="T44" s="21"/>
      <c r="U44" s="22"/>
    </row>
    <row r="45" spans="1:21" ht="15.75" customHeight="1" x14ac:dyDescent="0.2">
      <c r="A45" s="2073"/>
      <c r="B45" s="1999"/>
      <c r="C45" s="2457"/>
      <c r="D45" s="1017"/>
      <c r="E45" s="2016"/>
      <c r="F45" s="2091"/>
      <c r="G45" s="2013"/>
      <c r="H45" s="2482"/>
      <c r="I45" s="206" t="s">
        <v>40</v>
      </c>
      <c r="J45" s="427"/>
      <c r="K45" s="264"/>
      <c r="L45" s="326">
        <v>130000</v>
      </c>
      <c r="M45" s="323"/>
      <c r="N45" s="323"/>
      <c r="O45" s="323">
        <v>130000</v>
      </c>
      <c r="P45" s="264">
        <v>30000</v>
      </c>
      <c r="Q45" s="506">
        <v>30000</v>
      </c>
      <c r="R45" s="2145" t="s">
        <v>236</v>
      </c>
      <c r="S45" s="21"/>
      <c r="T45" s="21"/>
      <c r="U45" s="22"/>
    </row>
    <row r="46" spans="1:21" ht="41.25" customHeight="1" x14ac:dyDescent="0.2">
      <c r="A46" s="2073"/>
      <c r="B46" s="1999"/>
      <c r="C46" s="2457"/>
      <c r="D46" s="1017"/>
      <c r="E46" s="2344"/>
      <c r="F46" s="2091"/>
      <c r="G46" s="2013"/>
      <c r="H46" s="2482"/>
      <c r="I46" s="786" t="s">
        <v>40</v>
      </c>
      <c r="J46" s="428"/>
      <c r="K46" s="250"/>
      <c r="L46" s="315"/>
      <c r="M46" s="317"/>
      <c r="N46" s="316"/>
      <c r="O46" s="317"/>
      <c r="P46" s="337"/>
      <c r="Q46" s="600"/>
      <c r="R46" s="2071"/>
      <c r="S46" s="542"/>
      <c r="T46" s="542">
        <v>30</v>
      </c>
      <c r="U46" s="163">
        <v>70</v>
      </c>
    </row>
    <row r="47" spans="1:21" ht="28.5" customHeight="1" x14ac:dyDescent="0.2">
      <c r="A47" s="918"/>
      <c r="B47" s="919"/>
      <c r="C47" s="112"/>
      <c r="D47" s="1001"/>
      <c r="E47" s="225" t="s">
        <v>162</v>
      </c>
      <c r="F47" s="545" t="s">
        <v>68</v>
      </c>
      <c r="G47" s="921"/>
      <c r="H47" s="538"/>
      <c r="I47" s="79" t="s">
        <v>188</v>
      </c>
      <c r="J47" s="428">
        <v>37998</v>
      </c>
      <c r="K47" s="250">
        <v>73307</v>
      </c>
      <c r="L47" s="321"/>
      <c r="M47" s="322"/>
      <c r="N47" s="322"/>
      <c r="O47" s="325"/>
      <c r="P47" s="240"/>
      <c r="Q47" s="244"/>
      <c r="R47" s="1049"/>
      <c r="S47" s="1050"/>
      <c r="T47" s="1051"/>
      <c r="U47" s="960"/>
    </row>
    <row r="48" spans="1:21" ht="18.75" customHeight="1" x14ac:dyDescent="0.2">
      <c r="A48" s="2073"/>
      <c r="B48" s="1999"/>
      <c r="C48" s="2457"/>
      <c r="D48" s="2507"/>
      <c r="E48" s="2022" t="s">
        <v>148</v>
      </c>
      <c r="F48" s="546" t="s">
        <v>68</v>
      </c>
      <c r="G48" s="2013"/>
      <c r="H48" s="2613"/>
      <c r="I48" s="13" t="s">
        <v>188</v>
      </c>
      <c r="J48" s="430">
        <v>159291</v>
      </c>
      <c r="K48" s="407">
        <v>87165</v>
      </c>
      <c r="L48" s="324"/>
      <c r="M48" s="322"/>
      <c r="N48" s="322"/>
      <c r="O48" s="858"/>
      <c r="P48" s="287"/>
      <c r="Q48" s="283"/>
      <c r="R48" s="2145"/>
      <c r="S48" s="556"/>
      <c r="T48" s="556"/>
      <c r="U48" s="598"/>
    </row>
    <row r="49" spans="1:27" ht="17.25" customHeight="1" x14ac:dyDescent="0.2">
      <c r="A49" s="2073"/>
      <c r="B49" s="1999"/>
      <c r="C49" s="2457"/>
      <c r="D49" s="2507"/>
      <c r="E49" s="2344"/>
      <c r="F49" s="1034"/>
      <c r="G49" s="2013"/>
      <c r="H49" s="2613"/>
      <c r="I49" s="212" t="s">
        <v>187</v>
      </c>
      <c r="J49" s="428">
        <v>24618</v>
      </c>
      <c r="K49" s="250">
        <v>18598</v>
      </c>
      <c r="L49" s="324"/>
      <c r="M49" s="322"/>
      <c r="N49" s="322"/>
      <c r="O49" s="858"/>
      <c r="P49" s="240"/>
      <c r="Q49" s="244"/>
      <c r="R49" s="2622"/>
      <c r="S49" s="556"/>
      <c r="T49" s="1052"/>
      <c r="U49" s="1053"/>
    </row>
    <row r="50" spans="1:27" ht="15" customHeight="1" x14ac:dyDescent="0.2">
      <c r="A50" s="918"/>
      <c r="B50" s="919"/>
      <c r="C50" s="112"/>
      <c r="D50" s="1013"/>
      <c r="E50" s="219" t="s">
        <v>163</v>
      </c>
      <c r="F50" s="547"/>
      <c r="G50" s="957"/>
      <c r="H50" s="538"/>
      <c r="I50" s="456" t="s">
        <v>188</v>
      </c>
      <c r="J50" s="433">
        <v>10050</v>
      </c>
      <c r="K50" s="290">
        <v>49050</v>
      </c>
      <c r="L50" s="315"/>
      <c r="M50" s="316"/>
      <c r="N50" s="316"/>
      <c r="O50" s="336"/>
      <c r="P50" s="235"/>
      <c r="Q50" s="236"/>
      <c r="R50" s="1054" t="s">
        <v>156</v>
      </c>
      <c r="S50" s="220" t="s">
        <v>155</v>
      </c>
      <c r="T50" s="202"/>
      <c r="U50" s="90"/>
    </row>
    <row r="51" spans="1:27" ht="14.25" customHeight="1" thickBot="1" x14ac:dyDescent="0.25">
      <c r="A51" s="305"/>
      <c r="B51" s="982"/>
      <c r="C51" s="1044"/>
      <c r="D51" s="94"/>
      <c r="E51" s="2476"/>
      <c r="F51" s="2476"/>
      <c r="G51" s="2625"/>
      <c r="H51" s="2477" t="s">
        <v>91</v>
      </c>
      <c r="I51" s="2478"/>
      <c r="J51" s="352">
        <f>SUM(J38:J50)</f>
        <v>545470</v>
      </c>
      <c r="K51" s="400">
        <f>SUM(K38:K50)</f>
        <v>526646</v>
      </c>
      <c r="L51" s="388">
        <f t="shared" ref="L51:O51" si="1">SUM(L38:L46)</f>
        <v>670800</v>
      </c>
      <c r="M51" s="351">
        <f t="shared" si="1"/>
        <v>0</v>
      </c>
      <c r="N51" s="351">
        <f t="shared" si="1"/>
        <v>0</v>
      </c>
      <c r="O51" s="351">
        <f t="shared" si="1"/>
        <v>670750</v>
      </c>
      <c r="P51" s="351">
        <f>SUM(P38:P46)</f>
        <v>970000</v>
      </c>
      <c r="Q51" s="351">
        <f>SUM(Q38:Q46)</f>
        <v>1480000</v>
      </c>
      <c r="R51" s="98"/>
      <c r="S51" s="99"/>
      <c r="T51" s="99"/>
      <c r="U51" s="100"/>
    </row>
    <row r="52" spans="1:27" ht="33.75" customHeight="1" x14ac:dyDescent="0.2">
      <c r="A52" s="962" t="s">
        <v>8</v>
      </c>
      <c r="B52" s="963" t="s">
        <v>8</v>
      </c>
      <c r="C52" s="999" t="s">
        <v>43</v>
      </c>
      <c r="D52" s="61"/>
      <c r="E52" s="58" t="s">
        <v>180</v>
      </c>
      <c r="F52" s="186" t="s">
        <v>147</v>
      </c>
      <c r="G52" s="539" t="s">
        <v>63</v>
      </c>
      <c r="H52" s="2556" t="s">
        <v>101</v>
      </c>
      <c r="I52" s="144"/>
      <c r="J52" s="434"/>
      <c r="K52" s="284"/>
      <c r="L52" s="361"/>
      <c r="M52" s="353"/>
      <c r="N52" s="353"/>
      <c r="O52" s="362"/>
      <c r="P52" s="278"/>
      <c r="Q52" s="281"/>
      <c r="R52" s="127"/>
      <c r="S52" s="152"/>
      <c r="T52" s="152"/>
      <c r="U52" s="153"/>
    </row>
    <row r="53" spans="1:27" ht="17.25" customHeight="1" x14ac:dyDescent="0.2">
      <c r="A53" s="1998"/>
      <c r="B53" s="1999"/>
      <c r="C53" s="2457"/>
      <c r="D53" s="2460" t="s">
        <v>8</v>
      </c>
      <c r="E53" s="2017" t="s">
        <v>181</v>
      </c>
      <c r="F53" s="2085" t="s">
        <v>68</v>
      </c>
      <c r="G53" s="2087"/>
      <c r="H53" s="2051"/>
      <c r="I53" s="120" t="s">
        <v>188</v>
      </c>
      <c r="J53" s="424">
        <v>34725</v>
      </c>
      <c r="K53" s="407">
        <f>38730-4000</f>
        <v>34730</v>
      </c>
      <c r="L53" s="356">
        <v>100000</v>
      </c>
      <c r="M53" s="307"/>
      <c r="N53" s="339"/>
      <c r="O53" s="340">
        <v>100000</v>
      </c>
      <c r="P53" s="265">
        <v>67500</v>
      </c>
      <c r="Q53" s="266">
        <v>101200</v>
      </c>
      <c r="R53" s="2099" t="s">
        <v>121</v>
      </c>
      <c r="S53" s="45">
        <v>1</v>
      </c>
      <c r="T53" s="45"/>
      <c r="U53" s="57"/>
    </row>
    <row r="54" spans="1:27" ht="17.25" customHeight="1" x14ac:dyDescent="0.2">
      <c r="A54" s="1998"/>
      <c r="B54" s="1999"/>
      <c r="C54" s="2457"/>
      <c r="D54" s="2507"/>
      <c r="E54" s="2018"/>
      <c r="F54" s="2086"/>
      <c r="G54" s="2087"/>
      <c r="H54" s="2051"/>
      <c r="I54" s="13" t="s">
        <v>188</v>
      </c>
      <c r="J54" s="326"/>
      <c r="K54" s="264"/>
      <c r="L54" s="418"/>
      <c r="M54" s="322"/>
      <c r="N54" s="350"/>
      <c r="O54" s="348"/>
      <c r="P54" s="240">
        <v>1992200</v>
      </c>
      <c r="Q54" s="244">
        <v>2656300</v>
      </c>
      <c r="R54" s="2106"/>
      <c r="S54" s="953"/>
      <c r="T54" s="953"/>
      <c r="U54" s="54"/>
    </row>
    <row r="55" spans="1:27" ht="15.75" customHeight="1" x14ac:dyDescent="0.2">
      <c r="A55" s="1998"/>
      <c r="B55" s="1999"/>
      <c r="C55" s="2457"/>
      <c r="D55" s="2507"/>
      <c r="E55" s="2018"/>
      <c r="F55" s="2086"/>
      <c r="G55" s="2087"/>
      <c r="H55" s="2051"/>
      <c r="I55" s="160" t="s">
        <v>40</v>
      </c>
      <c r="J55" s="436"/>
      <c r="K55" s="440"/>
      <c r="L55" s="438">
        <v>403000</v>
      </c>
      <c r="M55" s="349"/>
      <c r="N55" s="349"/>
      <c r="O55" s="367">
        <v>403000</v>
      </c>
      <c r="P55" s="261">
        <v>28900</v>
      </c>
      <c r="Q55" s="262">
        <v>43400</v>
      </c>
      <c r="R55" s="2106"/>
      <c r="S55" s="953">
        <v>10</v>
      </c>
      <c r="T55" s="953">
        <v>50</v>
      </c>
      <c r="U55" s="54">
        <v>100</v>
      </c>
    </row>
    <row r="56" spans="1:27" ht="16.5" customHeight="1" x14ac:dyDescent="0.2">
      <c r="A56" s="1998"/>
      <c r="B56" s="1999"/>
      <c r="C56" s="2457"/>
      <c r="D56" s="2461"/>
      <c r="E56" s="2067"/>
      <c r="F56" s="2101"/>
      <c r="G56" s="2087"/>
      <c r="H56" s="2051"/>
      <c r="I56" s="173" t="s">
        <v>64</v>
      </c>
      <c r="J56" s="425"/>
      <c r="K56" s="250"/>
      <c r="L56" s="355"/>
      <c r="M56" s="319"/>
      <c r="N56" s="319"/>
      <c r="O56" s="320"/>
      <c r="P56" s="235">
        <v>546100</v>
      </c>
      <c r="Q56" s="236">
        <v>819000</v>
      </c>
      <c r="R56" s="2100"/>
      <c r="S56" s="55"/>
      <c r="T56" s="55"/>
      <c r="U56" s="56"/>
    </row>
    <row r="57" spans="1:27" ht="19.5" customHeight="1" x14ac:dyDescent="0.2">
      <c r="A57" s="918"/>
      <c r="B57" s="919"/>
      <c r="C57" s="489"/>
      <c r="D57" s="2460" t="s">
        <v>10</v>
      </c>
      <c r="E57" s="2017" t="s">
        <v>297</v>
      </c>
      <c r="F57" s="2085" t="s">
        <v>68</v>
      </c>
      <c r="G57" s="2511"/>
      <c r="H57" s="2512"/>
      <c r="I57" s="496" t="s">
        <v>188</v>
      </c>
      <c r="J57" s="274">
        <v>8689</v>
      </c>
      <c r="K57" s="301">
        <v>0</v>
      </c>
      <c r="L57" s="354">
        <v>12000</v>
      </c>
      <c r="M57" s="330"/>
      <c r="N57" s="330"/>
      <c r="O57" s="331">
        <v>12000</v>
      </c>
      <c r="P57" s="301">
        <v>150000</v>
      </c>
      <c r="Q57" s="301"/>
      <c r="R57" s="926" t="s">
        <v>66</v>
      </c>
      <c r="S57" s="130">
        <v>2</v>
      </c>
      <c r="T57" s="130"/>
      <c r="U57" s="131"/>
    </row>
    <row r="58" spans="1:27" ht="20.25" customHeight="1" x14ac:dyDescent="0.2">
      <c r="A58" s="918"/>
      <c r="B58" s="919"/>
      <c r="C58" s="489"/>
      <c r="D58" s="2461"/>
      <c r="E58" s="2067"/>
      <c r="F58" s="2101"/>
      <c r="G58" s="2511"/>
      <c r="H58" s="2513"/>
      <c r="I58" s="19" t="s">
        <v>65</v>
      </c>
      <c r="J58" s="425"/>
      <c r="K58" s="250"/>
      <c r="L58" s="315"/>
      <c r="M58" s="316"/>
      <c r="N58" s="316"/>
      <c r="O58" s="336"/>
      <c r="P58" s="250"/>
      <c r="Q58" s="250"/>
      <c r="R58" s="958" t="s">
        <v>154</v>
      </c>
      <c r="S58" s="89"/>
      <c r="T58" s="106">
        <v>100</v>
      </c>
      <c r="U58" s="107"/>
    </row>
    <row r="59" spans="1:27" ht="16.5" customHeight="1" x14ac:dyDescent="0.2">
      <c r="A59" s="918"/>
      <c r="B59" s="919"/>
      <c r="C59" s="995"/>
      <c r="D59" s="1017" t="s">
        <v>43</v>
      </c>
      <c r="E59" s="2074" t="s">
        <v>86</v>
      </c>
      <c r="F59" s="938" t="s">
        <v>68</v>
      </c>
      <c r="G59" s="936"/>
      <c r="H59" s="2623"/>
      <c r="I59" s="496" t="s">
        <v>188</v>
      </c>
      <c r="J59" s="302"/>
      <c r="K59" s="301"/>
      <c r="L59" s="354"/>
      <c r="M59" s="330"/>
      <c r="N59" s="330"/>
      <c r="O59" s="331"/>
      <c r="P59" s="301"/>
      <c r="Q59" s="302">
        <v>50000</v>
      </c>
      <c r="R59" s="926" t="s">
        <v>66</v>
      </c>
      <c r="S59" s="990"/>
      <c r="T59" s="130"/>
      <c r="U59" s="131">
        <v>1</v>
      </c>
    </row>
    <row r="60" spans="1:27" ht="17.25" customHeight="1" x14ac:dyDescent="0.2">
      <c r="A60" s="918"/>
      <c r="B60" s="919"/>
      <c r="C60" s="995"/>
      <c r="D60" s="1020"/>
      <c r="E60" s="2299"/>
      <c r="F60" s="938"/>
      <c r="G60" s="936"/>
      <c r="H60" s="2623"/>
      <c r="I60" s="169" t="s">
        <v>65</v>
      </c>
      <c r="J60" s="479"/>
      <c r="K60" s="439"/>
      <c r="L60" s="311"/>
      <c r="M60" s="368"/>
      <c r="N60" s="368"/>
      <c r="O60" s="369"/>
      <c r="P60" s="294"/>
      <c r="Q60" s="370">
        <v>30000</v>
      </c>
      <c r="R60" s="929"/>
      <c r="S60" s="989"/>
      <c r="T60" s="953"/>
      <c r="U60" s="54"/>
    </row>
    <row r="61" spans="1:27" ht="19.5" customHeight="1" x14ac:dyDescent="0.2">
      <c r="A61" s="1998"/>
      <c r="B61" s="1999"/>
      <c r="C61" s="2457"/>
      <c r="D61" s="2558" t="s">
        <v>48</v>
      </c>
      <c r="E61" s="2088" t="s">
        <v>172</v>
      </c>
      <c r="F61" s="1038" t="s">
        <v>68</v>
      </c>
      <c r="G61" s="936"/>
      <c r="H61" s="2623"/>
      <c r="I61" s="496" t="s">
        <v>40</v>
      </c>
      <c r="J61" s="302"/>
      <c r="K61" s="301"/>
      <c r="L61" s="354"/>
      <c r="M61" s="330"/>
      <c r="N61" s="330"/>
      <c r="O61" s="331"/>
      <c r="P61" s="332"/>
      <c r="Q61" s="509"/>
      <c r="R61" s="2099" t="s">
        <v>66</v>
      </c>
      <c r="S61" s="45"/>
      <c r="T61" s="45"/>
      <c r="U61" s="57">
        <v>1</v>
      </c>
    </row>
    <row r="62" spans="1:27" ht="20.25" customHeight="1" x14ac:dyDescent="0.2">
      <c r="A62" s="2116"/>
      <c r="B62" s="2119"/>
      <c r="C62" s="2462"/>
      <c r="D62" s="2559"/>
      <c r="E62" s="2089"/>
      <c r="F62" s="171"/>
      <c r="G62" s="830"/>
      <c r="H62" s="2624"/>
      <c r="I62" s="79" t="s">
        <v>188</v>
      </c>
      <c r="J62" s="408"/>
      <c r="K62" s="250"/>
      <c r="L62" s="355"/>
      <c r="M62" s="344"/>
      <c r="N62" s="344"/>
      <c r="O62" s="345"/>
      <c r="P62" s="275">
        <v>10000</v>
      </c>
      <c r="Q62" s="289">
        <v>60000</v>
      </c>
      <c r="R62" s="2100"/>
      <c r="S62" s="89"/>
      <c r="T62" s="89"/>
      <c r="U62" s="90"/>
    </row>
    <row r="63" spans="1:27" ht="23.25" customHeight="1" x14ac:dyDescent="0.2">
      <c r="A63" s="1998"/>
      <c r="B63" s="1999"/>
      <c r="C63" s="2457"/>
      <c r="D63" s="2511" t="s">
        <v>49</v>
      </c>
      <c r="E63" s="2074" t="s">
        <v>298</v>
      </c>
      <c r="F63" s="1019" t="s">
        <v>68</v>
      </c>
      <c r="G63" s="1020"/>
      <c r="H63" s="2571" t="s">
        <v>102</v>
      </c>
      <c r="I63" s="206" t="s">
        <v>40</v>
      </c>
      <c r="J63" s="506"/>
      <c r="K63" s="264"/>
      <c r="L63" s="321"/>
      <c r="M63" s="322"/>
      <c r="N63" s="322"/>
      <c r="O63" s="325"/>
      <c r="P63" s="406"/>
      <c r="Q63" s="510"/>
      <c r="R63" s="2106" t="s">
        <v>210</v>
      </c>
      <c r="S63" s="953"/>
      <c r="T63" s="161" t="s">
        <v>211</v>
      </c>
      <c r="U63" s="168">
        <v>100</v>
      </c>
      <c r="V63" s="939"/>
      <c r="W63" s="983"/>
      <c r="X63" s="983"/>
      <c r="Y63" s="1055"/>
      <c r="Z63" s="1055"/>
      <c r="AA63" s="1055"/>
    </row>
    <row r="64" spans="1:27" ht="28.5" customHeight="1" x14ac:dyDescent="0.2">
      <c r="A64" s="1998"/>
      <c r="B64" s="1999"/>
      <c r="C64" s="2457"/>
      <c r="D64" s="2559"/>
      <c r="E64" s="2089"/>
      <c r="F64" s="171"/>
      <c r="G64" s="172"/>
      <c r="H64" s="2129"/>
      <c r="I64" s="79" t="s">
        <v>188</v>
      </c>
      <c r="J64" s="408"/>
      <c r="K64" s="250"/>
      <c r="L64" s="355"/>
      <c r="M64" s="344"/>
      <c r="N64" s="344"/>
      <c r="O64" s="345"/>
      <c r="P64" s="275">
        <v>206800</v>
      </c>
      <c r="Q64" s="289">
        <v>150000</v>
      </c>
      <c r="R64" s="2100"/>
      <c r="S64" s="89"/>
      <c r="T64" s="89"/>
      <c r="U64" s="90"/>
      <c r="V64" s="940"/>
      <c r="W64" s="983"/>
      <c r="X64" s="983"/>
      <c r="Y64" s="1055"/>
      <c r="Z64" s="1055"/>
      <c r="AA64" s="1055"/>
    </row>
    <row r="65" spans="1:27" ht="52.5" customHeight="1" x14ac:dyDescent="0.2">
      <c r="A65" s="918"/>
      <c r="B65" s="919"/>
      <c r="C65" s="995"/>
      <c r="D65" s="1016"/>
      <c r="E65" s="548" t="s">
        <v>81</v>
      </c>
      <c r="F65" s="488" t="s">
        <v>68</v>
      </c>
      <c r="G65" s="988"/>
      <c r="H65" s="549" t="s">
        <v>101</v>
      </c>
      <c r="I65" s="18" t="s">
        <v>188</v>
      </c>
      <c r="J65" s="435">
        <v>47816</v>
      </c>
      <c r="K65" s="285">
        <v>47820</v>
      </c>
      <c r="L65" s="437"/>
      <c r="M65" s="363"/>
      <c r="N65" s="363"/>
      <c r="O65" s="364"/>
      <c r="P65" s="235"/>
      <c r="Q65" s="241"/>
      <c r="R65" s="124"/>
      <c r="S65" s="293"/>
      <c r="T65" s="174"/>
      <c r="U65" s="175"/>
      <c r="V65" s="952"/>
      <c r="W65" s="1055"/>
      <c r="X65" s="1055"/>
      <c r="Y65" s="1055"/>
      <c r="Z65" s="1055"/>
      <c r="AA65" s="1055"/>
    </row>
    <row r="66" spans="1:27" ht="16.5" customHeight="1" thickBot="1" x14ac:dyDescent="0.25">
      <c r="A66" s="981"/>
      <c r="B66" s="982"/>
      <c r="C66" s="1044"/>
      <c r="D66" s="101"/>
      <c r="E66" s="2485"/>
      <c r="F66" s="2485"/>
      <c r="G66" s="2486"/>
      <c r="H66" s="2487" t="s">
        <v>91</v>
      </c>
      <c r="I66" s="2488"/>
      <c r="J66" s="372">
        <f>SUM(J53:J65)</f>
        <v>91230</v>
      </c>
      <c r="K66" s="417">
        <f>SUM(K53:K65)</f>
        <v>82550</v>
      </c>
      <c r="L66" s="371">
        <f>SUM(L53:L62)</f>
        <v>515000</v>
      </c>
      <c r="M66" s="371">
        <f>SUM(M53:M62)</f>
        <v>0</v>
      </c>
      <c r="N66" s="371">
        <f>SUM(N53:N62)</f>
        <v>0</v>
      </c>
      <c r="O66" s="371">
        <f>SUM(O53:O62)</f>
        <v>515000</v>
      </c>
      <c r="P66" s="373">
        <f>SUM(P53:P64)</f>
        <v>3001500</v>
      </c>
      <c r="Q66" s="371">
        <f>SUM(Q53:Q64)</f>
        <v>3909900</v>
      </c>
      <c r="R66" s="98"/>
      <c r="S66" s="103"/>
      <c r="T66" s="103"/>
      <c r="U66" s="104"/>
    </row>
    <row r="67" spans="1:27" ht="33" customHeight="1" x14ac:dyDescent="0.2">
      <c r="A67" s="962" t="s">
        <v>8</v>
      </c>
      <c r="B67" s="963" t="s">
        <v>8</v>
      </c>
      <c r="C67" s="999" t="s">
        <v>48</v>
      </c>
      <c r="D67" s="65"/>
      <c r="E67" s="66" t="s">
        <v>73</v>
      </c>
      <c r="F67" s="180" t="s">
        <v>143</v>
      </c>
      <c r="G67" s="564" t="s">
        <v>63</v>
      </c>
      <c r="H67" s="2557" t="s">
        <v>101</v>
      </c>
      <c r="I67" s="75"/>
      <c r="J67" s="444"/>
      <c r="K67" s="278"/>
      <c r="L67" s="375"/>
      <c r="M67" s="374"/>
      <c r="N67" s="374"/>
      <c r="O67" s="376"/>
      <c r="P67" s="278"/>
      <c r="Q67" s="282"/>
      <c r="R67" s="145"/>
      <c r="S67" s="146"/>
      <c r="T67" s="146"/>
      <c r="U67" s="147"/>
    </row>
    <row r="68" spans="1:27" ht="18.75" customHeight="1" x14ac:dyDescent="0.2">
      <c r="A68" s="918"/>
      <c r="B68" s="919"/>
      <c r="C68" s="995"/>
      <c r="D68" s="2508" t="s">
        <v>8</v>
      </c>
      <c r="E68" s="2074" t="s">
        <v>87</v>
      </c>
      <c r="F68" s="2510" t="s">
        <v>68</v>
      </c>
      <c r="G68" s="2626"/>
      <c r="H68" s="2051"/>
      <c r="I68" s="496" t="s">
        <v>188</v>
      </c>
      <c r="J68" s="431">
        <v>98471</v>
      </c>
      <c r="K68" s="301">
        <v>69159</v>
      </c>
      <c r="L68" s="354">
        <v>70000</v>
      </c>
      <c r="M68" s="330"/>
      <c r="N68" s="330"/>
      <c r="O68" s="498">
        <f>L68</f>
        <v>70000</v>
      </c>
      <c r="P68" s="301">
        <v>450000</v>
      </c>
      <c r="Q68" s="301">
        <v>800000</v>
      </c>
      <c r="R68" s="2106" t="s">
        <v>140</v>
      </c>
      <c r="S68" s="942">
        <v>1</v>
      </c>
      <c r="T68" s="942"/>
      <c r="U68" s="943"/>
    </row>
    <row r="69" spans="1:27" ht="20.25" customHeight="1" x14ac:dyDescent="0.2">
      <c r="A69" s="918"/>
      <c r="B69" s="919"/>
      <c r="C69" s="995"/>
      <c r="D69" s="2508"/>
      <c r="E69" s="2074"/>
      <c r="F69" s="2510"/>
      <c r="G69" s="2626"/>
      <c r="H69" s="2051"/>
      <c r="I69" s="224" t="s">
        <v>40</v>
      </c>
      <c r="J69" s="428"/>
      <c r="K69" s="250"/>
      <c r="L69" s="315"/>
      <c r="M69" s="377"/>
      <c r="N69" s="377"/>
      <c r="O69" s="317"/>
      <c r="P69" s="277">
        <v>30000</v>
      </c>
      <c r="Q69" s="277">
        <v>50000</v>
      </c>
      <c r="R69" s="2106"/>
      <c r="S69" s="942"/>
      <c r="T69" s="942">
        <v>10</v>
      </c>
      <c r="U69" s="943">
        <v>25</v>
      </c>
    </row>
    <row r="70" spans="1:27" ht="18" customHeight="1" x14ac:dyDescent="0.2">
      <c r="A70" s="1998"/>
      <c r="B70" s="1999"/>
      <c r="C70" s="2457"/>
      <c r="D70" s="2460" t="s">
        <v>10</v>
      </c>
      <c r="E70" s="2097" t="s">
        <v>305</v>
      </c>
      <c r="F70" s="2465" t="s">
        <v>68</v>
      </c>
      <c r="G70" s="2021"/>
      <c r="H70" s="2491"/>
      <c r="I70" s="496" t="s">
        <v>188</v>
      </c>
      <c r="J70" s="431">
        <v>28962</v>
      </c>
      <c r="K70" s="301">
        <v>0</v>
      </c>
      <c r="L70" s="354">
        <v>88800</v>
      </c>
      <c r="M70" s="330"/>
      <c r="N70" s="330"/>
      <c r="O70" s="498">
        <f>L70</f>
        <v>88800</v>
      </c>
      <c r="P70" s="301"/>
      <c r="Q70" s="302">
        <v>100000</v>
      </c>
      <c r="R70" s="164" t="s">
        <v>66</v>
      </c>
      <c r="S70" s="178">
        <v>1</v>
      </c>
      <c r="T70" s="178"/>
      <c r="U70" s="179"/>
    </row>
    <row r="71" spans="1:27" ht="39.75" customHeight="1" x14ac:dyDescent="0.2">
      <c r="A71" s="1998"/>
      <c r="B71" s="1999"/>
      <c r="C71" s="2457"/>
      <c r="D71" s="2507"/>
      <c r="E71" s="2102"/>
      <c r="F71" s="2509"/>
      <c r="G71" s="2021"/>
      <c r="H71" s="2491"/>
      <c r="I71" s="19" t="s">
        <v>40</v>
      </c>
      <c r="J71" s="428"/>
      <c r="K71" s="250"/>
      <c r="L71" s="355"/>
      <c r="M71" s="350"/>
      <c r="N71" s="350"/>
      <c r="O71" s="360"/>
      <c r="P71" s="287"/>
      <c r="Q71" s="283">
        <v>30000</v>
      </c>
      <c r="R71" s="935" t="s">
        <v>306</v>
      </c>
      <c r="S71" s="953"/>
      <c r="T71" s="953"/>
      <c r="U71" s="168">
        <v>10</v>
      </c>
    </row>
    <row r="72" spans="1:27" ht="19.5" customHeight="1" x14ac:dyDescent="0.2">
      <c r="A72" s="1998"/>
      <c r="B72" s="1999"/>
      <c r="C72" s="2457"/>
      <c r="D72" s="2460" t="s">
        <v>43</v>
      </c>
      <c r="E72" s="2022" t="s">
        <v>149</v>
      </c>
      <c r="F72" s="2465" t="s">
        <v>68</v>
      </c>
      <c r="G72" s="2021"/>
      <c r="H72" s="2482"/>
      <c r="I72" s="496" t="s">
        <v>188</v>
      </c>
      <c r="J72" s="431">
        <v>25487</v>
      </c>
      <c r="K72" s="301">
        <v>10499</v>
      </c>
      <c r="L72" s="354">
        <v>10500</v>
      </c>
      <c r="M72" s="330"/>
      <c r="N72" s="330"/>
      <c r="O72" s="498">
        <v>10500</v>
      </c>
      <c r="P72" s="301">
        <v>150000</v>
      </c>
      <c r="Q72" s="302">
        <v>455700</v>
      </c>
      <c r="R72" s="2072" t="s">
        <v>150</v>
      </c>
      <c r="S72" s="45">
        <v>1</v>
      </c>
      <c r="T72" s="45"/>
      <c r="U72" s="57"/>
      <c r="V72" s="395"/>
    </row>
    <row r="73" spans="1:27" ht="15" customHeight="1" x14ac:dyDescent="0.2">
      <c r="A73" s="1998"/>
      <c r="B73" s="1999"/>
      <c r="C73" s="2457"/>
      <c r="D73" s="2507"/>
      <c r="E73" s="2016"/>
      <c r="F73" s="2509"/>
      <c r="G73" s="2021"/>
      <c r="H73" s="2482"/>
      <c r="I73" s="206" t="s">
        <v>40</v>
      </c>
      <c r="J73" s="427"/>
      <c r="K73" s="264"/>
      <c r="L73" s="321"/>
      <c r="M73" s="322"/>
      <c r="N73" s="322"/>
      <c r="O73" s="323"/>
      <c r="P73" s="264"/>
      <c r="Q73" s="506"/>
      <c r="R73" s="2140"/>
      <c r="S73" s="953"/>
      <c r="T73" s="953"/>
      <c r="U73" s="54"/>
    </row>
    <row r="74" spans="1:27" ht="18" customHeight="1" x14ac:dyDescent="0.2">
      <c r="A74" s="1998"/>
      <c r="B74" s="1999"/>
      <c r="C74" s="2457"/>
      <c r="D74" s="2461"/>
      <c r="E74" s="2344"/>
      <c r="F74" s="2466"/>
      <c r="G74" s="2021"/>
      <c r="H74" s="2482"/>
      <c r="I74" s="786" t="s">
        <v>65</v>
      </c>
      <c r="J74" s="428"/>
      <c r="K74" s="250"/>
      <c r="L74" s="315"/>
      <c r="M74" s="316"/>
      <c r="N74" s="316"/>
      <c r="O74" s="317"/>
      <c r="P74" s="250">
        <v>30000</v>
      </c>
      <c r="Q74" s="408"/>
      <c r="R74" s="2071"/>
      <c r="S74" s="55">
        <v>35</v>
      </c>
      <c r="T74" s="55">
        <v>100</v>
      </c>
      <c r="U74" s="177"/>
    </row>
    <row r="75" spans="1:27" ht="21" customHeight="1" x14ac:dyDescent="0.2">
      <c r="A75" s="1998"/>
      <c r="B75" s="1999"/>
      <c r="C75" s="2457"/>
      <c r="D75" s="2460" t="s">
        <v>48</v>
      </c>
      <c r="E75" s="2022" t="s">
        <v>299</v>
      </c>
      <c r="F75" s="2465" t="s">
        <v>68</v>
      </c>
      <c r="G75" s="2021"/>
      <c r="H75" s="2491"/>
      <c r="I75" s="496" t="s">
        <v>188</v>
      </c>
      <c r="J75" s="431"/>
      <c r="K75" s="301"/>
      <c r="L75" s="354">
        <v>950000</v>
      </c>
      <c r="M75" s="330"/>
      <c r="N75" s="330"/>
      <c r="O75" s="498">
        <v>950000</v>
      </c>
      <c r="P75" s="301"/>
      <c r="Q75" s="302"/>
      <c r="R75" s="2072" t="s">
        <v>220</v>
      </c>
      <c r="S75" s="45">
        <v>100</v>
      </c>
      <c r="T75" s="45"/>
      <c r="U75" s="57"/>
      <c r="V75" s="939"/>
      <c r="W75" s="983"/>
      <c r="X75" s="983"/>
      <c r="Y75" s="1055"/>
      <c r="Z75" s="1055"/>
    </row>
    <row r="76" spans="1:27" ht="21" customHeight="1" x14ac:dyDescent="0.2">
      <c r="A76" s="1998"/>
      <c r="B76" s="1999"/>
      <c r="C76" s="2457"/>
      <c r="D76" s="2461"/>
      <c r="E76" s="2344"/>
      <c r="F76" s="2466"/>
      <c r="G76" s="2463"/>
      <c r="H76" s="2492"/>
      <c r="I76" s="19" t="s">
        <v>40</v>
      </c>
      <c r="J76" s="428"/>
      <c r="K76" s="250"/>
      <c r="L76" s="355"/>
      <c r="M76" s="344"/>
      <c r="N76" s="344"/>
      <c r="O76" s="378"/>
      <c r="P76" s="275"/>
      <c r="Q76" s="276"/>
      <c r="R76" s="2071"/>
      <c r="S76" s="55"/>
      <c r="T76" s="176"/>
      <c r="U76" s="177"/>
      <c r="V76" s="940"/>
      <c r="W76" s="983"/>
      <c r="X76" s="983"/>
      <c r="Y76" s="1055"/>
      <c r="Z76" s="1055"/>
    </row>
    <row r="77" spans="1:27" ht="17.25" customHeight="1" thickBot="1" x14ac:dyDescent="0.25">
      <c r="A77" s="981"/>
      <c r="B77" s="982"/>
      <c r="C77" s="102"/>
      <c r="D77" s="101"/>
      <c r="E77" s="2485"/>
      <c r="F77" s="2485"/>
      <c r="G77" s="2486"/>
      <c r="H77" s="2487" t="s">
        <v>91</v>
      </c>
      <c r="I77" s="2489"/>
      <c r="J77" s="380">
        <f>SUM(J68:J74)</f>
        <v>152920</v>
      </c>
      <c r="K77" s="417">
        <f>SUM(K68:K74)</f>
        <v>79658</v>
      </c>
      <c r="L77" s="385">
        <f>SUM(L68:L75)</f>
        <v>1119300</v>
      </c>
      <c r="M77" s="379">
        <f t="shared" ref="M77:N77" si="2">SUM(M68:M74)</f>
        <v>0</v>
      </c>
      <c r="N77" s="379">
        <f t="shared" si="2"/>
        <v>0</v>
      </c>
      <c r="O77" s="379">
        <f>SUM(O68:O75)</f>
        <v>1119300</v>
      </c>
      <c r="P77" s="379">
        <f>SUM(P68:P74)</f>
        <v>660000</v>
      </c>
      <c r="Q77" s="379">
        <f>SUM(Q68:Q74)</f>
        <v>1435700</v>
      </c>
      <c r="R77" s="98"/>
      <c r="S77" s="103"/>
      <c r="T77" s="103"/>
      <c r="U77" s="104"/>
      <c r="V77" s="952"/>
      <c r="W77" s="1055"/>
      <c r="X77" s="1055"/>
      <c r="Y77" s="1055"/>
      <c r="Z77" s="1055"/>
    </row>
    <row r="78" spans="1:27" ht="34.5" customHeight="1" x14ac:dyDescent="0.2">
      <c r="A78" s="962" t="s">
        <v>8</v>
      </c>
      <c r="B78" s="963" t="s">
        <v>8</v>
      </c>
      <c r="C78" s="999" t="s">
        <v>49</v>
      </c>
      <c r="D78" s="148"/>
      <c r="E78" s="228" t="s">
        <v>173</v>
      </c>
      <c r="F78" s="180" t="s">
        <v>136</v>
      </c>
      <c r="G78" s="1042" t="s">
        <v>63</v>
      </c>
      <c r="H78" s="230"/>
      <c r="I78" s="144"/>
      <c r="J78" s="445"/>
      <c r="K78" s="284"/>
      <c r="L78" s="361"/>
      <c r="M78" s="353"/>
      <c r="N78" s="353"/>
      <c r="O78" s="362"/>
      <c r="P78" s="445"/>
      <c r="Q78" s="284"/>
      <c r="R78" s="12"/>
      <c r="S78" s="36"/>
      <c r="T78" s="36"/>
      <c r="U78" s="37"/>
    </row>
    <row r="79" spans="1:27" ht="13.5" customHeight="1" x14ac:dyDescent="0.2">
      <c r="A79" s="918"/>
      <c r="B79" s="919"/>
      <c r="C79" s="995"/>
      <c r="D79" s="996" t="s">
        <v>8</v>
      </c>
      <c r="E79" s="2017" t="s">
        <v>174</v>
      </c>
      <c r="F79" s="566" t="s">
        <v>68</v>
      </c>
      <c r="G79" s="921"/>
      <c r="H79" s="2479" t="s">
        <v>142</v>
      </c>
      <c r="I79" s="206" t="s">
        <v>188</v>
      </c>
      <c r="J79" s="431">
        <v>14481</v>
      </c>
      <c r="K79" s="301">
        <v>0</v>
      </c>
      <c r="L79" s="354">
        <v>34000</v>
      </c>
      <c r="M79" s="330"/>
      <c r="N79" s="330"/>
      <c r="O79" s="331">
        <v>34000</v>
      </c>
      <c r="P79" s="1076">
        <f>400000+34000</f>
        <v>434000</v>
      </c>
      <c r="Q79" s="332">
        <v>890000</v>
      </c>
      <c r="R79" s="2099" t="s">
        <v>146</v>
      </c>
      <c r="S79" s="46"/>
      <c r="T79" s="34">
        <v>1</v>
      </c>
      <c r="U79" s="35"/>
    </row>
    <row r="80" spans="1:27" ht="15" customHeight="1" x14ac:dyDescent="0.2">
      <c r="A80" s="918"/>
      <c r="B80" s="919"/>
      <c r="C80" s="995"/>
      <c r="D80" s="1017"/>
      <c r="E80" s="2018"/>
      <c r="F80" s="2458"/>
      <c r="G80" s="921"/>
      <c r="H80" s="2484"/>
      <c r="I80" s="206" t="s">
        <v>64</v>
      </c>
      <c r="J80" s="427"/>
      <c r="K80" s="264"/>
      <c r="L80" s="321"/>
      <c r="M80" s="322"/>
      <c r="N80" s="322"/>
      <c r="O80" s="325"/>
      <c r="P80" s="405"/>
      <c r="Q80" s="406"/>
      <c r="R80" s="2106"/>
      <c r="S80" s="989"/>
      <c r="T80" s="21"/>
      <c r="U80" s="22"/>
    </row>
    <row r="81" spans="1:21" ht="14.25" customHeight="1" x14ac:dyDescent="0.2">
      <c r="A81" s="918"/>
      <c r="B81" s="919"/>
      <c r="C81" s="995"/>
      <c r="D81" s="997"/>
      <c r="E81" s="2132"/>
      <c r="F81" s="2459"/>
      <c r="G81" s="921"/>
      <c r="H81" s="2627"/>
      <c r="I81" s="19" t="s">
        <v>67</v>
      </c>
      <c r="J81" s="428"/>
      <c r="K81" s="250"/>
      <c r="L81" s="446"/>
      <c r="M81" s="381"/>
      <c r="N81" s="381"/>
      <c r="O81" s="382"/>
      <c r="P81" s="1077">
        <v>70000</v>
      </c>
      <c r="Q81" s="235">
        <v>3000</v>
      </c>
      <c r="R81" s="2133"/>
      <c r="S81" s="30"/>
      <c r="T81" s="30">
        <v>45</v>
      </c>
      <c r="U81" s="31">
        <v>100</v>
      </c>
    </row>
    <row r="82" spans="1:21" ht="18" customHeight="1" x14ac:dyDescent="0.2">
      <c r="A82" s="918"/>
      <c r="B82" s="919"/>
      <c r="C82" s="995"/>
      <c r="D82" s="1001" t="s">
        <v>10</v>
      </c>
      <c r="E82" s="2519" t="s">
        <v>175</v>
      </c>
      <c r="F82" s="567"/>
      <c r="G82" s="921"/>
      <c r="H82" s="2606" t="s">
        <v>142</v>
      </c>
      <c r="I82" s="496" t="s">
        <v>188</v>
      </c>
      <c r="J82" s="431">
        <v>14481</v>
      </c>
      <c r="K82" s="301">
        <v>0</v>
      </c>
      <c r="L82" s="354">
        <v>67000</v>
      </c>
      <c r="M82" s="330"/>
      <c r="N82" s="330"/>
      <c r="O82" s="331">
        <v>67000</v>
      </c>
      <c r="P82" s="1076">
        <v>600000</v>
      </c>
      <c r="Q82" s="332">
        <v>1500000</v>
      </c>
      <c r="R82" s="164" t="s">
        <v>158</v>
      </c>
      <c r="S82" s="296">
        <v>1</v>
      </c>
      <c r="T82" s="296"/>
      <c r="U82" s="297"/>
    </row>
    <row r="83" spans="1:21" ht="36" customHeight="1" x14ac:dyDescent="0.2">
      <c r="A83" s="918"/>
      <c r="B83" s="919"/>
      <c r="C83" s="1036"/>
      <c r="D83" s="933"/>
      <c r="E83" s="2130"/>
      <c r="F83" s="567"/>
      <c r="G83" s="921"/>
      <c r="H83" s="2607"/>
      <c r="I83" s="188" t="s">
        <v>40</v>
      </c>
      <c r="J83" s="432"/>
      <c r="K83" s="439"/>
      <c r="L83" s="357"/>
      <c r="M83" s="313"/>
      <c r="N83" s="313"/>
      <c r="O83" s="314"/>
      <c r="P83" s="404">
        <v>20000</v>
      </c>
      <c r="Q83" s="259">
        <v>30000</v>
      </c>
      <c r="R83" s="502" t="s">
        <v>208</v>
      </c>
      <c r="S83" s="122"/>
      <c r="T83" s="122">
        <v>10</v>
      </c>
      <c r="U83" s="123">
        <v>30</v>
      </c>
    </row>
    <row r="84" spans="1:21" ht="14.25" customHeight="1" x14ac:dyDescent="0.2">
      <c r="A84" s="918"/>
      <c r="B84" s="919"/>
      <c r="C84" s="1036"/>
      <c r="D84" s="933"/>
      <c r="E84" s="2417" t="s">
        <v>300</v>
      </c>
      <c r="F84" s="567"/>
      <c r="G84" s="921"/>
      <c r="H84" s="2484"/>
      <c r="I84" s="298" t="s">
        <v>40</v>
      </c>
      <c r="J84" s="484"/>
      <c r="K84" s="859"/>
      <c r="L84" s="486">
        <v>150000</v>
      </c>
      <c r="M84" s="453"/>
      <c r="N84" s="453"/>
      <c r="O84" s="454">
        <v>150000</v>
      </c>
      <c r="P84" s="1078"/>
      <c r="Q84" s="601"/>
      <c r="R84" s="992" t="s">
        <v>301</v>
      </c>
      <c r="S84" s="455">
        <v>100</v>
      </c>
      <c r="T84" s="455"/>
      <c r="U84" s="300"/>
    </row>
    <row r="85" spans="1:21" ht="15.75" customHeight="1" x14ac:dyDescent="0.2">
      <c r="A85" s="918"/>
      <c r="B85" s="919"/>
      <c r="C85" s="1036"/>
      <c r="D85" s="933"/>
      <c r="E85" s="2299"/>
      <c r="F85" s="567"/>
      <c r="G85" s="921"/>
      <c r="H85" s="1056"/>
      <c r="I85" s="119" t="s">
        <v>188</v>
      </c>
      <c r="J85" s="428">
        <v>136730</v>
      </c>
      <c r="K85" s="250">
        <v>0</v>
      </c>
      <c r="L85" s="355"/>
      <c r="M85" s="319"/>
      <c r="N85" s="319"/>
      <c r="O85" s="320"/>
      <c r="P85" s="1077"/>
      <c r="Q85" s="235"/>
      <c r="R85" s="958"/>
      <c r="S85" s="106"/>
      <c r="T85" s="106"/>
      <c r="U85" s="107"/>
    </row>
    <row r="86" spans="1:21" ht="18.75" customHeight="1" x14ac:dyDescent="0.2">
      <c r="A86" s="918"/>
      <c r="B86" s="919"/>
      <c r="C86" s="1036"/>
      <c r="D86" s="949"/>
      <c r="E86" s="2097" t="s">
        <v>182</v>
      </c>
      <c r="F86" s="1039" t="s">
        <v>68</v>
      </c>
      <c r="G86" s="921"/>
      <c r="H86" s="2501" t="s">
        <v>102</v>
      </c>
      <c r="I86" s="13" t="s">
        <v>65</v>
      </c>
      <c r="J86" s="427">
        <v>9326</v>
      </c>
      <c r="K86" s="264">
        <v>9326</v>
      </c>
      <c r="L86" s="324"/>
      <c r="M86" s="322"/>
      <c r="N86" s="322"/>
      <c r="O86" s="325"/>
      <c r="P86" s="1079"/>
      <c r="Q86" s="240"/>
      <c r="R86" s="2145"/>
      <c r="S86" s="986"/>
      <c r="T86" s="986"/>
      <c r="U86" s="960"/>
    </row>
    <row r="87" spans="1:21" ht="19.5" customHeight="1" x14ac:dyDescent="0.2">
      <c r="A87" s="918"/>
      <c r="B87" s="919"/>
      <c r="C87" s="1036"/>
      <c r="D87" s="933"/>
      <c r="E87" s="2078"/>
      <c r="F87" s="567"/>
      <c r="G87" s="921"/>
      <c r="H87" s="2502"/>
      <c r="I87" s="13" t="s">
        <v>88</v>
      </c>
      <c r="J87" s="427">
        <v>5257</v>
      </c>
      <c r="K87" s="264">
        <v>5257</v>
      </c>
      <c r="L87" s="324"/>
      <c r="M87" s="322"/>
      <c r="N87" s="322"/>
      <c r="O87" s="325"/>
      <c r="P87" s="1079"/>
      <c r="Q87" s="240"/>
      <c r="R87" s="2439"/>
      <c r="S87" s="986"/>
      <c r="T87" s="986"/>
      <c r="U87" s="960"/>
    </row>
    <row r="88" spans="1:21" ht="18" customHeight="1" x14ac:dyDescent="0.2">
      <c r="A88" s="918"/>
      <c r="B88" s="919"/>
      <c r="C88" s="1036"/>
      <c r="D88" s="1016" t="s">
        <v>43</v>
      </c>
      <c r="E88" s="503" t="s">
        <v>168</v>
      </c>
      <c r="F88" s="229"/>
      <c r="G88" s="988" t="s">
        <v>53</v>
      </c>
      <c r="H88" s="233" t="s">
        <v>287</v>
      </c>
      <c r="I88" s="17" t="s">
        <v>40</v>
      </c>
      <c r="J88" s="433">
        <v>2896</v>
      </c>
      <c r="K88" s="290">
        <v>0</v>
      </c>
      <c r="L88" s="446"/>
      <c r="M88" s="381"/>
      <c r="N88" s="381"/>
      <c r="O88" s="382"/>
      <c r="P88" s="1077"/>
      <c r="Q88" s="235"/>
      <c r="R88" s="958"/>
      <c r="S88" s="542"/>
      <c r="T88" s="542"/>
      <c r="U88" s="163"/>
    </row>
    <row r="89" spans="1:21" ht="15" customHeight="1" thickBot="1" x14ac:dyDescent="0.25">
      <c r="A89" s="981"/>
      <c r="B89" s="982"/>
      <c r="C89" s="1044"/>
      <c r="D89" s="162"/>
      <c r="E89" s="2485"/>
      <c r="F89" s="2485"/>
      <c r="G89" s="2485"/>
      <c r="H89" s="2487" t="s">
        <v>91</v>
      </c>
      <c r="I89" s="2488"/>
      <c r="J89" s="386">
        <f>SUM(J79:J88)</f>
        <v>183171</v>
      </c>
      <c r="K89" s="417">
        <f>SUM(K79:K88)</f>
        <v>14583</v>
      </c>
      <c r="L89" s="385">
        <f>SUM(L79:L88)</f>
        <v>251000</v>
      </c>
      <c r="M89" s="385">
        <f t="shared" ref="M89:Q89" si="3">SUM(M79:M88)</f>
        <v>0</v>
      </c>
      <c r="N89" s="385">
        <f t="shared" si="3"/>
        <v>0</v>
      </c>
      <c r="O89" s="385">
        <f>SUM(O79:O88)</f>
        <v>251000</v>
      </c>
      <c r="P89" s="380">
        <f>SUM(P79:P88)</f>
        <v>1124000</v>
      </c>
      <c r="Q89" s="417">
        <f t="shared" si="3"/>
        <v>2423000</v>
      </c>
      <c r="R89" s="98"/>
      <c r="S89" s="99"/>
      <c r="T89" s="99"/>
      <c r="U89" s="100"/>
    </row>
    <row r="90" spans="1:21" ht="30" customHeight="1" x14ac:dyDescent="0.2">
      <c r="A90" s="2469" t="s">
        <v>8</v>
      </c>
      <c r="B90" s="2119" t="s">
        <v>8</v>
      </c>
      <c r="C90" s="2462" t="s">
        <v>51</v>
      </c>
      <c r="D90" s="997"/>
      <c r="E90" s="718" t="s">
        <v>103</v>
      </c>
      <c r="F90" s="860" t="s">
        <v>145</v>
      </c>
      <c r="G90" s="923" t="s">
        <v>63</v>
      </c>
      <c r="H90" s="861"/>
      <c r="I90" s="719"/>
      <c r="J90" s="862"/>
      <c r="K90" s="863"/>
      <c r="L90" s="864"/>
      <c r="M90" s="865"/>
      <c r="N90" s="865"/>
      <c r="O90" s="866"/>
      <c r="P90" s="867"/>
      <c r="Q90" s="868"/>
      <c r="R90" s="477"/>
      <c r="S90" s="30"/>
      <c r="T90" s="30"/>
      <c r="U90" s="31"/>
    </row>
    <row r="91" spans="1:21" ht="21" customHeight="1" x14ac:dyDescent="0.2">
      <c r="A91" s="2470"/>
      <c r="B91" s="2120"/>
      <c r="C91" s="2552"/>
      <c r="D91" s="2503" t="s">
        <v>8</v>
      </c>
      <c r="E91" s="2022" t="s">
        <v>244</v>
      </c>
      <c r="F91" s="2628" t="s">
        <v>68</v>
      </c>
      <c r="G91" s="2013"/>
      <c r="H91" s="2554" t="s">
        <v>102</v>
      </c>
      <c r="I91" s="1014" t="s">
        <v>40</v>
      </c>
      <c r="J91" s="301"/>
      <c r="K91" s="431"/>
      <c r="L91" s="572">
        <v>21400</v>
      </c>
      <c r="M91" s="330"/>
      <c r="N91" s="330"/>
      <c r="O91" s="331">
        <v>21400</v>
      </c>
      <c r="P91" s="509"/>
      <c r="Q91" s="609"/>
      <c r="R91" s="2126" t="s">
        <v>164</v>
      </c>
      <c r="S91" s="619">
        <v>100</v>
      </c>
      <c r="T91" s="990"/>
      <c r="U91" s="166"/>
    </row>
    <row r="92" spans="1:21" ht="21.75" customHeight="1" x14ac:dyDescent="0.2">
      <c r="A92" s="2470"/>
      <c r="B92" s="2120"/>
      <c r="C92" s="2552"/>
      <c r="D92" s="2503"/>
      <c r="E92" s="2016"/>
      <c r="F92" s="2629"/>
      <c r="G92" s="2013"/>
      <c r="H92" s="2491"/>
      <c r="I92" s="951" t="s">
        <v>69</v>
      </c>
      <c r="J92" s="264">
        <v>492875</v>
      </c>
      <c r="K92" s="427">
        <v>492875</v>
      </c>
      <c r="L92" s="324"/>
      <c r="M92" s="322"/>
      <c r="N92" s="322"/>
      <c r="O92" s="325"/>
      <c r="P92" s="670"/>
      <c r="Q92" s="326"/>
      <c r="R92" s="2608"/>
      <c r="S92" s="620"/>
      <c r="T92" s="556"/>
      <c r="U92" s="598"/>
    </row>
    <row r="93" spans="1:21" ht="18" customHeight="1" x14ac:dyDescent="0.2">
      <c r="A93" s="2470"/>
      <c r="B93" s="2120"/>
      <c r="C93" s="2552"/>
      <c r="D93" s="2503"/>
      <c r="E93" s="2344"/>
      <c r="F93" s="1041"/>
      <c r="G93" s="921"/>
      <c r="H93" s="2492"/>
      <c r="I93" s="786" t="s">
        <v>64</v>
      </c>
      <c r="J93" s="250">
        <v>1981696</v>
      </c>
      <c r="K93" s="428">
        <v>1981696</v>
      </c>
      <c r="L93" s="324"/>
      <c r="M93" s="322"/>
      <c r="N93" s="316"/>
      <c r="O93" s="336"/>
      <c r="P93" s="671"/>
      <c r="Q93" s="425"/>
      <c r="R93" s="1057"/>
      <c r="S93" s="620"/>
      <c r="T93" s="556"/>
      <c r="U93" s="598"/>
    </row>
    <row r="94" spans="1:21" ht="18" customHeight="1" x14ac:dyDescent="0.2">
      <c r="A94" s="2470"/>
      <c r="B94" s="2120"/>
      <c r="C94" s="2552"/>
      <c r="D94" s="2504" t="s">
        <v>10</v>
      </c>
      <c r="E94" s="2022" t="s">
        <v>237</v>
      </c>
      <c r="F94" s="1019"/>
      <c r="G94" s="2013"/>
      <c r="H94" s="2479" t="s">
        <v>142</v>
      </c>
      <c r="I94" s="2496" t="s">
        <v>69</v>
      </c>
      <c r="J94" s="301"/>
      <c r="K94" s="431"/>
      <c r="L94" s="463">
        <v>758800</v>
      </c>
      <c r="M94" s="464">
        <v>758800</v>
      </c>
      <c r="N94" s="354"/>
      <c r="O94" s="331"/>
      <c r="P94" s="672"/>
      <c r="Q94" s="302"/>
      <c r="R94" s="726" t="s">
        <v>239</v>
      </c>
      <c r="S94" s="130">
        <v>2</v>
      </c>
      <c r="T94" s="990"/>
      <c r="U94" s="166"/>
    </row>
    <row r="95" spans="1:21" ht="22.5" customHeight="1" x14ac:dyDescent="0.2">
      <c r="A95" s="2470"/>
      <c r="B95" s="2120"/>
      <c r="C95" s="2552"/>
      <c r="D95" s="2505"/>
      <c r="E95" s="2344"/>
      <c r="F95" s="1019"/>
      <c r="G95" s="2013"/>
      <c r="H95" s="2482"/>
      <c r="I95" s="2129"/>
      <c r="J95" s="250"/>
      <c r="K95" s="428"/>
      <c r="L95" s="318"/>
      <c r="M95" s="316"/>
      <c r="N95" s="315"/>
      <c r="O95" s="336"/>
      <c r="P95" s="671"/>
      <c r="Q95" s="408"/>
      <c r="R95" s="165" t="s">
        <v>238</v>
      </c>
      <c r="S95" s="106">
        <v>2</v>
      </c>
      <c r="T95" s="542"/>
      <c r="U95" s="163"/>
    </row>
    <row r="96" spans="1:21" ht="16.5" customHeight="1" x14ac:dyDescent="0.2">
      <c r="A96" s="2470"/>
      <c r="B96" s="2120"/>
      <c r="C96" s="2552"/>
      <c r="D96" s="1018" t="s">
        <v>43</v>
      </c>
      <c r="E96" s="2022" t="s">
        <v>251</v>
      </c>
      <c r="F96" s="938"/>
      <c r="G96" s="921"/>
      <c r="H96" s="582"/>
      <c r="I96" s="1028" t="s">
        <v>69</v>
      </c>
      <c r="J96" s="264"/>
      <c r="K96" s="427"/>
      <c r="L96" s="324">
        <v>60000</v>
      </c>
      <c r="M96" s="322"/>
      <c r="N96" s="321"/>
      <c r="O96" s="325">
        <v>60000</v>
      </c>
      <c r="P96" s="670">
        <v>624000</v>
      </c>
      <c r="Q96" s="326">
        <v>1316000</v>
      </c>
      <c r="R96" s="726" t="s">
        <v>66</v>
      </c>
      <c r="S96" s="130"/>
      <c r="T96" s="990">
        <v>1</v>
      </c>
      <c r="U96" s="166"/>
    </row>
    <row r="97" spans="1:21" ht="16.5" customHeight="1" x14ac:dyDescent="0.2">
      <c r="A97" s="2470"/>
      <c r="B97" s="2120"/>
      <c r="C97" s="2552"/>
      <c r="D97" s="1018"/>
      <c r="E97" s="2299"/>
      <c r="F97" s="938"/>
      <c r="G97" s="921"/>
      <c r="H97" s="582"/>
      <c r="I97" s="1028"/>
      <c r="J97" s="264"/>
      <c r="K97" s="427"/>
      <c r="L97" s="324"/>
      <c r="M97" s="322"/>
      <c r="N97" s="321"/>
      <c r="O97" s="325"/>
      <c r="P97" s="670"/>
      <c r="Q97" s="326"/>
      <c r="R97" s="725" t="s">
        <v>250</v>
      </c>
      <c r="S97" s="106"/>
      <c r="T97" s="542">
        <v>30</v>
      </c>
      <c r="U97" s="163">
        <v>100</v>
      </c>
    </row>
    <row r="98" spans="1:21" ht="42" customHeight="1" x14ac:dyDescent="0.2">
      <c r="A98" s="2470"/>
      <c r="B98" s="2120"/>
      <c r="C98" s="2552"/>
      <c r="D98" s="1016" t="s">
        <v>48</v>
      </c>
      <c r="E98" s="548" t="s">
        <v>120</v>
      </c>
      <c r="F98" s="488" t="s">
        <v>68</v>
      </c>
      <c r="G98" s="957"/>
      <c r="H98" s="1058"/>
      <c r="I98" s="17" t="s">
        <v>69</v>
      </c>
      <c r="J98" s="290"/>
      <c r="K98" s="433"/>
      <c r="L98" s="359"/>
      <c r="M98" s="409"/>
      <c r="N98" s="409"/>
      <c r="O98" s="412"/>
      <c r="P98" s="673"/>
      <c r="Q98" s="621">
        <v>300000</v>
      </c>
      <c r="R98" s="950" t="s">
        <v>264</v>
      </c>
      <c r="S98" s="132"/>
      <c r="T98" s="729"/>
      <c r="U98" s="175" t="s">
        <v>165</v>
      </c>
    </row>
    <row r="99" spans="1:21" ht="21" customHeight="1" x14ac:dyDescent="0.2">
      <c r="A99" s="2470"/>
      <c r="B99" s="2120"/>
      <c r="C99" s="2552"/>
      <c r="D99" s="2506" t="s">
        <v>49</v>
      </c>
      <c r="E99" s="2616" t="s">
        <v>176</v>
      </c>
      <c r="F99" s="617" t="s">
        <v>68</v>
      </c>
      <c r="G99" s="2013"/>
      <c r="H99" s="2604" t="s">
        <v>102</v>
      </c>
      <c r="I99" s="1014" t="s">
        <v>67</v>
      </c>
      <c r="J99" s="301">
        <v>120829</v>
      </c>
      <c r="K99" s="431">
        <v>120829</v>
      </c>
      <c r="L99" s="324"/>
      <c r="M99" s="322"/>
      <c r="N99" s="498"/>
      <c r="O99" s="331"/>
      <c r="P99" s="509"/>
      <c r="Q99" s="609"/>
      <c r="R99" s="2070" t="s">
        <v>265</v>
      </c>
      <c r="S99" s="2617" t="s">
        <v>133</v>
      </c>
      <c r="T99" s="785"/>
      <c r="U99" s="74"/>
    </row>
    <row r="100" spans="1:21" ht="17.25" customHeight="1" x14ac:dyDescent="0.2">
      <c r="A100" s="2470"/>
      <c r="B100" s="2120"/>
      <c r="C100" s="2552"/>
      <c r="D100" s="2460"/>
      <c r="E100" s="2097"/>
      <c r="F100" s="618"/>
      <c r="G100" s="2013"/>
      <c r="H100" s="2605"/>
      <c r="I100" s="951" t="s">
        <v>65</v>
      </c>
      <c r="J100" s="264">
        <v>191149</v>
      </c>
      <c r="K100" s="427">
        <v>191149</v>
      </c>
      <c r="L100" s="324">
        <v>29000</v>
      </c>
      <c r="M100" s="322"/>
      <c r="N100" s="323"/>
      <c r="O100" s="325">
        <v>29000</v>
      </c>
      <c r="P100" s="506"/>
      <c r="Q100" s="326"/>
      <c r="R100" s="2309"/>
      <c r="S100" s="2618"/>
      <c r="T100" s="2110"/>
      <c r="U100" s="2112"/>
    </row>
    <row r="101" spans="1:21" ht="17.25" customHeight="1" x14ac:dyDescent="0.2">
      <c r="A101" s="2471"/>
      <c r="B101" s="2121"/>
      <c r="C101" s="2553"/>
      <c r="D101" s="1017"/>
      <c r="E101" s="937"/>
      <c r="F101" s="618"/>
      <c r="G101" s="921"/>
      <c r="H101" s="1002"/>
      <c r="I101" s="951" t="s">
        <v>40</v>
      </c>
      <c r="J101" s="264"/>
      <c r="K101" s="427"/>
      <c r="L101" s="324">
        <v>113000</v>
      </c>
      <c r="M101" s="322"/>
      <c r="N101" s="323"/>
      <c r="O101" s="325">
        <v>113000</v>
      </c>
      <c r="P101" s="506"/>
      <c r="Q101" s="326"/>
      <c r="R101" s="2309"/>
      <c r="S101" s="2618"/>
      <c r="T101" s="2110"/>
      <c r="U101" s="2112"/>
    </row>
    <row r="102" spans="1:21" ht="18.75" customHeight="1" x14ac:dyDescent="0.2">
      <c r="A102" s="2471"/>
      <c r="B102" s="2121"/>
      <c r="C102" s="2553"/>
      <c r="D102" s="997"/>
      <c r="E102" s="934"/>
      <c r="F102" s="616"/>
      <c r="G102" s="957"/>
      <c r="H102" s="628"/>
      <c r="I102" s="786" t="s">
        <v>69</v>
      </c>
      <c r="J102" s="250">
        <v>23199</v>
      </c>
      <c r="K102" s="428">
        <v>23199</v>
      </c>
      <c r="L102" s="318"/>
      <c r="M102" s="316"/>
      <c r="N102" s="317"/>
      <c r="O102" s="336"/>
      <c r="P102" s="408"/>
      <c r="Q102" s="425"/>
      <c r="R102" s="2497"/>
      <c r="S102" s="2610"/>
      <c r="T102" s="2610"/>
      <c r="U102" s="2611"/>
    </row>
    <row r="103" spans="1:21" ht="15" customHeight="1" thickBot="1" x14ac:dyDescent="0.25">
      <c r="A103" s="981"/>
      <c r="B103" s="982"/>
      <c r="C103" s="1044"/>
      <c r="D103" s="162"/>
      <c r="E103" s="2485"/>
      <c r="F103" s="2485"/>
      <c r="G103" s="2485"/>
      <c r="H103" s="2487" t="s">
        <v>91</v>
      </c>
      <c r="I103" s="2488"/>
      <c r="J103" s="386">
        <f t="shared" ref="J103:O103" si="4">SUM(J91:J102)</f>
        <v>2809748</v>
      </c>
      <c r="K103" s="380">
        <f t="shared" si="4"/>
        <v>2809748</v>
      </c>
      <c r="L103" s="379">
        <f>SUM(L91:L102)</f>
        <v>982200</v>
      </c>
      <c r="M103" s="537">
        <f t="shared" si="4"/>
        <v>758800</v>
      </c>
      <c r="N103" s="537">
        <f t="shared" si="4"/>
        <v>0</v>
      </c>
      <c r="O103" s="869">
        <f t="shared" si="4"/>
        <v>223400</v>
      </c>
      <c r="P103" s="579">
        <f>SUM(P91:P102)</f>
        <v>624000</v>
      </c>
      <c r="Q103" s="380">
        <f>SUM(Q91:Q102)</f>
        <v>1616000</v>
      </c>
      <c r="R103" s="98"/>
      <c r="S103" s="99"/>
      <c r="T103" s="99"/>
      <c r="U103" s="100"/>
    </row>
    <row r="104" spans="1:21" ht="27" customHeight="1" x14ac:dyDescent="0.2">
      <c r="A104" s="918" t="s">
        <v>8</v>
      </c>
      <c r="B104" s="919" t="s">
        <v>8</v>
      </c>
      <c r="C104" s="112" t="s">
        <v>52</v>
      </c>
      <c r="D104" s="1013"/>
      <c r="E104" s="629" t="s">
        <v>242</v>
      </c>
      <c r="F104" s="532"/>
      <c r="G104" s="969" t="s">
        <v>63</v>
      </c>
      <c r="H104" s="2483" t="s">
        <v>101</v>
      </c>
      <c r="I104" s="79"/>
      <c r="J104" s="292"/>
      <c r="K104" s="451"/>
      <c r="L104" s="450"/>
      <c r="M104" s="319"/>
      <c r="N104" s="319"/>
      <c r="O104" s="450"/>
      <c r="P104" s="286"/>
      <c r="Q104" s="268"/>
      <c r="R104" s="124"/>
      <c r="S104" s="126"/>
      <c r="T104" s="126"/>
      <c r="U104" s="125"/>
    </row>
    <row r="105" spans="1:21" ht="23.25" customHeight="1" x14ac:dyDescent="0.2">
      <c r="A105" s="918"/>
      <c r="B105" s="919"/>
      <c r="C105" s="480"/>
      <c r="D105" s="1013" t="s">
        <v>8</v>
      </c>
      <c r="E105" s="584" t="s">
        <v>131</v>
      </c>
      <c r="F105" s="984"/>
      <c r="G105" s="921"/>
      <c r="H105" s="2484"/>
      <c r="I105" s="79" t="s">
        <v>188</v>
      </c>
      <c r="J105" s="292">
        <v>2896</v>
      </c>
      <c r="K105" s="290">
        <v>1000</v>
      </c>
      <c r="L105" s="596">
        <v>3000</v>
      </c>
      <c r="M105" s="363"/>
      <c r="N105" s="363"/>
      <c r="O105" s="596">
        <v>3000</v>
      </c>
      <c r="P105" s="241">
        <v>3000</v>
      </c>
      <c r="Q105" s="268">
        <v>3000</v>
      </c>
      <c r="R105" s="2072" t="s">
        <v>266</v>
      </c>
      <c r="S105" s="73">
        <v>100</v>
      </c>
      <c r="T105" s="73">
        <v>100</v>
      </c>
      <c r="U105" s="74">
        <v>100</v>
      </c>
    </row>
    <row r="106" spans="1:21" s="33" customFormat="1" ht="53.25" customHeight="1" x14ac:dyDescent="0.2">
      <c r="A106" s="918"/>
      <c r="B106" s="919"/>
      <c r="C106" s="995"/>
      <c r="D106" s="84" t="s">
        <v>10</v>
      </c>
      <c r="E106" s="458" t="s">
        <v>113</v>
      </c>
      <c r="F106" s="593"/>
      <c r="G106" s="1005"/>
      <c r="H106" s="591"/>
      <c r="I106" s="590" t="s">
        <v>40</v>
      </c>
      <c r="J106" s="595">
        <v>2896</v>
      </c>
      <c r="K106" s="586">
        <v>2896</v>
      </c>
      <c r="L106" s="585">
        <v>6000</v>
      </c>
      <c r="M106" s="587"/>
      <c r="N106" s="587"/>
      <c r="O106" s="597">
        <v>6000</v>
      </c>
      <c r="P106" s="588">
        <v>3000</v>
      </c>
      <c r="Q106" s="589">
        <v>3000</v>
      </c>
      <c r="R106" s="2071"/>
      <c r="S106" s="993"/>
      <c r="T106" s="993"/>
      <c r="U106" s="994"/>
    </row>
    <row r="107" spans="1:21" ht="15" customHeight="1" thickBot="1" x14ac:dyDescent="0.25">
      <c r="A107" s="918"/>
      <c r="B107" s="919"/>
      <c r="C107" s="1036"/>
      <c r="D107" s="870"/>
      <c r="E107" s="871"/>
      <c r="F107" s="872"/>
      <c r="G107" s="870"/>
      <c r="H107" s="2487" t="s">
        <v>91</v>
      </c>
      <c r="I107" s="2488"/>
      <c r="J107" s="386">
        <f>SUM(J105:J106)</f>
        <v>5792</v>
      </c>
      <c r="K107" s="417">
        <f t="shared" ref="K107:Q107" si="5">SUM(K105:K106)</f>
        <v>3896</v>
      </c>
      <c r="L107" s="386">
        <f>SUM(L105:L106)</f>
        <v>9000</v>
      </c>
      <c r="M107" s="537">
        <f t="shared" si="5"/>
        <v>0</v>
      </c>
      <c r="N107" s="537">
        <f t="shared" si="5"/>
        <v>0</v>
      </c>
      <c r="O107" s="386">
        <f>SUM(O105:O106)</f>
        <v>9000</v>
      </c>
      <c r="P107" s="417">
        <f>SUM(P105:P106)</f>
        <v>6000</v>
      </c>
      <c r="Q107" s="386">
        <f t="shared" si="5"/>
        <v>6000</v>
      </c>
      <c r="R107" s="1059"/>
      <c r="S107" s="96"/>
      <c r="T107" s="96"/>
      <c r="U107" s="97"/>
    </row>
    <row r="108" spans="1:21" ht="14.25" customHeight="1" thickBot="1" x14ac:dyDescent="0.25">
      <c r="A108" s="92" t="s">
        <v>8</v>
      </c>
      <c r="B108" s="9" t="s">
        <v>8</v>
      </c>
      <c r="C108" s="2147" t="s">
        <v>11</v>
      </c>
      <c r="D108" s="2147"/>
      <c r="E108" s="2147"/>
      <c r="F108" s="2147"/>
      <c r="G108" s="2147"/>
      <c r="H108" s="2147"/>
      <c r="I108" s="2148"/>
      <c r="J108" s="401">
        <f t="shared" ref="J108:Q108" si="6">J103+J66+J51+J36+J89+J77+J107</f>
        <v>4206832</v>
      </c>
      <c r="K108" s="246">
        <f t="shared" si="6"/>
        <v>3930672</v>
      </c>
      <c r="L108" s="401">
        <f t="shared" si="6"/>
        <v>5412600</v>
      </c>
      <c r="M108" s="401">
        <f t="shared" si="6"/>
        <v>758800</v>
      </c>
      <c r="N108" s="401">
        <f t="shared" si="6"/>
        <v>0</v>
      </c>
      <c r="O108" s="401">
        <f t="shared" si="6"/>
        <v>4653750</v>
      </c>
      <c r="P108" s="246">
        <f>P103+P66+P51+P36+P89+P77+P107</f>
        <v>7015400</v>
      </c>
      <c r="Q108" s="401">
        <f t="shared" si="6"/>
        <v>14686700</v>
      </c>
      <c r="R108" s="980"/>
      <c r="S108" s="27"/>
      <c r="T108" s="27"/>
      <c r="U108" s="28"/>
    </row>
    <row r="109" spans="1:21" ht="14.25" customHeight="1" thickBot="1" x14ac:dyDescent="0.25">
      <c r="A109" s="92" t="s">
        <v>8</v>
      </c>
      <c r="B109" s="9" t="s">
        <v>10</v>
      </c>
      <c r="C109" s="2149" t="s">
        <v>47</v>
      </c>
      <c r="D109" s="2149"/>
      <c r="E109" s="2149"/>
      <c r="F109" s="2149"/>
      <c r="G109" s="2149"/>
      <c r="H109" s="2149"/>
      <c r="I109" s="2149"/>
      <c r="J109" s="2149"/>
      <c r="K109" s="2149"/>
      <c r="L109" s="2150"/>
      <c r="M109" s="2150"/>
      <c r="N109" s="2150"/>
      <c r="O109" s="2150"/>
      <c r="P109" s="2149"/>
      <c r="Q109" s="2149"/>
      <c r="R109" s="2149"/>
      <c r="S109" s="2149"/>
      <c r="T109" s="2149"/>
      <c r="U109" s="2151"/>
    </row>
    <row r="110" spans="1:21" ht="29.25" customHeight="1" x14ac:dyDescent="0.2">
      <c r="A110" s="962" t="s">
        <v>8</v>
      </c>
      <c r="B110" s="963" t="s">
        <v>10</v>
      </c>
      <c r="C110" s="999" t="s">
        <v>8</v>
      </c>
      <c r="D110" s="143"/>
      <c r="E110" s="138" t="s">
        <v>80</v>
      </c>
      <c r="F110" s="873" t="s">
        <v>280</v>
      </c>
      <c r="G110" s="987" t="s">
        <v>53</v>
      </c>
      <c r="H110" s="1010" t="s">
        <v>104</v>
      </c>
      <c r="I110" s="879"/>
      <c r="J110" s="880"/>
      <c r="K110" s="879"/>
      <c r="L110" s="912"/>
      <c r="M110" s="1060"/>
      <c r="N110" s="1060"/>
      <c r="O110" s="1061"/>
      <c r="P110" s="912"/>
      <c r="Q110" s="1062"/>
      <c r="R110" s="881"/>
      <c r="S110" s="882"/>
      <c r="T110" s="883"/>
      <c r="U110" s="884"/>
    </row>
    <row r="111" spans="1:21" ht="14.25" customHeight="1" x14ac:dyDescent="0.2">
      <c r="A111" s="918"/>
      <c r="B111" s="919"/>
      <c r="C111" s="995"/>
      <c r="D111" s="1001" t="s">
        <v>8</v>
      </c>
      <c r="E111" s="966" t="s">
        <v>74</v>
      </c>
      <c r="F111" s="743"/>
      <c r="G111" s="921"/>
      <c r="H111" s="2482"/>
      <c r="I111" s="190"/>
      <c r="J111" s="874"/>
      <c r="K111" s="874"/>
      <c r="L111" s="875"/>
      <c r="M111" s="876"/>
      <c r="N111" s="876"/>
      <c r="O111" s="877"/>
      <c r="P111" s="396"/>
      <c r="Q111" s="878"/>
      <c r="R111" s="885"/>
      <c r="S111" s="886"/>
      <c r="T111" s="887"/>
      <c r="U111" s="888"/>
    </row>
    <row r="112" spans="1:21" ht="15.75" customHeight="1" x14ac:dyDescent="0.2">
      <c r="A112" s="918"/>
      <c r="B112" s="919"/>
      <c r="C112" s="995"/>
      <c r="D112" s="1001"/>
      <c r="E112" s="2555" t="s">
        <v>116</v>
      </c>
      <c r="F112" s="932"/>
      <c r="G112" s="921"/>
      <c r="H112" s="2482"/>
      <c r="I112" s="630" t="s">
        <v>40</v>
      </c>
      <c r="J112" s="324">
        <v>4805636</v>
      </c>
      <c r="K112" s="427">
        <f>4805636-53266</f>
        <v>4752370</v>
      </c>
      <c r="L112" s="324">
        <v>4852300</v>
      </c>
      <c r="M112" s="322">
        <v>4852300</v>
      </c>
      <c r="N112" s="322"/>
      <c r="O112" s="325"/>
      <c r="P112" s="406">
        <v>5162400</v>
      </c>
      <c r="Q112" s="244">
        <v>5263400</v>
      </c>
      <c r="R112" s="2140" t="s">
        <v>60</v>
      </c>
      <c r="S112" s="942">
        <v>5</v>
      </c>
      <c r="T112" s="942">
        <v>5</v>
      </c>
      <c r="U112" s="943">
        <v>5</v>
      </c>
    </row>
    <row r="113" spans="1:23" ht="14.25" customHeight="1" x14ac:dyDescent="0.2">
      <c r="A113" s="918"/>
      <c r="B113" s="919"/>
      <c r="C113" s="995"/>
      <c r="D113" s="1001"/>
      <c r="E113" s="2555"/>
      <c r="F113" s="932"/>
      <c r="G113" s="921"/>
      <c r="H113" s="2482"/>
      <c r="I113" s="630" t="s">
        <v>88</v>
      </c>
      <c r="J113" s="324"/>
      <c r="K113" s="427"/>
      <c r="L113" s="324"/>
      <c r="M113" s="322"/>
      <c r="N113" s="322"/>
      <c r="O113" s="325"/>
      <c r="P113" s="406"/>
      <c r="Q113" s="269"/>
      <c r="R113" s="2027"/>
      <c r="S113" s="942"/>
      <c r="T113" s="942"/>
      <c r="U113" s="943"/>
    </row>
    <row r="114" spans="1:23" ht="26.25" customHeight="1" x14ac:dyDescent="0.2">
      <c r="A114" s="918"/>
      <c r="B114" s="919"/>
      <c r="C114" s="995"/>
      <c r="D114" s="1001"/>
      <c r="E114" s="195" t="s">
        <v>117</v>
      </c>
      <c r="F114" s="971"/>
      <c r="G114" s="921"/>
      <c r="H114" s="2482"/>
      <c r="I114" s="191" t="s">
        <v>40</v>
      </c>
      <c r="J114" s="889">
        <v>13033</v>
      </c>
      <c r="K114" s="426">
        <f>45/3.4528*1000</f>
        <v>13033</v>
      </c>
      <c r="L114" s="889">
        <v>13000</v>
      </c>
      <c r="M114" s="333">
        <v>13000</v>
      </c>
      <c r="N114" s="349"/>
      <c r="O114" s="367"/>
      <c r="P114" s="261">
        <v>35600</v>
      </c>
      <c r="Q114" s="279">
        <v>36600</v>
      </c>
      <c r="R114" s="157" t="s">
        <v>160</v>
      </c>
      <c r="S114" s="139">
        <v>3</v>
      </c>
      <c r="T114" s="139">
        <v>3</v>
      </c>
      <c r="U114" s="140">
        <v>3</v>
      </c>
    </row>
    <row r="115" spans="1:23" ht="27.75" customHeight="1" x14ac:dyDescent="0.2">
      <c r="A115" s="944"/>
      <c r="B115" s="946"/>
      <c r="C115" s="998"/>
      <c r="D115" s="1013"/>
      <c r="E115" s="931" t="s">
        <v>118</v>
      </c>
      <c r="F115" s="956"/>
      <c r="G115" s="957"/>
      <c r="H115" s="907"/>
      <c r="I115" s="574" t="s">
        <v>40</v>
      </c>
      <c r="J115" s="318">
        <v>144810</v>
      </c>
      <c r="K115" s="428">
        <f>144810-2823-3-37456</f>
        <v>104528</v>
      </c>
      <c r="L115" s="318">
        <v>110000</v>
      </c>
      <c r="M115" s="316">
        <v>110000</v>
      </c>
      <c r="N115" s="316"/>
      <c r="O115" s="336"/>
      <c r="P115" s="337">
        <v>110000</v>
      </c>
      <c r="Q115" s="337">
        <v>110000</v>
      </c>
      <c r="R115" s="958" t="s">
        <v>159</v>
      </c>
      <c r="S115" s="106">
        <v>6</v>
      </c>
      <c r="T115" s="106">
        <v>6</v>
      </c>
      <c r="U115" s="107">
        <v>6</v>
      </c>
    </row>
    <row r="116" spans="1:23" ht="18" customHeight="1" x14ac:dyDescent="0.2">
      <c r="A116" s="1998"/>
      <c r="B116" s="1999"/>
      <c r="C116" s="2457"/>
      <c r="D116" s="2472" t="s">
        <v>10</v>
      </c>
      <c r="E116" s="2144" t="s">
        <v>61</v>
      </c>
      <c r="F116" s="2114"/>
      <c r="G116" s="2013"/>
      <c r="H116" s="2482"/>
      <c r="I116" s="630" t="s">
        <v>40</v>
      </c>
      <c r="J116" s="324">
        <v>54738</v>
      </c>
      <c r="K116" s="427">
        <f>189/3.4528*1000</f>
        <v>54738</v>
      </c>
      <c r="L116" s="324">
        <v>54800</v>
      </c>
      <c r="M116" s="322">
        <v>54800</v>
      </c>
      <c r="N116" s="322"/>
      <c r="O116" s="325"/>
      <c r="P116" s="406">
        <v>54800</v>
      </c>
      <c r="Q116" s="510">
        <v>54800</v>
      </c>
      <c r="R116" s="2140" t="s">
        <v>76</v>
      </c>
      <c r="S116" s="2609">
        <v>6.8</v>
      </c>
      <c r="T116" s="2596">
        <v>7</v>
      </c>
      <c r="U116" s="2621">
        <v>7</v>
      </c>
      <c r="W116" s="395"/>
    </row>
    <row r="117" spans="1:23" ht="17.25" customHeight="1" x14ac:dyDescent="0.2">
      <c r="A117" s="1998"/>
      <c r="B117" s="1999"/>
      <c r="C117" s="2457"/>
      <c r="D117" s="2472"/>
      <c r="E117" s="2144"/>
      <c r="F117" s="2114"/>
      <c r="G117" s="2013"/>
      <c r="H117" s="2482"/>
      <c r="I117" s="574" t="s">
        <v>88</v>
      </c>
      <c r="J117" s="318"/>
      <c r="K117" s="428"/>
      <c r="L117" s="318"/>
      <c r="M117" s="316"/>
      <c r="N117" s="316"/>
      <c r="O117" s="336"/>
      <c r="P117" s="337"/>
      <c r="Q117" s="600"/>
      <c r="R117" s="2140"/>
      <c r="S117" s="2609"/>
      <c r="T117" s="2596"/>
      <c r="U117" s="2621"/>
    </row>
    <row r="118" spans="1:23" ht="30" customHeight="1" x14ac:dyDescent="0.2">
      <c r="A118" s="1998"/>
      <c r="B118" s="1999"/>
      <c r="C118" s="2457"/>
      <c r="D118" s="2494" t="s">
        <v>43</v>
      </c>
      <c r="E118" s="2143" t="s">
        <v>177</v>
      </c>
      <c r="F118" s="2113"/>
      <c r="G118" s="2013"/>
      <c r="H118" s="2482"/>
      <c r="I118" s="630" t="s">
        <v>88</v>
      </c>
      <c r="J118" s="324">
        <v>3717</v>
      </c>
      <c r="K118" s="427">
        <v>3717</v>
      </c>
      <c r="L118" s="324">
        <v>36700</v>
      </c>
      <c r="M118" s="322">
        <v>36700</v>
      </c>
      <c r="N118" s="322"/>
      <c r="O118" s="325"/>
      <c r="P118" s="406">
        <v>36700</v>
      </c>
      <c r="Q118" s="510">
        <v>36700</v>
      </c>
      <c r="R118" s="2070" t="s">
        <v>62</v>
      </c>
      <c r="S118" s="130">
        <v>3</v>
      </c>
      <c r="T118" s="130">
        <v>3</v>
      </c>
      <c r="U118" s="131">
        <v>3</v>
      </c>
    </row>
    <row r="119" spans="1:23" ht="22.5" customHeight="1" x14ac:dyDescent="0.2">
      <c r="A119" s="1998"/>
      <c r="B119" s="1999"/>
      <c r="C119" s="2457"/>
      <c r="D119" s="2495"/>
      <c r="E119" s="2475"/>
      <c r="F119" s="2522"/>
      <c r="G119" s="2013"/>
      <c r="H119" s="2482"/>
      <c r="I119" s="574" t="s">
        <v>40</v>
      </c>
      <c r="J119" s="318"/>
      <c r="K119" s="428">
        <f>2823+3</f>
        <v>2826</v>
      </c>
      <c r="L119" s="318"/>
      <c r="M119" s="316"/>
      <c r="N119" s="316"/>
      <c r="O119" s="336"/>
      <c r="P119" s="337"/>
      <c r="Q119" s="416"/>
      <c r="R119" s="2592"/>
      <c r="S119" s="106"/>
      <c r="T119" s="106"/>
      <c r="U119" s="107"/>
      <c r="V119" s="51"/>
    </row>
    <row r="120" spans="1:23" ht="19.5" customHeight="1" x14ac:dyDescent="0.2">
      <c r="A120" s="1998"/>
      <c r="B120" s="1999"/>
      <c r="C120" s="2457"/>
      <c r="D120" s="2494" t="s">
        <v>48</v>
      </c>
      <c r="E120" s="2143" t="s">
        <v>114</v>
      </c>
      <c r="F120" s="2113"/>
      <c r="G120" s="2013"/>
      <c r="H120" s="2491"/>
      <c r="I120" s="573" t="s">
        <v>99</v>
      </c>
      <c r="J120" s="572">
        <v>144810</v>
      </c>
      <c r="K120" s="431">
        <f>144810+155549</f>
        <v>300359</v>
      </c>
      <c r="L120" s="572">
        <v>30100</v>
      </c>
      <c r="M120" s="330">
        <v>30100</v>
      </c>
      <c r="N120" s="330"/>
      <c r="O120" s="331"/>
      <c r="P120" s="332">
        <v>30100</v>
      </c>
      <c r="Q120" s="509">
        <v>30100</v>
      </c>
      <c r="R120" s="2099" t="s">
        <v>96</v>
      </c>
      <c r="S120" s="73">
        <v>36</v>
      </c>
      <c r="T120" s="73">
        <v>36</v>
      </c>
      <c r="U120" s="74">
        <v>36</v>
      </c>
    </row>
    <row r="121" spans="1:23" ht="21" customHeight="1" x14ac:dyDescent="0.2">
      <c r="A121" s="1998"/>
      <c r="B121" s="1999"/>
      <c r="C121" s="2457"/>
      <c r="D121" s="2495"/>
      <c r="E121" s="2475"/>
      <c r="F121" s="2522"/>
      <c r="G121" s="2013"/>
      <c r="H121" s="2491"/>
      <c r="I121" s="574" t="s">
        <v>40</v>
      </c>
      <c r="J121" s="318"/>
      <c r="K121" s="428">
        <f>37456+56162</f>
        <v>93618</v>
      </c>
      <c r="L121" s="318">
        <f t="shared" ref="L121" si="7">M121+O121</f>
        <v>0</v>
      </c>
      <c r="M121" s="316"/>
      <c r="N121" s="316"/>
      <c r="O121" s="336"/>
      <c r="P121" s="337"/>
      <c r="Q121" s="416"/>
      <c r="R121" s="2100"/>
      <c r="S121" s="89"/>
      <c r="T121" s="89"/>
      <c r="U121" s="90"/>
    </row>
    <row r="122" spans="1:23" ht="14.25" customHeight="1" thickBot="1" x14ac:dyDescent="0.25">
      <c r="A122" s="981"/>
      <c r="B122" s="982"/>
      <c r="C122" s="1044"/>
      <c r="D122" s="108"/>
      <c r="E122" s="2476"/>
      <c r="F122" s="2476"/>
      <c r="G122" s="2476"/>
      <c r="H122" s="2477" t="s">
        <v>91</v>
      </c>
      <c r="I122" s="2478"/>
      <c r="J122" s="351">
        <f t="shared" ref="J122:O122" si="8">SUM(J112:J121)</f>
        <v>5166744</v>
      </c>
      <c r="K122" s="352">
        <f t="shared" si="8"/>
        <v>5325189</v>
      </c>
      <c r="L122" s="351">
        <f t="shared" si="8"/>
        <v>5096900</v>
      </c>
      <c r="M122" s="475">
        <f t="shared" si="8"/>
        <v>5096900</v>
      </c>
      <c r="N122" s="475">
        <f t="shared" si="8"/>
        <v>0</v>
      </c>
      <c r="O122" s="568">
        <f t="shared" si="8"/>
        <v>0</v>
      </c>
      <c r="P122" s="400">
        <f>SUM(P112:P121)</f>
        <v>5429600</v>
      </c>
      <c r="Q122" s="389">
        <f>SUM(Q112:Q121)</f>
        <v>5531600</v>
      </c>
      <c r="R122" s="98"/>
      <c r="S122" s="103"/>
      <c r="T122" s="103"/>
      <c r="U122" s="104"/>
    </row>
    <row r="123" spans="1:23" ht="16.5" customHeight="1" x14ac:dyDescent="0.2">
      <c r="A123" s="962" t="s">
        <v>8</v>
      </c>
      <c r="B123" s="963" t="s">
        <v>10</v>
      </c>
      <c r="C123" s="974" t="s">
        <v>10</v>
      </c>
      <c r="D123" s="2187"/>
      <c r="E123" s="2499" t="s">
        <v>307</v>
      </c>
      <c r="F123" s="2177" t="s">
        <v>68</v>
      </c>
      <c r="G123" s="2178" t="s">
        <v>63</v>
      </c>
      <c r="H123" s="2474" t="s">
        <v>261</v>
      </c>
      <c r="I123" s="13" t="s">
        <v>188</v>
      </c>
      <c r="J123" s="326">
        <v>72405</v>
      </c>
      <c r="K123" s="264">
        <v>8088</v>
      </c>
      <c r="L123" s="321">
        <v>150000</v>
      </c>
      <c r="M123" s="322"/>
      <c r="N123" s="322"/>
      <c r="O123" s="325">
        <v>150000</v>
      </c>
      <c r="P123" s="406"/>
      <c r="Q123" s="406"/>
      <c r="R123" s="2160" t="s">
        <v>308</v>
      </c>
      <c r="S123" s="991">
        <v>10</v>
      </c>
      <c r="T123" s="991"/>
      <c r="U123" s="959"/>
    </row>
    <row r="124" spans="1:23" ht="16.5" customHeight="1" x14ac:dyDescent="0.2">
      <c r="A124" s="927"/>
      <c r="B124" s="919"/>
      <c r="C124" s="920"/>
      <c r="D124" s="2084"/>
      <c r="E124" s="2500"/>
      <c r="F124" s="2091"/>
      <c r="G124" s="2013"/>
      <c r="H124" s="2474"/>
      <c r="I124" s="13" t="s">
        <v>40</v>
      </c>
      <c r="J124" s="326"/>
      <c r="K124" s="264"/>
      <c r="L124" s="321">
        <v>395800</v>
      </c>
      <c r="M124" s="322"/>
      <c r="N124" s="322"/>
      <c r="O124" s="325">
        <v>395800</v>
      </c>
      <c r="P124" s="406"/>
      <c r="Q124" s="406"/>
      <c r="R124" s="2161"/>
      <c r="S124" s="986"/>
      <c r="T124" s="986"/>
      <c r="U124" s="960"/>
    </row>
    <row r="125" spans="1:23" ht="18.75" customHeight="1" x14ac:dyDescent="0.2">
      <c r="A125" s="927"/>
      <c r="B125" s="919"/>
      <c r="C125" s="920"/>
      <c r="D125" s="2084"/>
      <c r="E125" s="2500"/>
      <c r="F125" s="2091"/>
      <c r="G125" s="2013"/>
      <c r="H125" s="2474"/>
      <c r="I125" s="224" t="s">
        <v>99</v>
      </c>
      <c r="J125" s="425">
        <v>14481</v>
      </c>
      <c r="K125" s="250">
        <v>14481</v>
      </c>
      <c r="L125" s="446">
        <v>116200</v>
      </c>
      <c r="M125" s="381"/>
      <c r="N125" s="381"/>
      <c r="O125" s="382">
        <f>L125</f>
        <v>116200</v>
      </c>
      <c r="P125" s="235"/>
      <c r="Q125" s="235"/>
      <c r="R125" s="2161"/>
      <c r="S125" s="986"/>
      <c r="T125" s="986"/>
      <c r="U125" s="960"/>
    </row>
    <row r="126" spans="1:23" ht="18" customHeight="1" thickBot="1" x14ac:dyDescent="0.25">
      <c r="A126" s="927"/>
      <c r="B126" s="919"/>
      <c r="C126" s="972"/>
      <c r="D126" s="973"/>
      <c r="E126" s="2221"/>
      <c r="F126" s="583"/>
      <c r="G126" s="975"/>
      <c r="H126" s="582"/>
      <c r="I126" s="81" t="s">
        <v>9</v>
      </c>
      <c r="J126" s="288">
        <f>SUM(J123:J125)</f>
        <v>86886</v>
      </c>
      <c r="K126" s="242">
        <f t="shared" ref="K126:O126" si="9">SUM(K123:K125)</f>
        <v>22569</v>
      </c>
      <c r="L126" s="243">
        <f>SUM(L123:L125)</f>
        <v>662000</v>
      </c>
      <c r="M126" s="391">
        <f t="shared" si="9"/>
        <v>0</v>
      </c>
      <c r="N126" s="391">
        <f t="shared" si="9"/>
        <v>0</v>
      </c>
      <c r="O126" s="392">
        <f t="shared" si="9"/>
        <v>662000</v>
      </c>
      <c r="P126" s="242">
        <f>SUM(P123:P125)</f>
        <v>0</v>
      </c>
      <c r="Q126" s="245">
        <f t="shared" ref="Q126" si="10">SUM(Q123:Q125)</f>
        <v>0</v>
      </c>
      <c r="R126" s="2162"/>
      <c r="S126" s="25"/>
      <c r="T126" s="25"/>
      <c r="U126" s="26"/>
    </row>
    <row r="127" spans="1:23" ht="14.25" customHeight="1" thickBot="1" x14ac:dyDescent="0.25">
      <c r="A127" s="93" t="s">
        <v>8</v>
      </c>
      <c r="B127" s="9" t="s">
        <v>10</v>
      </c>
      <c r="C127" s="2147" t="s">
        <v>11</v>
      </c>
      <c r="D127" s="2147"/>
      <c r="E127" s="2147"/>
      <c r="F127" s="2147"/>
      <c r="G127" s="2147"/>
      <c r="H127" s="2147"/>
      <c r="I127" s="2148"/>
      <c r="J127" s="247">
        <f>J122+J126</f>
        <v>5253630</v>
      </c>
      <c r="K127" s="247">
        <f t="shared" ref="K127:O127" si="11">K122+K126</f>
        <v>5347758</v>
      </c>
      <c r="L127" s="247">
        <f t="shared" si="11"/>
        <v>5758900</v>
      </c>
      <c r="M127" s="247">
        <f t="shared" si="11"/>
        <v>5096900</v>
      </c>
      <c r="N127" s="247">
        <f t="shared" si="11"/>
        <v>0</v>
      </c>
      <c r="O127" s="247">
        <f t="shared" si="11"/>
        <v>662000</v>
      </c>
      <c r="P127" s="247">
        <f>P122+P126</f>
        <v>5429600</v>
      </c>
      <c r="Q127" s="247">
        <f>Q122+Q126</f>
        <v>5531600</v>
      </c>
      <c r="R127" s="2166"/>
      <c r="S127" s="2166"/>
      <c r="T127" s="2166"/>
      <c r="U127" s="2167"/>
    </row>
    <row r="128" spans="1:23" ht="18" customHeight="1" thickBot="1" x14ac:dyDescent="0.25">
      <c r="A128" s="92" t="s">
        <v>8</v>
      </c>
      <c r="B128" s="9" t="s">
        <v>43</v>
      </c>
      <c r="C128" s="2168" t="s">
        <v>254</v>
      </c>
      <c r="D128" s="2169"/>
      <c r="E128" s="2169"/>
      <c r="F128" s="2169"/>
      <c r="G128" s="2169"/>
      <c r="H128" s="2169"/>
      <c r="I128" s="2169"/>
      <c r="J128" s="2169"/>
      <c r="K128" s="2169"/>
      <c r="L128" s="2169"/>
      <c r="M128" s="2169"/>
      <c r="N128" s="2169"/>
      <c r="O128" s="2169"/>
      <c r="P128" s="2169"/>
      <c r="Q128" s="2169"/>
      <c r="R128" s="2169"/>
      <c r="S128" s="2169"/>
      <c r="T128" s="2169"/>
      <c r="U128" s="2170"/>
    </row>
    <row r="129" spans="1:23" ht="27" customHeight="1" x14ac:dyDescent="0.2">
      <c r="A129" s="2183" t="s">
        <v>8</v>
      </c>
      <c r="B129" s="2185" t="s">
        <v>43</v>
      </c>
      <c r="C129" s="2464" t="s">
        <v>8</v>
      </c>
      <c r="D129" s="1003"/>
      <c r="E129" s="965" t="s">
        <v>228</v>
      </c>
      <c r="F129" s="551" t="s">
        <v>111</v>
      </c>
      <c r="G129" s="974" t="s">
        <v>53</v>
      </c>
      <c r="H129" s="1043"/>
      <c r="I129" s="761"/>
      <c r="J129" s="447"/>
      <c r="K129" s="761"/>
      <c r="L129" s="481"/>
      <c r="M129" s="482"/>
      <c r="N129" s="482"/>
      <c r="O129" s="483"/>
      <c r="P129" s="481"/>
      <c r="Q129" s="481"/>
      <c r="R129" s="890"/>
      <c r="S129" s="891"/>
      <c r="T129" s="891"/>
      <c r="U129" s="892"/>
    </row>
    <row r="130" spans="1:23" ht="27" customHeight="1" x14ac:dyDescent="0.2">
      <c r="A130" s="1998"/>
      <c r="B130" s="1999"/>
      <c r="C130" s="2457"/>
      <c r="D130" s="949" t="s">
        <v>8</v>
      </c>
      <c r="E130" s="930" t="s">
        <v>222</v>
      </c>
      <c r="F130" s="2593" t="s">
        <v>109</v>
      </c>
      <c r="G130" s="221" t="s">
        <v>53</v>
      </c>
      <c r="H130" s="1006" t="s">
        <v>106</v>
      </c>
      <c r="I130" s="120" t="s">
        <v>188</v>
      </c>
      <c r="J130" s="448">
        <v>152311</v>
      </c>
      <c r="K130" s="448">
        <v>152311</v>
      </c>
      <c r="L130" s="338">
        <v>130000</v>
      </c>
      <c r="M130" s="309">
        <v>130000</v>
      </c>
      <c r="N130" s="309"/>
      <c r="O130" s="310"/>
      <c r="P130" s="280">
        <v>130000</v>
      </c>
      <c r="Q130" s="259">
        <v>130000</v>
      </c>
      <c r="R130" s="121" t="s">
        <v>267</v>
      </c>
      <c r="S130" s="530" t="s">
        <v>213</v>
      </c>
      <c r="T130" s="530" t="s">
        <v>213</v>
      </c>
      <c r="U130" s="531" t="s">
        <v>213</v>
      </c>
    </row>
    <row r="131" spans="1:23" ht="26.25" customHeight="1" x14ac:dyDescent="0.2">
      <c r="A131" s="1998"/>
      <c r="B131" s="1999"/>
      <c r="C131" s="2457"/>
      <c r="D131" s="933"/>
      <c r="E131" s="928"/>
      <c r="F131" s="2182"/>
      <c r="G131" s="921"/>
      <c r="H131" s="1009"/>
      <c r="I131" s="188" t="s">
        <v>99</v>
      </c>
      <c r="J131" s="449">
        <v>105653</v>
      </c>
      <c r="K131" s="449">
        <v>105653</v>
      </c>
      <c r="L131" s="459">
        <v>97000</v>
      </c>
      <c r="M131" s="313">
        <v>97000</v>
      </c>
      <c r="N131" s="313"/>
      <c r="O131" s="314"/>
      <c r="P131" s="610">
        <v>80000</v>
      </c>
      <c r="Q131" s="259">
        <v>80000</v>
      </c>
      <c r="R131" s="203" t="s">
        <v>119</v>
      </c>
      <c r="S131" s="204">
        <v>1</v>
      </c>
      <c r="T131" s="204">
        <v>1</v>
      </c>
      <c r="U131" s="205">
        <v>1</v>
      </c>
    </row>
    <row r="132" spans="1:23" ht="28.5" customHeight="1" x14ac:dyDescent="0.2">
      <c r="A132" s="1998"/>
      <c r="B132" s="1999"/>
      <c r="C132" s="2457"/>
      <c r="D132" s="933"/>
      <c r="E132" s="928"/>
      <c r="F132" s="754"/>
      <c r="G132" s="921"/>
      <c r="H132" s="1011"/>
      <c r="I132" s="142" t="s">
        <v>40</v>
      </c>
      <c r="J132" s="426"/>
      <c r="K132" s="426"/>
      <c r="L132" s="631">
        <v>61000</v>
      </c>
      <c r="M132" s="632"/>
      <c r="N132" s="632"/>
      <c r="O132" s="633">
        <v>61000</v>
      </c>
      <c r="P132" s="270">
        <v>58000</v>
      </c>
      <c r="Q132" s="271"/>
      <c r="R132" s="203" t="s">
        <v>247</v>
      </c>
      <c r="S132" s="634">
        <v>50</v>
      </c>
      <c r="T132" s="634">
        <v>100</v>
      </c>
      <c r="U132" s="193"/>
    </row>
    <row r="133" spans="1:23" ht="20.25" customHeight="1" x14ac:dyDescent="0.2">
      <c r="A133" s="1998"/>
      <c r="B133" s="1999"/>
      <c r="C133" s="2457"/>
      <c r="D133" s="947"/>
      <c r="E133" s="931"/>
      <c r="F133" s="755"/>
      <c r="G133" s="957"/>
      <c r="H133" s="1011"/>
      <c r="I133" s="119" t="s">
        <v>107</v>
      </c>
      <c r="J133" s="452">
        <v>65825</v>
      </c>
      <c r="K133" s="452">
        <v>65825</v>
      </c>
      <c r="L133" s="397"/>
      <c r="M133" s="319"/>
      <c r="N133" s="319"/>
      <c r="O133" s="336"/>
      <c r="P133" s="416"/>
      <c r="Q133" s="337"/>
      <c r="R133" s="523" t="s">
        <v>54</v>
      </c>
      <c r="S133" s="525">
        <v>69</v>
      </c>
      <c r="T133" s="525">
        <v>69</v>
      </c>
      <c r="U133" s="526">
        <v>69</v>
      </c>
    </row>
    <row r="134" spans="1:23" ht="28.5" customHeight="1" x14ac:dyDescent="0.2">
      <c r="A134" s="1998"/>
      <c r="B134" s="1999"/>
      <c r="C134" s="2457"/>
      <c r="D134" s="948"/>
      <c r="E134" s="458" t="s">
        <v>248</v>
      </c>
      <c r="F134" s="1063"/>
      <c r="G134" s="665"/>
      <c r="H134" s="1011"/>
      <c r="I134" s="18" t="s">
        <v>99</v>
      </c>
      <c r="J134" s="427">
        <v>5792</v>
      </c>
      <c r="K134" s="427">
        <v>5792</v>
      </c>
      <c r="L134" s="457"/>
      <c r="M134" s="411"/>
      <c r="N134" s="411"/>
      <c r="O134" s="283"/>
      <c r="P134" s="663"/>
      <c r="Q134" s="287"/>
      <c r="R134" s="978"/>
      <c r="S134" s="664"/>
      <c r="T134" s="664"/>
      <c r="U134" s="943"/>
    </row>
    <row r="135" spans="1:23" ht="16.5" customHeight="1" x14ac:dyDescent="0.2">
      <c r="A135" s="1998"/>
      <c r="B135" s="1999"/>
      <c r="C135" s="2457"/>
      <c r="D135" s="933" t="s">
        <v>10</v>
      </c>
      <c r="E135" s="1037" t="s">
        <v>94</v>
      </c>
      <c r="F135" s="754"/>
      <c r="G135" s="920" t="s">
        <v>53</v>
      </c>
      <c r="H135" s="1011"/>
      <c r="I135" s="188" t="s">
        <v>188</v>
      </c>
      <c r="J135" s="424">
        <v>173801</v>
      </c>
      <c r="K135" s="430">
        <v>174911</v>
      </c>
      <c r="L135" s="308">
        <v>150000</v>
      </c>
      <c r="M135" s="307">
        <v>150000</v>
      </c>
      <c r="N135" s="307"/>
      <c r="O135" s="327"/>
      <c r="P135" s="280">
        <v>150000</v>
      </c>
      <c r="Q135" s="265">
        <v>150000</v>
      </c>
      <c r="R135" s="646" t="s">
        <v>125</v>
      </c>
      <c r="S135" s="647" t="s">
        <v>214</v>
      </c>
      <c r="T135" s="647" t="s">
        <v>214</v>
      </c>
      <c r="U135" s="648" t="s">
        <v>214</v>
      </c>
    </row>
    <row r="136" spans="1:23" ht="66.75" customHeight="1" x14ac:dyDescent="0.2">
      <c r="A136" s="1998"/>
      <c r="B136" s="1999"/>
      <c r="C136" s="2457"/>
      <c r="D136" s="933"/>
      <c r="E136" s="1000" t="s">
        <v>281</v>
      </c>
      <c r="F136" s="755"/>
      <c r="G136" s="552"/>
      <c r="H136" s="1011"/>
      <c r="I136" s="79" t="s">
        <v>188</v>
      </c>
      <c r="J136" s="425"/>
      <c r="K136" s="428"/>
      <c r="L136" s="318">
        <v>10000</v>
      </c>
      <c r="M136" s="315">
        <v>10000</v>
      </c>
      <c r="N136" s="315"/>
      <c r="O136" s="408"/>
      <c r="P136" s="263"/>
      <c r="Q136" s="235"/>
      <c r="R136" s="105" t="s">
        <v>309</v>
      </c>
      <c r="S136" s="133" t="s">
        <v>245</v>
      </c>
      <c r="T136" s="133"/>
      <c r="U136" s="134"/>
    </row>
    <row r="137" spans="1:23" ht="22.5" customHeight="1" x14ac:dyDescent="0.2">
      <c r="A137" s="1998"/>
      <c r="B137" s="1999"/>
      <c r="C137" s="2457"/>
      <c r="D137" s="635" t="s">
        <v>43</v>
      </c>
      <c r="E137" s="2022" t="s">
        <v>282</v>
      </c>
      <c r="F137" s="961"/>
      <c r="G137" s="920" t="s">
        <v>53</v>
      </c>
      <c r="H137" s="2512"/>
      <c r="I137" s="496" t="s">
        <v>40</v>
      </c>
      <c r="J137" s="274">
        <v>5213</v>
      </c>
      <c r="K137" s="431">
        <v>5213</v>
      </c>
      <c r="L137" s="572">
        <v>3000</v>
      </c>
      <c r="M137" s="354">
        <v>3000</v>
      </c>
      <c r="N137" s="354"/>
      <c r="O137" s="302"/>
      <c r="P137" s="609">
        <v>3000</v>
      </c>
      <c r="Q137" s="332">
        <v>3000</v>
      </c>
      <c r="R137" s="2164" t="s">
        <v>268</v>
      </c>
      <c r="S137" s="2257" t="s">
        <v>246</v>
      </c>
      <c r="T137" s="2257" t="s">
        <v>229</v>
      </c>
      <c r="U137" s="2253" t="s">
        <v>229</v>
      </c>
    </row>
    <row r="138" spans="1:23" ht="31.5" customHeight="1" x14ac:dyDescent="0.2">
      <c r="A138" s="1998"/>
      <c r="B138" s="1999"/>
      <c r="C138" s="2457"/>
      <c r="D138" s="636"/>
      <c r="E138" s="2016"/>
      <c r="F138" s="961"/>
      <c r="G138" s="921"/>
      <c r="H138" s="2051"/>
      <c r="I138" s="511" t="s">
        <v>99</v>
      </c>
      <c r="J138" s="414"/>
      <c r="K138" s="432"/>
      <c r="L138" s="312">
        <v>5100</v>
      </c>
      <c r="M138" s="311">
        <v>5100</v>
      </c>
      <c r="N138" s="311"/>
      <c r="O138" s="479"/>
      <c r="P138" s="650">
        <v>2100</v>
      </c>
      <c r="Q138" s="497">
        <v>2100</v>
      </c>
      <c r="R138" s="2165"/>
      <c r="S138" s="2258"/>
      <c r="T138" s="2258"/>
      <c r="U138" s="2254"/>
    </row>
    <row r="139" spans="1:23" ht="40.5" customHeight="1" x14ac:dyDescent="0.2">
      <c r="A139" s="2116"/>
      <c r="B139" s="2119"/>
      <c r="C139" s="2462"/>
      <c r="D139" s="637"/>
      <c r="E139" s="2344"/>
      <c r="F139" s="544"/>
      <c r="G139" s="957"/>
      <c r="H139" s="908"/>
      <c r="I139" s="119" t="s">
        <v>99</v>
      </c>
      <c r="J139" s="425"/>
      <c r="K139" s="428"/>
      <c r="L139" s="318">
        <v>500</v>
      </c>
      <c r="M139" s="315">
        <v>500</v>
      </c>
      <c r="N139" s="315"/>
      <c r="O139" s="408"/>
      <c r="P139" s="416"/>
      <c r="Q139" s="337"/>
      <c r="R139" s="105" t="s">
        <v>269</v>
      </c>
      <c r="S139" s="223" t="s">
        <v>240</v>
      </c>
      <c r="T139" s="223"/>
      <c r="U139" s="649"/>
    </row>
    <row r="140" spans="1:23" ht="41.25" customHeight="1" x14ac:dyDescent="0.2">
      <c r="A140" s="918"/>
      <c r="B140" s="919"/>
      <c r="C140" s="995"/>
      <c r="D140" s="196" t="s">
        <v>48</v>
      </c>
      <c r="E140" s="976" t="s">
        <v>283</v>
      </c>
      <c r="F140" s="984"/>
      <c r="G140" s="941" t="s">
        <v>53</v>
      </c>
      <c r="H140" s="1009"/>
      <c r="I140" s="206" t="s">
        <v>99</v>
      </c>
      <c r="J140" s="264"/>
      <c r="K140" s="427"/>
      <c r="L140" s="460">
        <v>8000</v>
      </c>
      <c r="M140" s="461">
        <v>8000</v>
      </c>
      <c r="N140" s="986"/>
      <c r="O140" s="960"/>
      <c r="P140" s="507"/>
      <c r="Q140" s="406"/>
      <c r="R140" s="843" t="s">
        <v>270</v>
      </c>
      <c r="S140" s="556">
        <v>1</v>
      </c>
      <c r="T140" s="1007"/>
      <c r="U140" s="1008"/>
    </row>
    <row r="141" spans="1:23" ht="88.5" customHeight="1" x14ac:dyDescent="0.2">
      <c r="A141" s="918"/>
      <c r="B141" s="919"/>
      <c r="C141" s="995"/>
      <c r="D141" s="196"/>
      <c r="E141" s="976"/>
      <c r="F141" s="984"/>
      <c r="G141" s="941"/>
      <c r="H141" s="1009"/>
      <c r="I141" s="154" t="s">
        <v>99</v>
      </c>
      <c r="J141" s="440"/>
      <c r="K141" s="440"/>
      <c r="L141" s="576">
        <v>50000</v>
      </c>
      <c r="M141" s="522">
        <v>50000</v>
      </c>
      <c r="N141" s="139"/>
      <c r="O141" s="140"/>
      <c r="P141" s="625"/>
      <c r="Q141" s="335"/>
      <c r="R141" s="756" t="s">
        <v>310</v>
      </c>
      <c r="S141" s="657">
        <v>100</v>
      </c>
      <c r="T141" s="626"/>
      <c r="U141" s="627"/>
      <c r="W141" s="395"/>
    </row>
    <row r="142" spans="1:23" ht="41.25" customHeight="1" x14ac:dyDescent="0.2">
      <c r="A142" s="918"/>
      <c r="B142" s="919"/>
      <c r="C142" s="995"/>
      <c r="D142" s="624"/>
      <c r="E142" s="1015"/>
      <c r="F142" s="1034"/>
      <c r="G142" s="623"/>
      <c r="H142" s="487"/>
      <c r="I142" s="119" t="s">
        <v>99</v>
      </c>
      <c r="J142" s="250"/>
      <c r="K142" s="428"/>
      <c r="L142" s="452">
        <v>122000</v>
      </c>
      <c r="M142" s="651">
        <v>122000</v>
      </c>
      <c r="N142" s="652"/>
      <c r="O142" s="653"/>
      <c r="P142" s="654"/>
      <c r="Q142" s="415"/>
      <c r="R142" s="167" t="s">
        <v>271</v>
      </c>
      <c r="S142" s="658">
        <v>100</v>
      </c>
      <c r="T142" s="655"/>
      <c r="U142" s="656"/>
    </row>
    <row r="143" spans="1:23" ht="15.75" customHeight="1" x14ac:dyDescent="0.2">
      <c r="A143" s="1998"/>
      <c r="B143" s="1999"/>
      <c r="C143" s="2457"/>
      <c r="D143" s="2498" t="s">
        <v>49</v>
      </c>
      <c r="E143" s="2199" t="s">
        <v>223</v>
      </c>
      <c r="F143" s="984"/>
      <c r="G143" s="941" t="s">
        <v>53</v>
      </c>
      <c r="H143" s="2482" t="s">
        <v>126</v>
      </c>
      <c r="I143" s="206" t="s">
        <v>99</v>
      </c>
      <c r="J143" s="427">
        <v>321478</v>
      </c>
      <c r="K143" s="427">
        <v>321478</v>
      </c>
      <c r="L143" s="613">
        <v>376800</v>
      </c>
      <c r="M143" s="461">
        <v>376800</v>
      </c>
      <c r="N143" s="986"/>
      <c r="O143" s="960"/>
      <c r="P143" s="507">
        <v>472000</v>
      </c>
      <c r="Q143" s="406">
        <v>495000</v>
      </c>
      <c r="R143" s="2145" t="s">
        <v>302</v>
      </c>
      <c r="S143" s="2619">
        <v>165</v>
      </c>
      <c r="T143" s="2619">
        <v>170</v>
      </c>
      <c r="U143" s="2620">
        <v>175</v>
      </c>
    </row>
    <row r="144" spans="1:23" ht="15.75" customHeight="1" x14ac:dyDescent="0.2">
      <c r="A144" s="1998"/>
      <c r="B144" s="1999"/>
      <c r="C144" s="2457"/>
      <c r="D144" s="2498"/>
      <c r="E144" s="2219"/>
      <c r="F144" s="961"/>
      <c r="G144" s="941"/>
      <c r="H144" s="2484"/>
      <c r="I144" s="206" t="s">
        <v>107</v>
      </c>
      <c r="J144" s="427">
        <v>6482</v>
      </c>
      <c r="K144" s="427">
        <v>6482</v>
      </c>
      <c r="L144" s="613"/>
      <c r="M144" s="461"/>
      <c r="N144" s="986"/>
      <c r="O144" s="960"/>
      <c r="P144" s="507"/>
      <c r="Q144" s="406"/>
      <c r="R144" s="2145"/>
      <c r="S144" s="2094"/>
      <c r="T144" s="2094"/>
      <c r="U144" s="2352"/>
    </row>
    <row r="145" spans="1:23" ht="15" customHeight="1" x14ac:dyDescent="0.2">
      <c r="A145" s="1998"/>
      <c r="B145" s="1999"/>
      <c r="C145" s="2457"/>
      <c r="D145" s="2498"/>
      <c r="E145" s="571"/>
      <c r="F145" s="961"/>
      <c r="G145" s="941"/>
      <c r="H145" s="2484"/>
      <c r="I145" s="511" t="s">
        <v>99</v>
      </c>
      <c r="J145" s="414">
        <v>11585</v>
      </c>
      <c r="K145" s="432">
        <v>11585</v>
      </c>
      <c r="L145" s="449"/>
      <c r="M145" s="512"/>
      <c r="N145" s="513"/>
      <c r="O145" s="514"/>
      <c r="P145" s="414"/>
      <c r="Q145" s="439"/>
      <c r="R145" s="149"/>
      <c r="S145" s="515"/>
      <c r="T145" s="516"/>
      <c r="U145" s="517"/>
    </row>
    <row r="146" spans="1:23" ht="52.5" customHeight="1" x14ac:dyDescent="0.2">
      <c r="A146" s="1998"/>
      <c r="B146" s="1999"/>
      <c r="C146" s="2457"/>
      <c r="D146" s="2498"/>
      <c r="E146" s="757"/>
      <c r="F146" s="754"/>
      <c r="G146" s="941"/>
      <c r="H146" s="520" t="s">
        <v>106</v>
      </c>
      <c r="I146" s="154" t="s">
        <v>99</v>
      </c>
      <c r="J146" s="426">
        <v>168038</v>
      </c>
      <c r="K146" s="426">
        <f>168038+15519</f>
        <v>183557</v>
      </c>
      <c r="L146" s="913">
        <v>123200</v>
      </c>
      <c r="M146" s="522">
        <v>123200</v>
      </c>
      <c r="N146" s="554"/>
      <c r="O146" s="555"/>
      <c r="P146" s="279">
        <v>50000</v>
      </c>
      <c r="Q146" s="261">
        <v>50000</v>
      </c>
      <c r="R146" s="157" t="s">
        <v>272</v>
      </c>
      <c r="S146" s="615" t="s">
        <v>231</v>
      </c>
      <c r="T146" s="615" t="s">
        <v>230</v>
      </c>
      <c r="U146" s="758" t="s">
        <v>232</v>
      </c>
    </row>
    <row r="147" spans="1:23" ht="38.25" customHeight="1" x14ac:dyDescent="0.2">
      <c r="A147" s="1998"/>
      <c r="B147" s="1999"/>
      <c r="C147" s="2457"/>
      <c r="D147" s="2498"/>
      <c r="E147" s="976"/>
      <c r="F147" s="754"/>
      <c r="G147" s="941"/>
      <c r="H147" s="1011"/>
      <c r="I147" s="518" t="s">
        <v>99</v>
      </c>
      <c r="J147" s="432"/>
      <c r="K147" s="432"/>
      <c r="L147" s="575">
        <v>9000</v>
      </c>
      <c r="M147" s="512"/>
      <c r="N147" s="513"/>
      <c r="O147" s="514">
        <v>9000</v>
      </c>
      <c r="P147" s="650">
        <v>140000</v>
      </c>
      <c r="Q147" s="259"/>
      <c r="R147" s="208" t="s">
        <v>212</v>
      </c>
      <c r="S147" s="257" t="s">
        <v>79</v>
      </c>
      <c r="T147" s="519">
        <v>1</v>
      </c>
      <c r="U147" s="1064"/>
      <c r="W147" s="395"/>
    </row>
    <row r="148" spans="1:23" ht="18.75" customHeight="1" x14ac:dyDescent="0.2">
      <c r="A148" s="1998"/>
      <c r="B148" s="1999"/>
      <c r="C148" s="2457"/>
      <c r="D148" s="2498"/>
      <c r="E148" s="2199"/>
      <c r="F148" s="521"/>
      <c r="G148" s="921"/>
      <c r="H148" s="1011"/>
      <c r="I148" s="206" t="s">
        <v>99</v>
      </c>
      <c r="J148" s="326">
        <f>40547+178087</f>
        <v>218634</v>
      </c>
      <c r="K148" s="427">
        <f>40547+106531-67842</f>
        <v>79236</v>
      </c>
      <c r="L148" s="324"/>
      <c r="M148" s="322"/>
      <c r="N148" s="322"/>
      <c r="O148" s="325"/>
      <c r="P148" s="326"/>
      <c r="Q148" s="264"/>
      <c r="R148" s="2493" t="s">
        <v>183</v>
      </c>
      <c r="S148" s="222" t="s">
        <v>133</v>
      </c>
      <c r="T148" s="42"/>
      <c r="U148" s="508"/>
    </row>
    <row r="149" spans="1:23" ht="18" customHeight="1" x14ac:dyDescent="0.2">
      <c r="A149" s="1998"/>
      <c r="B149" s="1999"/>
      <c r="C149" s="2457"/>
      <c r="D149" s="2498"/>
      <c r="E149" s="2373"/>
      <c r="F149" s="528"/>
      <c r="G149" s="957"/>
      <c r="H149" s="1056"/>
      <c r="I149" s="527" t="s">
        <v>40</v>
      </c>
      <c r="J149" s="326"/>
      <c r="K149" s="427"/>
      <c r="L149" s="324">
        <f>O149</f>
        <v>92500</v>
      </c>
      <c r="M149" s="322"/>
      <c r="N149" s="322"/>
      <c r="O149" s="325">
        <v>92500</v>
      </c>
      <c r="P149" s="326"/>
      <c r="Q149" s="264"/>
      <c r="R149" s="2027"/>
      <c r="S149" s="222"/>
      <c r="T149" s="42"/>
      <c r="U149" s="508"/>
    </row>
    <row r="150" spans="1:23" ht="66.75" customHeight="1" x14ac:dyDescent="0.2">
      <c r="A150" s="927"/>
      <c r="B150" s="919"/>
      <c r="C150" s="524"/>
      <c r="D150" s="949" t="s">
        <v>52</v>
      </c>
      <c r="E150" s="2143" t="s">
        <v>83</v>
      </c>
      <c r="F150" s="557"/>
      <c r="G150" s="221" t="s">
        <v>53</v>
      </c>
      <c r="H150" s="2479" t="s">
        <v>106</v>
      </c>
      <c r="I150" s="496" t="s">
        <v>188</v>
      </c>
      <c r="J150" s="431">
        <v>29049</v>
      </c>
      <c r="K150" s="431">
        <f>29049+64522</f>
        <v>93571</v>
      </c>
      <c r="L150" s="577">
        <v>25000</v>
      </c>
      <c r="M150" s="558"/>
      <c r="N150" s="558"/>
      <c r="O150" s="343">
        <v>25000</v>
      </c>
      <c r="P150" s="611">
        <v>25000</v>
      </c>
      <c r="Q150" s="273">
        <v>25000</v>
      </c>
      <c r="R150" s="2612" t="s">
        <v>303</v>
      </c>
      <c r="S150" s="181">
        <v>11</v>
      </c>
      <c r="T150" s="181">
        <v>5</v>
      </c>
      <c r="U150" s="74">
        <v>5</v>
      </c>
    </row>
    <row r="151" spans="1:23" ht="102" customHeight="1" x14ac:dyDescent="0.2">
      <c r="A151" s="927"/>
      <c r="B151" s="919"/>
      <c r="C151" s="524"/>
      <c r="D151" s="1013"/>
      <c r="E151" s="2475"/>
      <c r="F151" s="559"/>
      <c r="G151" s="893"/>
      <c r="H151" s="2358"/>
      <c r="I151" s="119" t="s">
        <v>40</v>
      </c>
      <c r="J151" s="428"/>
      <c r="K151" s="428"/>
      <c r="L151" s="578">
        <v>55000</v>
      </c>
      <c r="M151" s="914"/>
      <c r="N151" s="378"/>
      <c r="O151" s="345">
        <v>55000</v>
      </c>
      <c r="P151" s="276"/>
      <c r="Q151" s="275"/>
      <c r="R151" s="2405"/>
      <c r="S151" s="1065"/>
      <c r="T151" s="1065"/>
      <c r="U151" s="107"/>
    </row>
    <row r="152" spans="1:23" ht="15.75" customHeight="1" thickBot="1" x14ac:dyDescent="0.25">
      <c r="A152" s="305"/>
      <c r="B152" s="982"/>
      <c r="C152" s="109"/>
      <c r="D152" s="113"/>
      <c r="E152" s="113"/>
      <c r="F152" s="113"/>
      <c r="G152" s="113"/>
      <c r="H152" s="2487" t="s">
        <v>91</v>
      </c>
      <c r="I152" s="2488"/>
      <c r="J152" s="386">
        <f t="shared" ref="J152:Q152" si="12">SUM(J130:J151)</f>
        <v>1263861</v>
      </c>
      <c r="K152" s="417">
        <f t="shared" si="12"/>
        <v>1205614</v>
      </c>
      <c r="L152" s="417">
        <f t="shared" si="12"/>
        <v>1318100</v>
      </c>
      <c r="M152" s="386">
        <f t="shared" si="12"/>
        <v>1075600</v>
      </c>
      <c r="N152" s="916">
        <f t="shared" si="12"/>
        <v>0</v>
      </c>
      <c r="O152" s="869">
        <f t="shared" si="12"/>
        <v>242500</v>
      </c>
      <c r="P152" s="417">
        <f t="shared" si="12"/>
        <v>1110100</v>
      </c>
      <c r="Q152" s="386">
        <f t="shared" si="12"/>
        <v>935100</v>
      </c>
      <c r="R152" s="110"/>
      <c r="S152" s="111"/>
      <c r="T152" s="111"/>
      <c r="U152" s="104"/>
    </row>
    <row r="153" spans="1:23" ht="25.5" customHeight="1" x14ac:dyDescent="0.2">
      <c r="A153" s="1998" t="s">
        <v>8</v>
      </c>
      <c r="B153" s="1999" t="s">
        <v>43</v>
      </c>
      <c r="C153" s="2084" t="s">
        <v>10</v>
      </c>
      <c r="D153" s="964"/>
      <c r="E153" s="2214" t="s">
        <v>284</v>
      </c>
      <c r="F153" s="968" t="s">
        <v>68</v>
      </c>
      <c r="G153" s="969" t="s">
        <v>53</v>
      </c>
      <c r="H153" s="2615" t="s">
        <v>127</v>
      </c>
      <c r="I153" s="80" t="s">
        <v>99</v>
      </c>
      <c r="J153" s="274">
        <v>57924</v>
      </c>
      <c r="K153" s="410">
        <v>40735</v>
      </c>
      <c r="L153" s="393">
        <v>34600</v>
      </c>
      <c r="M153" s="915">
        <v>10000</v>
      </c>
      <c r="N153" s="917"/>
      <c r="O153" s="827">
        <v>24600</v>
      </c>
      <c r="P153" s="274">
        <v>70000</v>
      </c>
      <c r="Q153" s="301"/>
      <c r="R153" s="925" t="s">
        <v>129</v>
      </c>
      <c r="S153" s="73">
        <v>1</v>
      </c>
      <c r="T153" s="73"/>
      <c r="U153" s="74"/>
    </row>
    <row r="154" spans="1:23" ht="27.75" customHeight="1" x14ac:dyDescent="0.2">
      <c r="A154" s="1998"/>
      <c r="B154" s="1999"/>
      <c r="C154" s="2084"/>
      <c r="D154" s="933"/>
      <c r="E154" s="2199"/>
      <c r="F154" s="932"/>
      <c r="G154" s="921"/>
      <c r="H154" s="2128"/>
      <c r="I154" s="206" t="s">
        <v>107</v>
      </c>
      <c r="J154" s="326"/>
      <c r="K154" s="264"/>
      <c r="L154" s="613">
        <v>4400</v>
      </c>
      <c r="M154" s="669"/>
      <c r="N154" s="323"/>
      <c r="O154" s="325">
        <v>4400</v>
      </c>
      <c r="P154" s="326"/>
      <c r="Q154" s="264"/>
      <c r="R154" s="844" t="s">
        <v>274</v>
      </c>
      <c r="S154" s="942">
        <v>1</v>
      </c>
      <c r="T154" s="192"/>
      <c r="U154" s="193"/>
    </row>
    <row r="155" spans="1:23" ht="26.25" customHeight="1" x14ac:dyDescent="0.2">
      <c r="A155" s="1998"/>
      <c r="B155" s="1999"/>
      <c r="C155" s="2084"/>
      <c r="D155" s="933"/>
      <c r="E155" s="2153"/>
      <c r="F155" s="2467" t="s">
        <v>285</v>
      </c>
      <c r="G155" s="921"/>
      <c r="H155" s="2128"/>
      <c r="I155" s="668" t="s">
        <v>40</v>
      </c>
      <c r="J155" s="6"/>
      <c r="K155" s="599"/>
      <c r="L155" s="29">
        <v>14500</v>
      </c>
      <c r="M155" s="622"/>
      <c r="N155" s="622"/>
      <c r="O155" s="43">
        <v>14500</v>
      </c>
      <c r="P155" s="326"/>
      <c r="Q155" s="264"/>
      <c r="R155" s="845" t="s">
        <v>273</v>
      </c>
      <c r="S155" s="139">
        <v>2</v>
      </c>
      <c r="T155" s="192"/>
      <c r="U155" s="193"/>
    </row>
    <row r="156" spans="1:23" ht="14.25" customHeight="1" x14ac:dyDescent="0.2">
      <c r="A156" s="1998"/>
      <c r="B156" s="1999"/>
      <c r="C156" s="2084"/>
      <c r="D156" s="933"/>
      <c r="E156" s="826"/>
      <c r="F156" s="2468"/>
      <c r="G156" s="921"/>
      <c r="H156" s="2128"/>
      <c r="I156" s="119"/>
      <c r="J156" s="425"/>
      <c r="K156" s="250"/>
      <c r="L156" s="318"/>
      <c r="M156" s="315"/>
      <c r="N156" s="315"/>
      <c r="O156" s="408"/>
      <c r="P156" s="425"/>
      <c r="Q156" s="250"/>
      <c r="R156" s="231" t="s">
        <v>249</v>
      </c>
      <c r="S156" s="455"/>
      <c r="T156" s="299">
        <v>1</v>
      </c>
      <c r="U156" s="300"/>
      <c r="W156" s="395"/>
    </row>
    <row r="157" spans="1:23" ht="15.75" customHeight="1" thickBot="1" x14ac:dyDescent="0.25">
      <c r="A157" s="305"/>
      <c r="B157" s="982"/>
      <c r="C157" s="764"/>
      <c r="D157" s="1004"/>
      <c r="E157" s="967"/>
      <c r="F157" s="570"/>
      <c r="G157" s="975"/>
      <c r="H157" s="59"/>
      <c r="I157" s="81" t="s">
        <v>9</v>
      </c>
      <c r="J157" s="239">
        <f>J153</f>
        <v>57924</v>
      </c>
      <c r="K157" s="238">
        <f>K153</f>
        <v>40735</v>
      </c>
      <c r="L157" s="272">
        <f>L156+L155+L154+L153</f>
        <v>53500</v>
      </c>
      <c r="M157" s="272">
        <f t="shared" ref="M157:Q157" si="13">M156+M155+M154+M153</f>
        <v>10000</v>
      </c>
      <c r="N157" s="272">
        <f t="shared" si="13"/>
        <v>0</v>
      </c>
      <c r="O157" s="242">
        <f>O156+O155+O154+O153</f>
        <v>43500</v>
      </c>
      <c r="P157" s="243">
        <f>P156+P155+P154+P153</f>
        <v>70000</v>
      </c>
      <c r="Q157" s="272">
        <f t="shared" si="13"/>
        <v>0</v>
      </c>
      <c r="R157" s="641"/>
      <c r="S157" s="642"/>
      <c r="T157" s="642"/>
      <c r="U157" s="71"/>
    </row>
    <row r="158" spans="1:23" ht="14.25" customHeight="1" x14ac:dyDescent="0.2">
      <c r="A158" s="2183" t="s">
        <v>8</v>
      </c>
      <c r="B158" s="2185" t="s">
        <v>43</v>
      </c>
      <c r="C158" s="2187" t="s">
        <v>43</v>
      </c>
      <c r="D158" s="2480"/>
      <c r="E158" s="2192" t="s">
        <v>70</v>
      </c>
      <c r="F158" s="2194" t="s">
        <v>108</v>
      </c>
      <c r="G158" s="2178" t="s">
        <v>79</v>
      </c>
      <c r="H158" s="2473" t="s">
        <v>92</v>
      </c>
      <c r="I158" s="41" t="s">
        <v>40</v>
      </c>
      <c r="J158" s="580">
        <v>98471</v>
      </c>
      <c r="K158" s="410">
        <f>98471-33546</f>
        <v>64925</v>
      </c>
      <c r="L158" s="324">
        <v>148200</v>
      </c>
      <c r="M158" s="322">
        <v>148200</v>
      </c>
      <c r="N158" s="322"/>
      <c r="O158" s="325"/>
      <c r="P158" s="581">
        <v>148200</v>
      </c>
      <c r="Q158" s="581">
        <v>148200</v>
      </c>
      <c r="R158" s="12" t="s">
        <v>98</v>
      </c>
      <c r="S158" s="1046">
        <v>18</v>
      </c>
      <c r="T158" s="1046">
        <v>18</v>
      </c>
      <c r="U158" s="1047">
        <v>18</v>
      </c>
      <c r="V158" s="11"/>
    </row>
    <row r="159" spans="1:23" ht="14.25" customHeight="1" x14ac:dyDescent="0.2">
      <c r="A159" s="1998"/>
      <c r="B159" s="1999"/>
      <c r="C159" s="2084"/>
      <c r="D159" s="2472"/>
      <c r="E159" s="2065"/>
      <c r="F159" s="2195"/>
      <c r="G159" s="2013"/>
      <c r="H159" s="2474"/>
      <c r="I159" s="224" t="s">
        <v>88</v>
      </c>
      <c r="J159" s="428"/>
      <c r="K159" s="250"/>
      <c r="L159" s="329"/>
      <c r="M159" s="347"/>
      <c r="N159" s="347"/>
      <c r="O159" s="390"/>
      <c r="P159" s="244"/>
      <c r="Q159" s="244"/>
      <c r="R159" s="2211" t="s">
        <v>128</v>
      </c>
      <c r="S159" s="986">
        <v>2</v>
      </c>
      <c r="T159" s="986">
        <v>2</v>
      </c>
      <c r="U159" s="960">
        <v>2</v>
      </c>
      <c r="V159" s="11"/>
    </row>
    <row r="160" spans="1:23" ht="14.25" customHeight="1" thickBot="1" x14ac:dyDescent="0.25">
      <c r="A160" s="2205"/>
      <c r="B160" s="2206"/>
      <c r="C160" s="2191"/>
      <c r="D160" s="2481"/>
      <c r="E160" s="2193"/>
      <c r="F160" s="2196"/>
      <c r="G160" s="2198"/>
      <c r="H160" s="594"/>
      <c r="I160" s="81" t="s">
        <v>9</v>
      </c>
      <c r="J160" s="288">
        <f>SUM(J158:J159)</f>
        <v>98471</v>
      </c>
      <c r="K160" s="242">
        <f>SUM(K158:K159)</f>
        <v>64925</v>
      </c>
      <c r="L160" s="272">
        <f>SUM(L158:L159)</f>
        <v>148200</v>
      </c>
      <c r="M160" s="391">
        <f t="shared" ref="M160:O160" si="14">SUM(M158:M159)</f>
        <v>148200</v>
      </c>
      <c r="N160" s="391">
        <f t="shared" si="14"/>
        <v>0</v>
      </c>
      <c r="O160" s="392">
        <f t="shared" si="14"/>
        <v>0</v>
      </c>
      <c r="P160" s="245">
        <f>SUM(P158:P159)</f>
        <v>148200</v>
      </c>
      <c r="Q160" s="245">
        <f>SUM(Q158:Q159)</f>
        <v>148200</v>
      </c>
      <c r="R160" s="2212"/>
      <c r="S160" s="70"/>
      <c r="T160" s="70"/>
      <c r="U160" s="71"/>
      <c r="V160" s="11"/>
    </row>
    <row r="161" spans="1:22" ht="17.25" customHeight="1" x14ac:dyDescent="0.2">
      <c r="A161" s="2183" t="s">
        <v>8</v>
      </c>
      <c r="B161" s="2185" t="s">
        <v>43</v>
      </c>
      <c r="C161" s="2187" t="s">
        <v>48</v>
      </c>
      <c r="D161" s="1001"/>
      <c r="E161" s="2214" t="s">
        <v>221</v>
      </c>
      <c r="F161" s="2215" t="s">
        <v>151</v>
      </c>
      <c r="G161" s="569" t="s">
        <v>63</v>
      </c>
      <c r="H161" s="2603" t="s">
        <v>105</v>
      </c>
      <c r="I161" s="13" t="s">
        <v>64</v>
      </c>
      <c r="J161" s="326"/>
      <c r="K161" s="264"/>
      <c r="L161" s="324"/>
      <c r="M161" s="322"/>
      <c r="N161" s="322"/>
      <c r="O161" s="325"/>
      <c r="P161" s="244"/>
      <c r="Q161" s="269">
        <v>295400</v>
      </c>
      <c r="R161" s="1012" t="s">
        <v>200</v>
      </c>
      <c r="S161" s="185"/>
      <c r="T161" s="986">
        <v>1</v>
      </c>
      <c r="U161" s="960"/>
    </row>
    <row r="162" spans="1:22" ht="15.75" customHeight="1" x14ac:dyDescent="0.2">
      <c r="A162" s="1998"/>
      <c r="B162" s="1999"/>
      <c r="C162" s="2084"/>
      <c r="D162" s="1001"/>
      <c r="E162" s="2153"/>
      <c r="F162" s="2216"/>
      <c r="G162" s="550"/>
      <c r="H162" s="2051"/>
      <c r="I162" s="13" t="s">
        <v>40</v>
      </c>
      <c r="J162" s="326"/>
      <c r="K162" s="264"/>
      <c r="L162" s="324"/>
      <c r="M162" s="322"/>
      <c r="N162" s="322"/>
      <c r="O162" s="325"/>
      <c r="P162" s="244">
        <v>2900</v>
      </c>
      <c r="Q162" s="244">
        <v>15700</v>
      </c>
      <c r="R162" s="979" t="s">
        <v>66</v>
      </c>
      <c r="S162" s="556"/>
      <c r="T162" s="986">
        <v>1</v>
      </c>
      <c r="U162" s="960"/>
    </row>
    <row r="163" spans="1:22" ht="15.75" customHeight="1" x14ac:dyDescent="0.2">
      <c r="A163" s="1998"/>
      <c r="B163" s="1999"/>
      <c r="C163" s="2084"/>
      <c r="D163" s="1001"/>
      <c r="E163" s="2153"/>
      <c r="F163" s="2216"/>
      <c r="G163" s="550"/>
      <c r="H163" s="2518"/>
      <c r="I163" s="79" t="s">
        <v>188</v>
      </c>
      <c r="J163" s="425"/>
      <c r="K163" s="250"/>
      <c r="L163" s="318"/>
      <c r="M163" s="316"/>
      <c r="N163" s="316"/>
      <c r="O163" s="336"/>
      <c r="P163" s="276"/>
      <c r="Q163" s="346">
        <v>36500</v>
      </c>
      <c r="R163" s="985" t="s">
        <v>209</v>
      </c>
      <c r="S163" s="986"/>
      <c r="T163" s="986"/>
      <c r="U163" s="960">
        <v>30</v>
      </c>
    </row>
    <row r="164" spans="1:22" ht="16.5" customHeight="1" x14ac:dyDescent="0.2">
      <c r="A164" s="1998"/>
      <c r="B164" s="1999"/>
      <c r="C164" s="2084"/>
      <c r="D164" s="1001"/>
      <c r="E164" s="977"/>
      <c r="F164" s="2216"/>
      <c r="G164" s="921"/>
      <c r="H164" s="662" t="s">
        <v>286</v>
      </c>
      <c r="I164" s="79" t="s">
        <v>99</v>
      </c>
      <c r="J164" s="425">
        <v>14481</v>
      </c>
      <c r="K164" s="250">
        <v>0</v>
      </c>
      <c r="L164" s="318"/>
      <c r="M164" s="316"/>
      <c r="N164" s="316"/>
      <c r="O164" s="336"/>
      <c r="P164" s="276"/>
      <c r="Q164" s="346"/>
      <c r="R164" s="985"/>
      <c r="S164" s="986"/>
      <c r="T164" s="986"/>
      <c r="U164" s="960"/>
    </row>
    <row r="165" spans="1:22" ht="15" customHeight="1" thickBot="1" x14ac:dyDescent="0.25">
      <c r="A165" s="927"/>
      <c r="B165" s="919"/>
      <c r="C165" s="972"/>
      <c r="D165" s="1004"/>
      <c r="E165" s="967"/>
      <c r="F165" s="570"/>
      <c r="G165" s="975"/>
      <c r="H165" s="59"/>
      <c r="I165" s="81" t="s">
        <v>9</v>
      </c>
      <c r="J165" s="288">
        <f>SUM(J162:J164)</f>
        <v>14481</v>
      </c>
      <c r="K165" s="242">
        <f>SUM(K162:K164)</f>
        <v>0</v>
      </c>
      <c r="L165" s="272">
        <f>SUM(L162:L164)</f>
        <v>0</v>
      </c>
      <c r="M165" s="391">
        <f t="shared" ref="M165:O165" si="15">SUM(M162:M164)</f>
        <v>0</v>
      </c>
      <c r="N165" s="391">
        <f t="shared" si="15"/>
        <v>0</v>
      </c>
      <c r="O165" s="392">
        <f t="shared" si="15"/>
        <v>0</v>
      </c>
      <c r="P165" s="245">
        <f>SUM(P161:P164)</f>
        <v>2900</v>
      </c>
      <c r="Q165" s="242">
        <f>SUM(Q161:Q164)</f>
        <v>347600</v>
      </c>
      <c r="R165" s="985"/>
      <c r="S165" s="70"/>
      <c r="T165" s="70"/>
      <c r="U165" s="71"/>
      <c r="V165" s="11"/>
    </row>
    <row r="166" spans="1:22" ht="14.25" customHeight="1" thickBot="1" x14ac:dyDescent="0.25">
      <c r="A166" s="93" t="s">
        <v>8</v>
      </c>
      <c r="B166" s="9" t="s">
        <v>43</v>
      </c>
      <c r="C166" s="2147" t="s">
        <v>11</v>
      </c>
      <c r="D166" s="2147"/>
      <c r="E166" s="2147"/>
      <c r="F166" s="2147"/>
      <c r="G166" s="2147"/>
      <c r="H166" s="2147"/>
      <c r="I166" s="2148"/>
      <c r="J166" s="401">
        <f>J165+J160+J157+J152</f>
        <v>1434737</v>
      </c>
      <c r="K166" s="246">
        <f>K165+K160+K157+K152</f>
        <v>1311274</v>
      </c>
      <c r="L166" s="402">
        <f>L165+L160+L157+L152</f>
        <v>1519800</v>
      </c>
      <c r="M166" s="247">
        <f t="shared" ref="M166:Q166" si="16">M165+M160+M157+M152</f>
        <v>1233800</v>
      </c>
      <c r="N166" s="247">
        <f t="shared" si="16"/>
        <v>0</v>
      </c>
      <c r="O166" s="403">
        <f t="shared" si="16"/>
        <v>286000</v>
      </c>
      <c r="P166" s="247">
        <f t="shared" si="16"/>
        <v>1331200</v>
      </c>
      <c r="Q166" s="247">
        <f t="shared" si="16"/>
        <v>1430900</v>
      </c>
      <c r="R166" s="2213"/>
      <c r="S166" s="2166"/>
      <c r="T166" s="2166"/>
      <c r="U166" s="2167"/>
      <c r="V166" s="11"/>
    </row>
    <row r="167" spans="1:22" ht="14.25" customHeight="1" thickBot="1" x14ac:dyDescent="0.25">
      <c r="A167" s="92" t="s">
        <v>8</v>
      </c>
      <c r="B167" s="9" t="s">
        <v>48</v>
      </c>
      <c r="C167" s="2168" t="s">
        <v>262</v>
      </c>
      <c r="D167" s="2169"/>
      <c r="E167" s="2169"/>
      <c r="F167" s="2169"/>
      <c r="G167" s="2169"/>
      <c r="H167" s="2169"/>
      <c r="I167" s="2169"/>
      <c r="J167" s="2169"/>
      <c r="K167" s="2169"/>
      <c r="L167" s="2169"/>
      <c r="M167" s="2169"/>
      <c r="N167" s="2169"/>
      <c r="O167" s="2169"/>
      <c r="P167" s="2169"/>
      <c r="Q167" s="2169"/>
      <c r="R167" s="2169"/>
      <c r="S167" s="2169"/>
      <c r="T167" s="2169"/>
      <c r="U167" s="2170"/>
    </row>
    <row r="168" spans="1:22" ht="31.5" customHeight="1" x14ac:dyDescent="0.2">
      <c r="A168" s="962" t="s">
        <v>8</v>
      </c>
      <c r="B168" s="963" t="s">
        <v>48</v>
      </c>
      <c r="C168" s="592" t="s">
        <v>8</v>
      </c>
      <c r="D168" s="894"/>
      <c r="E168" s="895" t="s">
        <v>218</v>
      </c>
      <c r="F168" s="532"/>
      <c r="G168" s="969" t="s">
        <v>53</v>
      </c>
      <c r="H168" s="1010" t="s">
        <v>195</v>
      </c>
      <c r="I168" s="761"/>
      <c r="J168" s="447"/>
      <c r="K168" s="879"/>
      <c r="L168" s="447"/>
      <c r="M168" s="1066"/>
      <c r="N168" s="482"/>
      <c r="O168" s="451"/>
      <c r="P168" s="1067"/>
      <c r="Q168" s="451"/>
      <c r="R168" s="295"/>
      <c r="S168" s="23"/>
      <c r="T168" s="23"/>
      <c r="U168" s="24"/>
    </row>
    <row r="169" spans="1:22" ht="14.25" customHeight="1" x14ac:dyDescent="0.2">
      <c r="A169" s="918"/>
      <c r="B169" s="919"/>
      <c r="C169" s="112"/>
      <c r="D169" s="933" t="s">
        <v>8</v>
      </c>
      <c r="E169" s="976" t="s">
        <v>196</v>
      </c>
      <c r="F169" s="984"/>
      <c r="G169" s="921"/>
      <c r="H169" s="1068"/>
      <c r="I169" s="496" t="s">
        <v>188</v>
      </c>
      <c r="J169" s="431">
        <v>347544</v>
      </c>
      <c r="K169" s="431">
        <v>762460</v>
      </c>
      <c r="L169" s="831">
        <v>290000</v>
      </c>
      <c r="M169" s="835">
        <v>290000</v>
      </c>
      <c r="N169" s="383"/>
      <c r="O169" s="384"/>
      <c r="P169" s="267">
        <v>290000</v>
      </c>
      <c r="Q169" s="234">
        <v>290000</v>
      </c>
      <c r="R169" s="2594" t="s">
        <v>97</v>
      </c>
      <c r="S169" s="659">
        <v>1.7</v>
      </c>
      <c r="T169" s="660">
        <v>1.2</v>
      </c>
      <c r="U169" s="661">
        <v>1.2</v>
      </c>
      <c r="V169" s="51"/>
    </row>
    <row r="170" spans="1:22" ht="26.25" customHeight="1" x14ac:dyDescent="0.2">
      <c r="A170" s="918"/>
      <c r="B170" s="919"/>
      <c r="C170" s="112"/>
      <c r="D170" s="933"/>
      <c r="E170" s="1037" t="s">
        <v>243</v>
      </c>
      <c r="F170" s="984"/>
      <c r="G170" s="921"/>
      <c r="H170" s="1011"/>
      <c r="I170" s="206" t="s">
        <v>188</v>
      </c>
      <c r="J170" s="326"/>
      <c r="K170" s="427">
        <v>345544</v>
      </c>
      <c r="L170" s="427"/>
      <c r="M170" s="323"/>
      <c r="N170" s="322"/>
      <c r="O170" s="506"/>
      <c r="P170" s="507"/>
      <c r="Q170" s="406"/>
      <c r="R170" s="2595"/>
      <c r="S170" s="469"/>
      <c r="T170" s="470"/>
      <c r="U170" s="471"/>
      <c r="V170" s="51"/>
    </row>
    <row r="171" spans="1:22" ht="25.5" customHeight="1" x14ac:dyDescent="0.2">
      <c r="A171" s="918"/>
      <c r="B171" s="919"/>
      <c r="C171" s="112"/>
      <c r="D171" s="933"/>
      <c r="E171" s="1037" t="s">
        <v>225</v>
      </c>
      <c r="F171" s="984"/>
      <c r="G171" s="921"/>
      <c r="H171" s="1011"/>
      <c r="I171" s="206"/>
      <c r="J171" s="326"/>
      <c r="K171" s="427"/>
      <c r="L171" s="427"/>
      <c r="M171" s="323"/>
      <c r="N171" s="322"/>
      <c r="O171" s="506"/>
      <c r="P171" s="507"/>
      <c r="Q171" s="406"/>
      <c r="R171" s="1027"/>
      <c r="S171" s="469"/>
      <c r="T171" s="470"/>
      <c r="U171" s="471"/>
      <c r="V171" s="51"/>
    </row>
    <row r="172" spans="1:22" ht="27.75" customHeight="1" x14ac:dyDescent="0.2">
      <c r="A172" s="918"/>
      <c r="B172" s="919"/>
      <c r="C172" s="112"/>
      <c r="D172" s="933"/>
      <c r="E172" s="1037" t="s">
        <v>226</v>
      </c>
      <c r="F172" s="984"/>
      <c r="G172" s="921"/>
      <c r="H172" s="1011"/>
      <c r="I172" s="206"/>
      <c r="J172" s="326"/>
      <c r="K172" s="427"/>
      <c r="L172" s="427"/>
      <c r="M172" s="323"/>
      <c r="N172" s="322"/>
      <c r="O172" s="506"/>
      <c r="P172" s="507"/>
      <c r="Q172" s="406"/>
      <c r="R172" s="1027"/>
      <c r="S172" s="469"/>
      <c r="T172" s="470"/>
      <c r="U172" s="471"/>
      <c r="V172" s="51"/>
    </row>
    <row r="173" spans="1:22" ht="14.25" customHeight="1" x14ac:dyDescent="0.2">
      <c r="A173" s="918"/>
      <c r="B173" s="919"/>
      <c r="C173" s="112"/>
      <c r="D173" s="933"/>
      <c r="E173" s="2614" t="s">
        <v>227</v>
      </c>
      <c r="F173" s="984"/>
      <c r="G173" s="921"/>
      <c r="H173" s="1011"/>
      <c r="I173" s="206" t="s">
        <v>40</v>
      </c>
      <c r="J173" s="427"/>
      <c r="K173" s="427"/>
      <c r="L173" s="427">
        <v>75200</v>
      </c>
      <c r="M173" s="323">
        <v>75200</v>
      </c>
      <c r="N173" s="322"/>
      <c r="O173" s="325"/>
      <c r="P173" s="507"/>
      <c r="Q173" s="406"/>
      <c r="R173" s="1069" t="s">
        <v>166</v>
      </c>
      <c r="S173" s="1070" t="s">
        <v>155</v>
      </c>
      <c r="T173" s="1070"/>
      <c r="U173" s="960"/>
      <c r="V173" s="51"/>
    </row>
    <row r="174" spans="1:22" ht="16.5" customHeight="1" x14ac:dyDescent="0.2">
      <c r="A174" s="918"/>
      <c r="B174" s="919"/>
      <c r="C174" s="112"/>
      <c r="D174" s="947"/>
      <c r="E174" s="2154"/>
      <c r="F174" s="984"/>
      <c r="G174" s="921"/>
      <c r="H174" s="1011"/>
      <c r="I174" s="119" t="s">
        <v>188</v>
      </c>
      <c r="J174" s="428">
        <v>61081</v>
      </c>
      <c r="K174" s="428">
        <v>0</v>
      </c>
      <c r="L174" s="428"/>
      <c r="M174" s="317"/>
      <c r="N174" s="316"/>
      <c r="O174" s="336"/>
      <c r="P174" s="416"/>
      <c r="Q174" s="337"/>
      <c r="R174" s="1071" t="s">
        <v>166</v>
      </c>
      <c r="S174" s="220" t="s">
        <v>155</v>
      </c>
      <c r="T174" s="220"/>
      <c r="U174" s="107"/>
      <c r="V174" s="51"/>
    </row>
    <row r="175" spans="1:22" ht="29.25" customHeight="1" x14ac:dyDescent="0.2">
      <c r="A175" s="1998"/>
      <c r="B175" s="1999"/>
      <c r="C175" s="2457"/>
      <c r="D175" s="636" t="s">
        <v>10</v>
      </c>
      <c r="E175" s="2016" t="s">
        <v>217</v>
      </c>
      <c r="F175" s="984"/>
      <c r="G175" s="921"/>
      <c r="H175" s="2512"/>
      <c r="I175" s="13" t="s">
        <v>188</v>
      </c>
      <c r="J175" s="427">
        <v>628475</v>
      </c>
      <c r="K175" s="612">
        <v>901747</v>
      </c>
      <c r="L175" s="427">
        <v>600000</v>
      </c>
      <c r="M175" s="323">
        <v>600000</v>
      </c>
      <c r="N175" s="322"/>
      <c r="O175" s="325"/>
      <c r="P175" s="269">
        <v>600000</v>
      </c>
      <c r="Q175" s="240">
        <v>600000</v>
      </c>
      <c r="R175" s="1024" t="s">
        <v>59</v>
      </c>
      <c r="S175" s="117" t="s">
        <v>216</v>
      </c>
      <c r="T175" s="117" t="s">
        <v>216</v>
      </c>
      <c r="U175" s="118" t="s">
        <v>216</v>
      </c>
    </row>
    <row r="176" spans="1:22" ht="26.25" customHeight="1" x14ac:dyDescent="0.2">
      <c r="A176" s="1998"/>
      <c r="B176" s="1999"/>
      <c r="C176" s="2457"/>
      <c r="D176" s="636"/>
      <c r="E176" s="2016"/>
      <c r="F176" s="984"/>
      <c r="G176" s="921"/>
      <c r="H176" s="2512"/>
      <c r="I176" s="13"/>
      <c r="J176" s="427"/>
      <c r="K176" s="612"/>
      <c r="L176" s="832"/>
      <c r="M176" s="836"/>
      <c r="N176" s="347"/>
      <c r="O176" s="390"/>
      <c r="P176" s="269"/>
      <c r="Q176" s="240"/>
      <c r="R176" s="845" t="s">
        <v>58</v>
      </c>
      <c r="S176" s="136" t="s">
        <v>215</v>
      </c>
      <c r="T176" s="136" t="s">
        <v>215</v>
      </c>
      <c r="U176" s="137" t="s">
        <v>215</v>
      </c>
    </row>
    <row r="177" spans="1:29" ht="16.5" customHeight="1" x14ac:dyDescent="0.2">
      <c r="A177" s="1998"/>
      <c r="B177" s="1999"/>
      <c r="C177" s="2457"/>
      <c r="D177" s="636"/>
      <c r="E177" s="2163"/>
      <c r="F177" s="984"/>
      <c r="G177" s="921"/>
      <c r="H177" s="2513"/>
      <c r="I177" s="485"/>
      <c r="J177" s="432"/>
      <c r="K177" s="432"/>
      <c r="L177" s="833"/>
      <c r="M177" s="358"/>
      <c r="N177" s="413"/>
      <c r="O177" s="387"/>
      <c r="P177" s="610"/>
      <c r="Q177" s="259"/>
      <c r="R177" s="194" t="s">
        <v>95</v>
      </c>
      <c r="S177" s="530" t="s">
        <v>130</v>
      </c>
      <c r="T177" s="530" t="s">
        <v>130</v>
      </c>
      <c r="U177" s="531" t="s">
        <v>130</v>
      </c>
    </row>
    <row r="178" spans="1:29" ht="17.25" customHeight="1" x14ac:dyDescent="0.2">
      <c r="A178" s="1998"/>
      <c r="B178" s="1999"/>
      <c r="C178" s="2457"/>
      <c r="D178" s="636"/>
      <c r="E178" s="2016" t="s">
        <v>75</v>
      </c>
      <c r="F178" s="984"/>
      <c r="G178" s="921"/>
      <c r="H178" s="2513"/>
      <c r="I178" s="206" t="s">
        <v>40</v>
      </c>
      <c r="J178" s="427">
        <v>144810</v>
      </c>
      <c r="K178" s="427">
        <v>144810</v>
      </c>
      <c r="L178" s="427">
        <v>144800</v>
      </c>
      <c r="M178" s="323">
        <v>144800</v>
      </c>
      <c r="N178" s="322"/>
      <c r="O178" s="325"/>
      <c r="P178" s="269">
        <v>300000</v>
      </c>
      <c r="Q178" s="240">
        <v>429200</v>
      </c>
      <c r="R178" s="2540" t="s">
        <v>57</v>
      </c>
      <c r="S178" s="197">
        <v>0.6</v>
      </c>
      <c r="T178" s="197">
        <v>1.3</v>
      </c>
      <c r="U178" s="198">
        <v>1.8</v>
      </c>
    </row>
    <row r="179" spans="1:29" ht="14.25" customHeight="1" x14ac:dyDescent="0.2">
      <c r="A179" s="1998"/>
      <c r="B179" s="1999"/>
      <c r="C179" s="2591"/>
      <c r="D179" s="637"/>
      <c r="E179" s="2344"/>
      <c r="F179" s="984"/>
      <c r="G179" s="921"/>
      <c r="H179" s="2513"/>
      <c r="I179" s="119"/>
      <c r="J179" s="425"/>
      <c r="K179" s="428"/>
      <c r="L179" s="428"/>
      <c r="M179" s="317"/>
      <c r="N179" s="316"/>
      <c r="O179" s="336"/>
      <c r="P179" s="263"/>
      <c r="Q179" s="235"/>
      <c r="R179" s="2541"/>
      <c r="S179" s="63"/>
      <c r="T179" s="63"/>
      <c r="U179" s="67"/>
    </row>
    <row r="180" spans="1:29" ht="15.75" customHeight="1" x14ac:dyDescent="0.2">
      <c r="A180" s="1998"/>
      <c r="B180" s="1999"/>
      <c r="C180" s="2457"/>
      <c r="D180" s="2494" t="s">
        <v>43</v>
      </c>
      <c r="E180" s="2144" t="s">
        <v>198</v>
      </c>
      <c r="F180" s="2224"/>
      <c r="G180" s="2013"/>
      <c r="H180" s="2583"/>
      <c r="I180" s="496" t="s">
        <v>99</v>
      </c>
      <c r="J180" s="478">
        <v>13033</v>
      </c>
      <c r="K180" s="602">
        <f>45/3.4528*1000</f>
        <v>13033</v>
      </c>
      <c r="L180" s="427">
        <f>M180</f>
        <v>336800</v>
      </c>
      <c r="M180" s="498">
        <v>336800</v>
      </c>
      <c r="N180" s="322"/>
      <c r="O180" s="331"/>
      <c r="P180" s="609">
        <v>50000</v>
      </c>
      <c r="Q180" s="332">
        <v>50000</v>
      </c>
      <c r="R180" s="841" t="s">
        <v>56</v>
      </c>
      <c r="S180" s="470">
        <v>2.9</v>
      </c>
      <c r="T180" s="470">
        <v>1.7</v>
      </c>
      <c r="U180" s="471">
        <v>1.7</v>
      </c>
    </row>
    <row r="181" spans="1:29" ht="14.25" customHeight="1" x14ac:dyDescent="0.2">
      <c r="A181" s="1998"/>
      <c r="B181" s="1999"/>
      <c r="C181" s="2457"/>
      <c r="D181" s="2472"/>
      <c r="E181" s="2144"/>
      <c r="F181" s="2224"/>
      <c r="G181" s="2013"/>
      <c r="H181" s="2583"/>
      <c r="I181" s="206" t="s">
        <v>40</v>
      </c>
      <c r="J181" s="304"/>
      <c r="K181" s="613"/>
      <c r="L181" s="427">
        <f>M181</f>
        <v>121700</v>
      </c>
      <c r="M181" s="323">
        <v>121700</v>
      </c>
      <c r="N181" s="322"/>
      <c r="O181" s="325"/>
      <c r="P181" s="507"/>
      <c r="Q181" s="406"/>
      <c r="R181" s="841"/>
      <c r="S181" s="470"/>
      <c r="T181" s="470"/>
      <c r="U181" s="471"/>
    </row>
    <row r="182" spans="1:29" ht="15.75" customHeight="1" x14ac:dyDescent="0.2">
      <c r="A182" s="2116"/>
      <c r="B182" s="2119"/>
      <c r="C182" s="2462"/>
      <c r="D182" s="2495"/>
      <c r="E182" s="2475"/>
      <c r="F182" s="2225"/>
      <c r="G182" s="2226"/>
      <c r="H182" s="2584"/>
      <c r="I182" s="119" t="s">
        <v>188</v>
      </c>
      <c r="J182" s="606">
        <v>131777</v>
      </c>
      <c r="K182" s="614">
        <v>418273</v>
      </c>
      <c r="L182" s="428">
        <v>120000</v>
      </c>
      <c r="M182" s="317">
        <v>120000</v>
      </c>
      <c r="N182" s="316"/>
      <c r="O182" s="336"/>
      <c r="P182" s="416">
        <v>130000</v>
      </c>
      <c r="Q182" s="337">
        <v>130000</v>
      </c>
      <c r="R182" s="842"/>
      <c r="S182" s="106"/>
      <c r="T182" s="106"/>
      <c r="U182" s="107"/>
    </row>
    <row r="183" spans="1:29" ht="17.25" customHeight="1" x14ac:dyDescent="0.2">
      <c r="A183" s="918"/>
      <c r="B183" s="919"/>
      <c r="C183" s="995"/>
      <c r="D183" s="933" t="s">
        <v>48</v>
      </c>
      <c r="E183" s="2199" t="s">
        <v>197</v>
      </c>
      <c r="F183" s="984"/>
      <c r="G183" s="921"/>
      <c r="H183" s="951"/>
      <c r="I183" s="13" t="s">
        <v>40</v>
      </c>
      <c r="J183" s="613">
        <v>52711</v>
      </c>
      <c r="K183" s="613">
        <f>52711+28897+32954</f>
        <v>114562</v>
      </c>
      <c r="L183" s="427">
        <v>109600</v>
      </c>
      <c r="M183" s="909">
        <v>109600</v>
      </c>
      <c r="N183" s="1072"/>
      <c r="O183" s="506"/>
      <c r="P183" s="326">
        <v>118900</v>
      </c>
      <c r="Q183" s="264">
        <v>118900</v>
      </c>
      <c r="R183" s="2539" t="s">
        <v>199</v>
      </c>
      <c r="S183" s="910">
        <v>18</v>
      </c>
      <c r="T183" s="674">
        <v>18</v>
      </c>
      <c r="U183" s="638">
        <v>18</v>
      </c>
      <c r="V183" s="2103"/>
      <c r="W183" s="2221"/>
      <c r="X183" s="2221"/>
      <c r="Y183" s="2221"/>
      <c r="Z183" s="2221"/>
      <c r="AA183" s="2221"/>
      <c r="AB183" s="2221"/>
      <c r="AC183" s="2221"/>
    </row>
    <row r="184" spans="1:29" ht="15.75" customHeight="1" x14ac:dyDescent="0.2">
      <c r="A184" s="918"/>
      <c r="B184" s="919"/>
      <c r="C184" s="995"/>
      <c r="D184" s="947"/>
      <c r="E184" s="2538"/>
      <c r="F184" s="984"/>
      <c r="G184" s="921"/>
      <c r="H184" s="533"/>
      <c r="I184" s="79"/>
      <c r="J184" s="606"/>
      <c r="K184" s="614"/>
      <c r="L184" s="428"/>
      <c r="M184" s="837"/>
      <c r="N184" s="536"/>
      <c r="O184" s="408"/>
      <c r="P184" s="896"/>
      <c r="Q184" s="684"/>
      <c r="R184" s="2433"/>
      <c r="S184" s="607"/>
      <c r="T184" s="129"/>
      <c r="U184" s="608"/>
      <c r="V184" s="2104"/>
      <c r="W184" s="2221"/>
      <c r="X184" s="2221"/>
      <c r="Y184" s="2221"/>
      <c r="Z184" s="2221"/>
      <c r="AA184" s="2221"/>
      <c r="AB184" s="2221"/>
      <c r="AC184" s="2221"/>
    </row>
    <row r="185" spans="1:29" ht="21" customHeight="1" x14ac:dyDescent="0.2">
      <c r="A185" s="918"/>
      <c r="B185" s="919"/>
      <c r="C185" s="995"/>
      <c r="D185" s="1013" t="s">
        <v>49</v>
      </c>
      <c r="E185" s="955" t="s">
        <v>55</v>
      </c>
      <c r="F185" s="1034"/>
      <c r="G185" s="957"/>
      <c r="H185" s="1022"/>
      <c r="I185" s="79" t="s">
        <v>188</v>
      </c>
      <c r="J185" s="433">
        <v>92012</v>
      </c>
      <c r="K185" s="433">
        <v>92012</v>
      </c>
      <c r="L185" s="359">
        <v>92100</v>
      </c>
      <c r="M185" s="317">
        <v>92100</v>
      </c>
      <c r="N185" s="316"/>
      <c r="O185" s="408"/>
      <c r="P185" s="416">
        <v>92100</v>
      </c>
      <c r="Q185" s="337">
        <v>92100</v>
      </c>
      <c r="R185" s="842" t="s">
        <v>77</v>
      </c>
      <c r="S185" s="106">
        <v>14</v>
      </c>
      <c r="T185" s="106">
        <v>14</v>
      </c>
      <c r="U185" s="107">
        <v>14</v>
      </c>
    </row>
    <row r="186" spans="1:29" ht="14.25" customHeight="1" thickBot="1" x14ac:dyDescent="0.25">
      <c r="A186" s="305"/>
      <c r="B186" s="982"/>
      <c r="C186" s="1044"/>
      <c r="D186" s="109"/>
      <c r="E186" s="787"/>
      <c r="F186" s="788"/>
      <c r="G186" s="109"/>
      <c r="H186" s="2487" t="s">
        <v>91</v>
      </c>
      <c r="I186" s="2488"/>
      <c r="J186" s="795">
        <f t="shared" ref="J186:Q186" si="17">SUM(J169:J185)</f>
        <v>1471443</v>
      </c>
      <c r="K186" s="897">
        <f t="shared" si="17"/>
        <v>2792441</v>
      </c>
      <c r="L186" s="796">
        <f t="shared" si="17"/>
        <v>1890200</v>
      </c>
      <c r="M186" s="834">
        <f t="shared" si="17"/>
        <v>1890200</v>
      </c>
      <c r="N186" s="834">
        <f t="shared" si="17"/>
        <v>0</v>
      </c>
      <c r="O186" s="797">
        <f t="shared" si="17"/>
        <v>0</v>
      </c>
      <c r="P186" s="795">
        <f t="shared" si="17"/>
        <v>1581000</v>
      </c>
      <c r="Q186" s="897">
        <f t="shared" si="17"/>
        <v>1710200</v>
      </c>
      <c r="R186" s="789"/>
      <c r="S186" s="103"/>
      <c r="T186" s="763"/>
      <c r="U186" s="104"/>
      <c r="V186" s="395"/>
      <c r="W186" s="395"/>
      <c r="X186" s="395"/>
      <c r="Y186" s="395"/>
      <c r="Z186" s="395"/>
      <c r="AA186" s="395"/>
    </row>
    <row r="187" spans="1:29" ht="24" customHeight="1" x14ac:dyDescent="0.2">
      <c r="A187" s="927" t="s">
        <v>8</v>
      </c>
      <c r="B187" s="919" t="s">
        <v>48</v>
      </c>
      <c r="C187" s="196" t="s">
        <v>10</v>
      </c>
      <c r="D187" s="2472"/>
      <c r="E187" s="2567" t="s">
        <v>304</v>
      </c>
      <c r="F187" s="2568"/>
      <c r="G187" s="2463" t="s">
        <v>63</v>
      </c>
      <c r="H187" s="2570" t="s">
        <v>101</v>
      </c>
      <c r="I187" s="41" t="s">
        <v>188</v>
      </c>
      <c r="J187" s="846">
        <v>8689</v>
      </c>
      <c r="K187" s="911">
        <v>0</v>
      </c>
      <c r="L187" s="580"/>
      <c r="M187" s="790"/>
      <c r="N187" s="790"/>
      <c r="O187" s="581"/>
      <c r="P187" s="847">
        <v>203000</v>
      </c>
      <c r="Q187" s="794"/>
      <c r="R187" s="1023" t="s">
        <v>234</v>
      </c>
      <c r="S187" s="674">
        <v>1</v>
      </c>
      <c r="T187" s="675"/>
      <c r="U187" s="638"/>
      <c r="V187" s="395"/>
      <c r="W187" s="395"/>
      <c r="X187" s="395"/>
      <c r="Y187" s="395"/>
      <c r="Z187" s="395"/>
      <c r="AA187" s="395"/>
    </row>
    <row r="188" spans="1:29" ht="15" customHeight="1" x14ac:dyDescent="0.2">
      <c r="A188" s="927"/>
      <c r="B188" s="919"/>
      <c r="C188" s="196"/>
      <c r="D188" s="2472"/>
      <c r="E188" s="2567"/>
      <c r="F188" s="2568"/>
      <c r="G188" s="2250"/>
      <c r="H188" s="2571"/>
      <c r="I188" s="206" t="s">
        <v>40</v>
      </c>
      <c r="J188" s="613"/>
      <c r="K188" s="303"/>
      <c r="L188" s="427">
        <v>30000</v>
      </c>
      <c r="M188" s="322"/>
      <c r="N188" s="323"/>
      <c r="O188" s="325">
        <v>30000</v>
      </c>
      <c r="P188" s="507"/>
      <c r="Q188" s="406"/>
      <c r="R188" s="149" t="s">
        <v>235</v>
      </c>
      <c r="S188" s="513"/>
      <c r="T188" s="513">
        <v>100</v>
      </c>
      <c r="U188" s="901"/>
    </row>
    <row r="189" spans="1:29" ht="18" customHeight="1" x14ac:dyDescent="0.2">
      <c r="A189" s="927"/>
      <c r="B189" s="919"/>
      <c r="C189" s="819"/>
      <c r="D189" s="2472"/>
      <c r="E189" s="2567"/>
      <c r="F189" s="2568"/>
      <c r="G189" s="2250"/>
      <c r="H189" s="2571"/>
      <c r="I189" s="79"/>
      <c r="J189" s="614"/>
      <c r="K189" s="476"/>
      <c r="L189" s="428"/>
      <c r="M189" s="317"/>
      <c r="N189" s="317"/>
      <c r="O189" s="336"/>
      <c r="P189" s="416"/>
      <c r="Q189" s="337"/>
      <c r="R189" s="2211" t="s">
        <v>276</v>
      </c>
      <c r="S189" s="986"/>
      <c r="T189" s="986">
        <v>100</v>
      </c>
      <c r="U189" s="638"/>
    </row>
    <row r="190" spans="1:29" ht="17.25" customHeight="1" thickBot="1" x14ac:dyDescent="0.25">
      <c r="A190" s="305"/>
      <c r="B190" s="982"/>
      <c r="C190" s="764"/>
      <c r="D190" s="640"/>
      <c r="E190" s="639"/>
      <c r="F190" s="2569"/>
      <c r="G190" s="2251"/>
      <c r="H190" s="59"/>
      <c r="I190" s="81" t="s">
        <v>9</v>
      </c>
      <c r="J190" s="239">
        <f>SUM(J187:J189)</f>
        <v>8689</v>
      </c>
      <c r="K190" s="238">
        <f t="shared" ref="K190:Q190" si="18">SUM(K187:K189)</f>
        <v>0</v>
      </c>
      <c r="L190" s="848">
        <f t="shared" si="18"/>
        <v>30000</v>
      </c>
      <c r="M190" s="391">
        <f t="shared" si="18"/>
        <v>0</v>
      </c>
      <c r="N190" s="849">
        <f t="shared" si="18"/>
        <v>0</v>
      </c>
      <c r="O190" s="900">
        <f t="shared" si="18"/>
        <v>30000</v>
      </c>
      <c r="P190" s="239">
        <f t="shared" si="18"/>
        <v>203000</v>
      </c>
      <c r="Q190" s="238">
        <f t="shared" si="18"/>
        <v>0</v>
      </c>
      <c r="R190" s="2162"/>
      <c r="S190" s="642"/>
      <c r="T190" s="642"/>
      <c r="U190" s="71"/>
    </row>
    <row r="191" spans="1:29" ht="14.25" customHeight="1" thickBot="1" x14ac:dyDescent="0.25">
      <c r="A191" s="305" t="s">
        <v>8</v>
      </c>
      <c r="B191" s="982" t="s">
        <v>48</v>
      </c>
      <c r="C191" s="2232" t="s">
        <v>11</v>
      </c>
      <c r="D191" s="2232"/>
      <c r="E191" s="2232"/>
      <c r="F191" s="2232"/>
      <c r="G191" s="2232"/>
      <c r="H191" s="2147"/>
      <c r="I191" s="2148"/>
      <c r="J191" s="401">
        <f>J190+J186</f>
        <v>1480132</v>
      </c>
      <c r="K191" s="246">
        <f t="shared" ref="K191:Q191" si="19">K190+K186</f>
        <v>2792441</v>
      </c>
      <c r="L191" s="902">
        <f>L190+L186</f>
        <v>1920200</v>
      </c>
      <c r="M191" s="905">
        <f t="shared" si="19"/>
        <v>1890200</v>
      </c>
      <c r="N191" s="899">
        <f t="shared" si="19"/>
        <v>0</v>
      </c>
      <c r="O191" s="903">
        <f t="shared" si="19"/>
        <v>30000</v>
      </c>
      <c r="P191" s="401">
        <f t="shared" si="19"/>
        <v>1784000</v>
      </c>
      <c r="Q191" s="246">
        <f t="shared" si="19"/>
        <v>1710200</v>
      </c>
      <c r="R191" s="2213"/>
      <c r="S191" s="2166"/>
      <c r="T191" s="2166"/>
      <c r="U191" s="2167"/>
    </row>
    <row r="192" spans="1:29" ht="14.25" customHeight="1" thickBot="1" x14ac:dyDescent="0.25">
      <c r="A192" s="93" t="s">
        <v>8</v>
      </c>
      <c r="B192" s="2233" t="s">
        <v>12</v>
      </c>
      <c r="C192" s="2234"/>
      <c r="D192" s="2234"/>
      <c r="E192" s="2234"/>
      <c r="F192" s="2234"/>
      <c r="G192" s="2234"/>
      <c r="H192" s="2234"/>
      <c r="I192" s="2235"/>
      <c r="J192" s="466">
        <f t="shared" ref="J192:Q192" si="20">J191+J166+J127+J108</f>
        <v>12375331</v>
      </c>
      <c r="K192" s="791">
        <f t="shared" si="20"/>
        <v>13382145</v>
      </c>
      <c r="L192" s="643">
        <f t="shared" si="20"/>
        <v>14611500</v>
      </c>
      <c r="M192" s="906">
        <f t="shared" si="20"/>
        <v>8979700</v>
      </c>
      <c r="N192" s="898">
        <f t="shared" si="20"/>
        <v>0</v>
      </c>
      <c r="O192" s="644">
        <f t="shared" si="20"/>
        <v>5631750</v>
      </c>
      <c r="P192" s="466">
        <f t="shared" si="20"/>
        <v>15560200</v>
      </c>
      <c r="Q192" s="791">
        <f t="shared" si="20"/>
        <v>23359400</v>
      </c>
      <c r="R192" s="2236"/>
      <c r="S192" s="2237"/>
      <c r="T192" s="2237"/>
      <c r="U192" s="2238"/>
    </row>
    <row r="193" spans="1:37" ht="14.25" customHeight="1" thickBot="1" x14ac:dyDescent="0.25">
      <c r="A193" s="62" t="s">
        <v>51</v>
      </c>
      <c r="B193" s="2239" t="s">
        <v>82</v>
      </c>
      <c r="C193" s="2240"/>
      <c r="D193" s="2240"/>
      <c r="E193" s="2240"/>
      <c r="F193" s="2240"/>
      <c r="G193" s="2240"/>
      <c r="H193" s="2240"/>
      <c r="I193" s="2241"/>
      <c r="J193" s="467">
        <f>SUM(J192)</f>
        <v>12375331</v>
      </c>
      <c r="K193" s="792">
        <f t="shared" ref="K193:Q193" si="21">SUM(K192)</f>
        <v>13382145</v>
      </c>
      <c r="L193" s="467">
        <f t="shared" si="21"/>
        <v>14611500</v>
      </c>
      <c r="M193" s="490">
        <f t="shared" si="21"/>
        <v>8979700</v>
      </c>
      <c r="N193" s="490">
        <f t="shared" si="21"/>
        <v>0</v>
      </c>
      <c r="O193" s="553">
        <f t="shared" si="21"/>
        <v>5631750</v>
      </c>
      <c r="P193" s="793">
        <f t="shared" si="21"/>
        <v>15560200</v>
      </c>
      <c r="Q193" s="792">
        <f t="shared" si="21"/>
        <v>23359400</v>
      </c>
      <c r="R193" s="2242"/>
      <c r="S193" s="2243"/>
      <c r="T193" s="2243"/>
      <c r="U193" s="2244"/>
    </row>
    <row r="194" spans="1:37" s="15" customFormat="1" ht="13.5" customHeight="1" x14ac:dyDescent="0.2">
      <c r="A194" s="2566"/>
      <c r="B194" s="2566"/>
      <c r="C194" s="2566"/>
      <c r="D194" s="2566"/>
      <c r="E194" s="2566"/>
      <c r="F194" s="2566"/>
      <c r="G194" s="2566"/>
      <c r="H194" s="2566"/>
      <c r="I194" s="2566"/>
      <c r="J194" s="2566"/>
      <c r="K194" s="2566"/>
      <c r="L194" s="2566"/>
      <c r="M194" s="2566"/>
      <c r="N194" s="2566"/>
      <c r="O194" s="2566"/>
      <c r="P194" s="2566"/>
      <c r="Q194" s="2566"/>
      <c r="R194" s="2566"/>
      <c r="S194" s="2566"/>
      <c r="T194" s="2566"/>
      <c r="U194" s="2566"/>
      <c r="V194" s="14"/>
      <c r="W194" s="14"/>
      <c r="X194" s="14"/>
      <c r="Y194" s="14"/>
      <c r="Z194" s="14"/>
      <c r="AA194" s="14"/>
      <c r="AB194" s="14"/>
      <c r="AC194" s="14"/>
      <c r="AD194" s="14"/>
      <c r="AE194" s="14"/>
      <c r="AF194" s="14"/>
      <c r="AG194" s="14"/>
      <c r="AH194" s="14"/>
      <c r="AI194" s="14"/>
      <c r="AJ194" s="14"/>
      <c r="AK194" s="14"/>
    </row>
    <row r="195" spans="1:37" s="15" customFormat="1" ht="15" customHeight="1" thickBot="1" x14ac:dyDescent="0.25">
      <c r="A195" s="2284" t="s">
        <v>17</v>
      </c>
      <c r="B195" s="2284"/>
      <c r="C195" s="2284"/>
      <c r="D195" s="2284"/>
      <c r="E195" s="2284"/>
      <c r="F195" s="2284"/>
      <c r="G195" s="2284"/>
      <c r="H195" s="2284"/>
      <c r="I195" s="2284"/>
      <c r="J195" s="2284"/>
      <c r="K195" s="2284"/>
      <c r="L195" s="2284"/>
      <c r="M195" s="2284"/>
      <c r="N195" s="2284"/>
      <c r="O195" s="2284"/>
      <c r="P195" s="2284"/>
      <c r="Q195" s="2284"/>
      <c r="R195" s="5"/>
      <c r="S195" s="5"/>
      <c r="T195" s="5"/>
      <c r="U195" s="5"/>
      <c r="V195" s="14"/>
      <c r="W195" s="14"/>
      <c r="X195" s="14"/>
      <c r="Y195" s="14"/>
      <c r="Z195" s="14"/>
      <c r="AA195" s="14"/>
      <c r="AB195" s="14"/>
      <c r="AC195" s="14"/>
      <c r="AD195" s="14"/>
      <c r="AE195" s="14"/>
      <c r="AF195" s="14"/>
      <c r="AG195" s="14"/>
      <c r="AH195" s="14"/>
      <c r="AI195" s="14"/>
      <c r="AJ195" s="14"/>
      <c r="AK195" s="14"/>
    </row>
    <row r="196" spans="1:37" ht="48" customHeight="1" thickBot="1" x14ac:dyDescent="0.25">
      <c r="A196" s="2285" t="s">
        <v>13</v>
      </c>
      <c r="B196" s="2286"/>
      <c r="C196" s="2286"/>
      <c r="D196" s="2286"/>
      <c r="E196" s="2286"/>
      <c r="F196" s="2286"/>
      <c r="G196" s="2286"/>
      <c r="H196" s="2286"/>
      <c r="I196" s="2287"/>
      <c r="J196" s="419" t="s">
        <v>157</v>
      </c>
      <c r="K196" s="419" t="s">
        <v>189</v>
      </c>
      <c r="L196" s="2527" t="s">
        <v>190</v>
      </c>
      <c r="M196" s="2528"/>
      <c r="N196" s="2528"/>
      <c r="O196" s="2529"/>
      <c r="P196" s="20" t="s">
        <v>124</v>
      </c>
      <c r="Q196" s="20" t="s">
        <v>193</v>
      </c>
    </row>
    <row r="197" spans="1:37" ht="14.25" customHeight="1" x14ac:dyDescent="0.2">
      <c r="A197" s="2288" t="s">
        <v>18</v>
      </c>
      <c r="B197" s="2289"/>
      <c r="C197" s="2289"/>
      <c r="D197" s="2289"/>
      <c r="E197" s="2289"/>
      <c r="F197" s="2289"/>
      <c r="G197" s="2289"/>
      <c r="H197" s="2289"/>
      <c r="I197" s="2290"/>
      <c r="J197" s="1025">
        <f>J198+J204+J205+J206</f>
        <v>6864297</v>
      </c>
      <c r="K197" s="1025">
        <f>K198+K204+K205+K206</f>
        <v>10636547</v>
      </c>
      <c r="L197" s="2560">
        <f>L198+L204+L205+L206</f>
        <v>13738700</v>
      </c>
      <c r="M197" s="2561"/>
      <c r="N197" s="2561"/>
      <c r="O197" s="2562"/>
      <c r="P197" s="248">
        <f>P198+P205+P206+P204</f>
        <v>14308100</v>
      </c>
      <c r="Q197" s="248">
        <f>Q198+Q205+Q206+Q204</f>
        <v>17425300</v>
      </c>
    </row>
    <row r="198" spans="1:37" ht="14.25" customHeight="1" x14ac:dyDescent="0.2">
      <c r="A198" s="2229" t="s">
        <v>153</v>
      </c>
      <c r="B198" s="2230"/>
      <c r="C198" s="2230"/>
      <c r="D198" s="2230"/>
      <c r="E198" s="2230"/>
      <c r="F198" s="2230"/>
      <c r="G198" s="2230"/>
      <c r="H198" s="2230"/>
      <c r="I198" s="2231"/>
      <c r="J198" s="1026">
        <f>SUM(J199:J202)</f>
        <v>6539615</v>
      </c>
      <c r="K198" s="1026">
        <f>SUM(K199:K203)</f>
        <v>10254465</v>
      </c>
      <c r="L198" s="2563">
        <f>SUM(L199:O203)</f>
        <v>13734300</v>
      </c>
      <c r="M198" s="2564"/>
      <c r="N198" s="2564"/>
      <c r="O198" s="2565"/>
      <c r="P198" s="249">
        <f>SUM(P199:P203)</f>
        <v>14308100</v>
      </c>
      <c r="Q198" s="249">
        <f>SUM(Q199:Q203)</f>
        <v>17425300</v>
      </c>
    </row>
    <row r="199" spans="1:37" ht="14.25" customHeight="1" x14ac:dyDescent="0.2">
      <c r="A199" s="2280" t="s">
        <v>33</v>
      </c>
      <c r="B199" s="2281"/>
      <c r="C199" s="2281"/>
      <c r="D199" s="2281"/>
      <c r="E199" s="2281"/>
      <c r="F199" s="2281"/>
      <c r="G199" s="2281"/>
      <c r="H199" s="2281"/>
      <c r="I199" s="2282"/>
      <c r="J199" s="1033">
        <f>SUMIF(I13:I193,"SB",J13:J193)</f>
        <v>5325214</v>
      </c>
      <c r="K199" s="1033">
        <f>SUMIF(I13:I193,"SB",K13:K193)</f>
        <v>5353519</v>
      </c>
      <c r="L199" s="2585">
        <f>SUMIF(I13:I193,"SB",L13:L193)</f>
        <v>8181200</v>
      </c>
      <c r="M199" s="2586"/>
      <c r="N199" s="2586"/>
      <c r="O199" s="2587"/>
      <c r="P199" s="250">
        <f>SUMIF(I13:I193,"SB",P13:P193)</f>
        <v>6573600</v>
      </c>
      <c r="Q199" s="250">
        <f>SUMIF(I13:I193,"SB",Q13:Q193)</f>
        <v>6912400</v>
      </c>
      <c r="R199" s="49"/>
    </row>
    <row r="200" spans="1:37" ht="14.25" customHeight="1" x14ac:dyDescent="0.2">
      <c r="A200" s="2262" t="s">
        <v>34</v>
      </c>
      <c r="B200" s="2263"/>
      <c r="C200" s="2263"/>
      <c r="D200" s="2263"/>
      <c r="E200" s="2263"/>
      <c r="F200" s="2263"/>
      <c r="G200" s="2263"/>
      <c r="H200" s="2263"/>
      <c r="I200" s="2264"/>
      <c r="J200" s="1030">
        <f>SUMIF(I13:I193,"SB(P)",J13:J193)</f>
        <v>120829</v>
      </c>
      <c r="K200" s="1030">
        <f>SUMIF(I13:I193,"SB(P)",K13:K193)</f>
        <v>120829</v>
      </c>
      <c r="L200" s="2575">
        <f>SUMIF(I13:I193,"SB(P)",L13:L193)</f>
        <v>0</v>
      </c>
      <c r="M200" s="2576"/>
      <c r="N200" s="2576"/>
      <c r="O200" s="2577"/>
      <c r="P200" s="251">
        <f>SUMIF(I13:I193,"SB(P)",P13:P193)</f>
        <v>70000</v>
      </c>
      <c r="Q200" s="251">
        <f>SUMIF(I13:I193,"SB(P)",Q13:Q193)</f>
        <v>3000</v>
      </c>
      <c r="R200" s="49"/>
    </row>
    <row r="201" spans="1:37" ht="14.25" customHeight="1" x14ac:dyDescent="0.2">
      <c r="A201" s="2262" t="s">
        <v>100</v>
      </c>
      <c r="B201" s="2263"/>
      <c r="C201" s="2263"/>
      <c r="D201" s="2263"/>
      <c r="E201" s="2263"/>
      <c r="F201" s="2263"/>
      <c r="G201" s="2263"/>
      <c r="H201" s="2263"/>
      <c r="I201" s="2264"/>
      <c r="J201" s="1030">
        <f>SUMIF(I14:I193,"SB(VR)",J14:J193)</f>
        <v>1084598</v>
      </c>
      <c r="K201" s="1030">
        <f>SUMIF(I13:I193,"SB(VR)",K13:K193)</f>
        <v>1084598</v>
      </c>
      <c r="L201" s="2585">
        <f>SUMIF(I13:I193,"SB(VR)",L13:L193)</f>
        <v>1309300</v>
      </c>
      <c r="M201" s="2586"/>
      <c r="N201" s="2586"/>
      <c r="O201" s="2587"/>
      <c r="P201" s="250">
        <f>SUMIF(I13:I193,"SB(VR)",P13:P193)</f>
        <v>894200</v>
      </c>
      <c r="Q201" s="250">
        <f>SUMIF(I13:I193,"SB(VR)",Q13:Q193)</f>
        <v>707200</v>
      </c>
      <c r="R201" s="49"/>
    </row>
    <row r="202" spans="1:37" ht="14.25" customHeight="1" x14ac:dyDescent="0.2">
      <c r="A202" s="2259" t="s">
        <v>115</v>
      </c>
      <c r="B202" s="2260"/>
      <c r="C202" s="2260"/>
      <c r="D202" s="2260"/>
      <c r="E202" s="2260"/>
      <c r="F202" s="2260"/>
      <c r="G202" s="2260"/>
      <c r="H202" s="2260"/>
      <c r="I202" s="2261"/>
      <c r="J202" s="1030">
        <f>SUMIF(I11:I191,"SB(L)",J11:J191)</f>
        <v>8974</v>
      </c>
      <c r="K202" s="1030">
        <f>SUMIF(I11:I191,"SB(L)",K11:K191)</f>
        <v>8974</v>
      </c>
      <c r="L202" s="2575">
        <f>SUMIF(I11:I191,"SB(L)",L11:L191)</f>
        <v>36700</v>
      </c>
      <c r="M202" s="2576"/>
      <c r="N202" s="2576"/>
      <c r="O202" s="2577"/>
      <c r="P202" s="251">
        <f>SUMIF(I12:I191,"SB(L)",P12:P191)</f>
        <v>36700</v>
      </c>
      <c r="Q202" s="251">
        <f>SUMIF(I12:I191,"SB(L)",Q12:Q191)</f>
        <v>36700</v>
      </c>
    </row>
    <row r="203" spans="1:37" ht="14.25" customHeight="1" x14ac:dyDescent="0.2">
      <c r="A203" s="2259" t="s">
        <v>186</v>
      </c>
      <c r="B203" s="2260"/>
      <c r="C203" s="2260"/>
      <c r="D203" s="2260"/>
      <c r="E203" s="2260"/>
      <c r="F203" s="2260"/>
      <c r="G203" s="2260"/>
      <c r="H203" s="2260"/>
      <c r="I203" s="2261"/>
      <c r="J203" s="1030"/>
      <c r="K203" s="1030">
        <f>SUMIF(I12:I192,"SB(KPP)",K12:K192)</f>
        <v>3686545</v>
      </c>
      <c r="L203" s="2575">
        <f>SUMIF(I12:I192,"SB(KPP)",L12:L192)</f>
        <v>4207100</v>
      </c>
      <c r="M203" s="2576"/>
      <c r="N203" s="2576"/>
      <c r="O203" s="2577"/>
      <c r="P203" s="251">
        <f>SUMIF(I13:I192,"SB(KPP)",P13:P192)</f>
        <v>6733600</v>
      </c>
      <c r="Q203" s="251">
        <f>SUMIF(I13:I192,"SB(KPP)",Q13:Q192)</f>
        <v>9766000</v>
      </c>
      <c r="R203" s="535"/>
    </row>
    <row r="204" spans="1:37" ht="14.25" customHeight="1" x14ac:dyDescent="0.2">
      <c r="A204" s="2268" t="s">
        <v>184</v>
      </c>
      <c r="B204" s="2269"/>
      <c r="C204" s="2269"/>
      <c r="D204" s="2269"/>
      <c r="E204" s="2269"/>
      <c r="F204" s="2269"/>
      <c r="G204" s="2269"/>
      <c r="H204" s="2269"/>
      <c r="I204" s="2270"/>
      <c r="J204" s="1029">
        <f>SUMIF(I12:I192,"SB(VRL)",J12:J192)</f>
        <v>72307</v>
      </c>
      <c r="K204" s="1029">
        <f>SUMIF(I12:I192,"SB(VRL)",K12:K192)</f>
        <v>72307</v>
      </c>
      <c r="L204" s="2572">
        <f>SUMIF(I12:I192,"SB(VRL)",L12:L192)</f>
        <v>4400</v>
      </c>
      <c r="M204" s="2573"/>
      <c r="N204" s="2573"/>
      <c r="O204" s="2574"/>
      <c r="P204" s="237">
        <f>SUMIF(I13:I192,"SB(VRL)",P13:P192)</f>
        <v>0</v>
      </c>
      <c r="Q204" s="237">
        <f>SUMIF(I13:I192,"SB(VRL)",Q13:Q192)</f>
        <v>0</v>
      </c>
    </row>
    <row r="205" spans="1:37" ht="14.25" customHeight="1" x14ac:dyDescent="0.2">
      <c r="A205" s="2271" t="s">
        <v>185</v>
      </c>
      <c r="B205" s="2269"/>
      <c r="C205" s="2269"/>
      <c r="D205" s="2269"/>
      <c r="E205" s="2269"/>
      <c r="F205" s="2269"/>
      <c r="G205" s="2269"/>
      <c r="H205" s="2269"/>
      <c r="I205" s="2270"/>
      <c r="J205" s="1029">
        <f>SUMIF(I13:I193,"SB(ŽPL)",J13:J193)</f>
        <v>252375</v>
      </c>
      <c r="K205" s="1029">
        <f>SUMIF(I13:I193,"SB(ŽPL)",K13:K193)</f>
        <v>309775</v>
      </c>
      <c r="L205" s="2572">
        <f>SUMIF(I13:I193,"SB(ŽPL)",L13:L193)</f>
        <v>0</v>
      </c>
      <c r="M205" s="2573"/>
      <c r="N205" s="2573"/>
      <c r="O205" s="2574"/>
      <c r="P205" s="237">
        <f>SUMIF(I13:I193,"SB(ŽPL)",P13:P193)</f>
        <v>0</v>
      </c>
      <c r="Q205" s="237">
        <f>SUMIF(I13:I193,"SB(ŽPL)",Q13:Q193)</f>
        <v>0</v>
      </c>
      <c r="R205" s="49"/>
    </row>
    <row r="206" spans="1:37" ht="14.25" customHeight="1" x14ac:dyDescent="0.2">
      <c r="A206" s="2271" t="s">
        <v>110</v>
      </c>
      <c r="B206" s="2272"/>
      <c r="C206" s="2272"/>
      <c r="D206" s="2272"/>
      <c r="E206" s="2272"/>
      <c r="F206" s="2272"/>
      <c r="G206" s="2272"/>
      <c r="H206" s="2272"/>
      <c r="I206" s="2273"/>
      <c r="J206" s="1029">
        <f>SUMIF(I14:I193,"PF",J14:J193)</f>
        <v>0</v>
      </c>
      <c r="K206" s="1029">
        <f>SUMIF(I14:I193,"PF",K14:K193)</f>
        <v>0</v>
      </c>
      <c r="L206" s="2572">
        <f>SUMIF(I14:I193,"PF",L14:L193)</f>
        <v>0</v>
      </c>
      <c r="M206" s="2573"/>
      <c r="N206" s="2573"/>
      <c r="O206" s="2574"/>
      <c r="P206" s="237">
        <f>SUMIF(I13:I191,"PF",P13:P193)</f>
        <v>0</v>
      </c>
      <c r="Q206" s="237">
        <f>SUMIF(I13:I191,"PF",Q13:Q193)</f>
        <v>0</v>
      </c>
    </row>
    <row r="207" spans="1:37" ht="14.25" customHeight="1" x14ac:dyDescent="0.2">
      <c r="A207" s="2274" t="s">
        <v>19</v>
      </c>
      <c r="B207" s="2275"/>
      <c r="C207" s="2275"/>
      <c r="D207" s="2275"/>
      <c r="E207" s="2275"/>
      <c r="F207" s="2275"/>
      <c r="G207" s="2275"/>
      <c r="H207" s="2275"/>
      <c r="I207" s="2276"/>
      <c r="J207" s="1031">
        <f>SUM(J208:J212)</f>
        <v>5511034</v>
      </c>
      <c r="K207" s="1031">
        <f>SUM(K208:K212)</f>
        <v>2745598</v>
      </c>
      <c r="L207" s="2578">
        <f>SUM(L208:O212)</f>
        <v>872800</v>
      </c>
      <c r="M207" s="2579"/>
      <c r="N207" s="2579"/>
      <c r="O207" s="2580"/>
      <c r="P207" s="252">
        <f>P208+P209+P210+P211+P212</f>
        <v>1252100</v>
      </c>
      <c r="Q207" s="252">
        <f>Q208+Q209+Q210+Q211+Q212</f>
        <v>5934100</v>
      </c>
    </row>
    <row r="208" spans="1:37" ht="14.25" customHeight="1" x14ac:dyDescent="0.2">
      <c r="A208" s="2277" t="s">
        <v>35</v>
      </c>
      <c r="B208" s="2278"/>
      <c r="C208" s="2278"/>
      <c r="D208" s="2278"/>
      <c r="E208" s="2278"/>
      <c r="F208" s="2278"/>
      <c r="G208" s="2278"/>
      <c r="H208" s="2278"/>
      <c r="I208" s="2279"/>
      <c r="J208" s="1030">
        <f>SUMIF(I13:I193,"ES",J13:J193)</f>
        <v>1981696</v>
      </c>
      <c r="K208" s="1030">
        <f>SUMIF(I13:I193,"ES",K13:K193)</f>
        <v>1981696</v>
      </c>
      <c r="L208" s="2575">
        <f>SUMIF(I13:I193,"ES",L13:L193)</f>
        <v>0</v>
      </c>
      <c r="M208" s="2576"/>
      <c r="N208" s="2576"/>
      <c r="O208" s="2577"/>
      <c r="P208" s="251">
        <f>SUMIF(I13:I193,"ES",P13:P193)</f>
        <v>546100</v>
      </c>
      <c r="Q208" s="251">
        <f>SUMIF(I13:I193,"ES",Q13:Q193)</f>
        <v>4061100</v>
      </c>
      <c r="R208" s="49"/>
    </row>
    <row r="209" spans="1:21" ht="14.25" customHeight="1" x14ac:dyDescent="0.2">
      <c r="A209" s="2259" t="s">
        <v>36</v>
      </c>
      <c r="B209" s="2260"/>
      <c r="C209" s="2260"/>
      <c r="D209" s="2260"/>
      <c r="E209" s="2260"/>
      <c r="F209" s="2260"/>
      <c r="G209" s="2260"/>
      <c r="H209" s="2260"/>
      <c r="I209" s="2261"/>
      <c r="J209" s="1030">
        <f>SUMIF(I14:I193,"SB(KPP)",J14:J193)</f>
        <v>2765436</v>
      </c>
      <c r="K209" s="1030">
        <f>SUMIF(I13:I193,"KPP",K13:K193)</f>
        <v>0</v>
      </c>
      <c r="L209" s="2575">
        <f>SUMIF(I13:I193,"KPP",L13:L193)</f>
        <v>0</v>
      </c>
      <c r="M209" s="2576"/>
      <c r="N209" s="2576"/>
      <c r="O209" s="2577"/>
      <c r="P209" s="251">
        <f>SUMIF(I13:I193,"KPP",P13:P193)</f>
        <v>0</v>
      </c>
      <c r="Q209" s="251">
        <f>SUMIF(I13:I193,"KPP",Q13:Q193)</f>
        <v>0</v>
      </c>
      <c r="R209" s="49"/>
    </row>
    <row r="210" spans="1:21" ht="14.25" customHeight="1" x14ac:dyDescent="0.2">
      <c r="A210" s="2259" t="s">
        <v>37</v>
      </c>
      <c r="B210" s="2260"/>
      <c r="C210" s="2260"/>
      <c r="D210" s="2260"/>
      <c r="E210" s="2260"/>
      <c r="F210" s="2260"/>
      <c r="G210" s="2260"/>
      <c r="H210" s="2260"/>
      <c r="I210" s="2261"/>
      <c r="J210" s="1030">
        <f>SUMIF(I13:I193,"KVJUD",J13:J193)</f>
        <v>516074</v>
      </c>
      <c r="K210" s="1030">
        <f>SUMIF(I13:I193,"KVJUD",K13:K193)</f>
        <v>516074</v>
      </c>
      <c r="L210" s="2575">
        <f>SUMIF(I13:I193,"KVJUD",L13:L193)</f>
        <v>818800</v>
      </c>
      <c r="M210" s="2576"/>
      <c r="N210" s="2576"/>
      <c r="O210" s="2577"/>
      <c r="P210" s="251">
        <f>SUMIF(I13:I193,"KVJUD",P13:P193)</f>
        <v>624000</v>
      </c>
      <c r="Q210" s="251">
        <f>SUMIF(I13:I193,"KVJUD",Q13:Q193)</f>
        <v>1616000</v>
      </c>
      <c r="R210" s="51"/>
      <c r="S210" s="6"/>
      <c r="T210" s="6"/>
      <c r="U210" s="6"/>
    </row>
    <row r="211" spans="1:21" ht="14.25" customHeight="1" x14ac:dyDescent="0.2">
      <c r="A211" s="2262" t="s">
        <v>38</v>
      </c>
      <c r="B211" s="2263"/>
      <c r="C211" s="2263"/>
      <c r="D211" s="2263"/>
      <c r="E211" s="2263"/>
      <c r="F211" s="2263"/>
      <c r="G211" s="2263"/>
      <c r="H211" s="2263"/>
      <c r="I211" s="2264"/>
      <c r="J211" s="1030">
        <f>SUMIF(I13:I193,"LRVB",J13:J193)</f>
        <v>0</v>
      </c>
      <c r="K211" s="1030">
        <f>SUMIF(I13:I193,"LRVB",K13:K193)</f>
        <v>0</v>
      </c>
      <c r="L211" s="2575">
        <f>SUMIF(I13:I193,"LRVB",L13:L193)</f>
        <v>0</v>
      </c>
      <c r="M211" s="2576"/>
      <c r="N211" s="2576"/>
      <c r="O211" s="2577"/>
      <c r="P211" s="251">
        <f>SUMIF(I13:I193,"LRVB",P13:P193)</f>
        <v>0</v>
      </c>
      <c r="Q211" s="251">
        <f>SUMIF(I13:I193,"LRVB",Q13:Q193)</f>
        <v>227000</v>
      </c>
      <c r="R211" s="51"/>
      <c r="S211" s="6"/>
      <c r="T211" s="6"/>
      <c r="U211" s="6"/>
    </row>
    <row r="212" spans="1:21" ht="14.25" customHeight="1" x14ac:dyDescent="0.2">
      <c r="A212" s="2262" t="s">
        <v>39</v>
      </c>
      <c r="B212" s="2263"/>
      <c r="C212" s="2263"/>
      <c r="D212" s="2263"/>
      <c r="E212" s="2263"/>
      <c r="F212" s="2263"/>
      <c r="G212" s="2263"/>
      <c r="H212" s="2263"/>
      <c r="I212" s="2264"/>
      <c r="J212" s="1030">
        <f>SUMIF(I13:I193,"Kt",J13:J193)</f>
        <v>247828</v>
      </c>
      <c r="K212" s="1030">
        <f>SUMIF(I13:I193,"Kt",K13:K193)</f>
        <v>247828</v>
      </c>
      <c r="L212" s="2575">
        <f>SUMIF(I13:I193,"Kt",L13:L193)</f>
        <v>54000</v>
      </c>
      <c r="M212" s="2576"/>
      <c r="N212" s="2576"/>
      <c r="O212" s="2577"/>
      <c r="P212" s="251">
        <f>SUMIF(I13:I193,"Kt",P13:P193)</f>
        <v>82000</v>
      </c>
      <c r="Q212" s="251">
        <f>SUMIF(I13:I193,"Kt",Q13:Q193)</f>
        <v>30000</v>
      </c>
      <c r="R212" s="51"/>
      <c r="S212" s="6"/>
      <c r="T212" s="6"/>
      <c r="U212" s="6"/>
    </row>
    <row r="213" spans="1:21" ht="14.25" customHeight="1" thickBot="1" x14ac:dyDescent="0.25">
      <c r="A213" s="2265" t="s">
        <v>20</v>
      </c>
      <c r="B213" s="2266"/>
      <c r="C213" s="2266"/>
      <c r="D213" s="2266"/>
      <c r="E213" s="2266"/>
      <c r="F213" s="2266"/>
      <c r="G213" s="2266"/>
      <c r="H213" s="2266"/>
      <c r="I213" s="2267"/>
      <c r="J213" s="1035">
        <f>SUM(J197,J207)</f>
        <v>12375331</v>
      </c>
      <c r="K213" s="1035">
        <f>SUM(K197,K207)</f>
        <v>13382145</v>
      </c>
      <c r="L213" s="2588">
        <f>SUM(L197,L207)</f>
        <v>14611500</v>
      </c>
      <c r="M213" s="2589"/>
      <c r="N213" s="2589"/>
      <c r="O213" s="2590"/>
      <c r="P213" s="253">
        <f>SUM(P197,P207)</f>
        <v>15560200</v>
      </c>
      <c r="Q213" s="253">
        <f>SUM(Q197,Q207)</f>
        <v>23359400</v>
      </c>
      <c r="R213" s="6"/>
      <c r="S213" s="6"/>
      <c r="T213" s="6"/>
      <c r="U213" s="6"/>
    </row>
    <row r="214" spans="1:21" x14ac:dyDescent="0.2">
      <c r="L214" s="1032"/>
      <c r="M214" s="2581"/>
      <c r="N214" s="2582"/>
      <c r="O214" s="1032"/>
      <c r="P214" s="1032"/>
      <c r="Q214" s="1032"/>
    </row>
    <row r="215" spans="1:21" x14ac:dyDescent="0.2">
      <c r="J215" s="535"/>
      <c r="M215" s="49"/>
    </row>
    <row r="216" spans="1:21" x14ac:dyDescent="0.2">
      <c r="M216" s="535"/>
      <c r="P216" s="535"/>
    </row>
    <row r="217" spans="1:21" x14ac:dyDescent="0.2">
      <c r="A217" s="6"/>
      <c r="B217" s="6"/>
      <c r="C217" s="6"/>
      <c r="D217" s="6"/>
      <c r="E217" s="6"/>
      <c r="F217" s="6"/>
      <c r="G217" s="6"/>
      <c r="H217" s="6"/>
      <c r="I217" s="6"/>
      <c r="J217" s="395"/>
      <c r="K217" s="6"/>
      <c r="L217" s="6"/>
      <c r="M217" s="6"/>
      <c r="N217" s="6"/>
      <c r="O217" s="6"/>
      <c r="P217" s="395"/>
      <c r="Q217" s="395"/>
      <c r="R217" s="6"/>
      <c r="S217" s="6"/>
      <c r="T217" s="6"/>
      <c r="U217" s="6"/>
    </row>
    <row r="218" spans="1:21" x14ac:dyDescent="0.2">
      <c r="A218" s="6"/>
      <c r="B218" s="6"/>
      <c r="C218" s="6"/>
      <c r="D218" s="6"/>
      <c r="E218" s="6"/>
      <c r="F218" s="6"/>
      <c r="G218" s="6"/>
      <c r="H218" s="6"/>
      <c r="I218" s="6"/>
      <c r="J218" s="6"/>
      <c r="K218" s="6"/>
      <c r="L218" s="6"/>
      <c r="M218" s="6"/>
      <c r="N218" s="6"/>
      <c r="O218" s="6"/>
      <c r="P218" s="51"/>
      <c r="Q218" s="6"/>
      <c r="R218" s="6"/>
      <c r="S218" s="6"/>
      <c r="T218" s="6"/>
      <c r="U218" s="6"/>
    </row>
  </sheetData>
  <mergeCells count="375">
    <mergeCell ref="R48:R49"/>
    <mergeCell ref="H59:H62"/>
    <mergeCell ref="E51:G51"/>
    <mergeCell ref="G70:G71"/>
    <mergeCell ref="F53:F56"/>
    <mergeCell ref="E94:E95"/>
    <mergeCell ref="R116:R117"/>
    <mergeCell ref="G68:G69"/>
    <mergeCell ref="H51:I51"/>
    <mergeCell ref="E79:E81"/>
    <mergeCell ref="H63:H64"/>
    <mergeCell ref="R68:R69"/>
    <mergeCell ref="R53:R56"/>
    <mergeCell ref="R79:R81"/>
    <mergeCell ref="H79:H81"/>
    <mergeCell ref="R86:R87"/>
    <mergeCell ref="E84:E85"/>
    <mergeCell ref="R61:R62"/>
    <mergeCell ref="E91:E93"/>
    <mergeCell ref="F91:F92"/>
    <mergeCell ref="H107:I107"/>
    <mergeCell ref="E66:G66"/>
    <mergeCell ref="E61:E62"/>
    <mergeCell ref="E63:E64"/>
    <mergeCell ref="E173:E174"/>
    <mergeCell ref="H153:H156"/>
    <mergeCell ref="R143:R144"/>
    <mergeCell ref="H116:H119"/>
    <mergeCell ref="E116:E117"/>
    <mergeCell ref="G94:G95"/>
    <mergeCell ref="H94:H95"/>
    <mergeCell ref="H111:H114"/>
    <mergeCell ref="R120:R121"/>
    <mergeCell ref="E99:E100"/>
    <mergeCell ref="R123:R126"/>
    <mergeCell ref="C109:U109"/>
    <mergeCell ref="S99:S102"/>
    <mergeCell ref="T143:T144"/>
    <mergeCell ref="S143:S144"/>
    <mergeCell ref="U143:U144"/>
    <mergeCell ref="U116:U117"/>
    <mergeCell ref="H143:H145"/>
    <mergeCell ref="R137:R138"/>
    <mergeCell ref="R127:U127"/>
    <mergeCell ref="U137:U138"/>
    <mergeCell ref="H137:H138"/>
    <mergeCell ref="H123:H125"/>
    <mergeCell ref="E27:E28"/>
    <mergeCell ref="F24:F28"/>
    <mergeCell ref="E34:E35"/>
    <mergeCell ref="E31:E33"/>
    <mergeCell ref="R166:U166"/>
    <mergeCell ref="H161:H163"/>
    <mergeCell ref="E161:E163"/>
    <mergeCell ref="H99:H100"/>
    <mergeCell ref="H82:H84"/>
    <mergeCell ref="F161:F164"/>
    <mergeCell ref="R91:R92"/>
    <mergeCell ref="E120:E121"/>
    <mergeCell ref="S116:S117"/>
    <mergeCell ref="E137:E139"/>
    <mergeCell ref="G120:G121"/>
    <mergeCell ref="H120:H121"/>
    <mergeCell ref="T100:T102"/>
    <mergeCell ref="U100:U102"/>
    <mergeCell ref="R105:R106"/>
    <mergeCell ref="R150:R151"/>
    <mergeCell ref="E96:E97"/>
    <mergeCell ref="R159:R160"/>
    <mergeCell ref="G48:G49"/>
    <mergeCell ref="H48:H49"/>
    <mergeCell ref="V183:AC184"/>
    <mergeCell ref="C175:C179"/>
    <mergeCell ref="E175:E177"/>
    <mergeCell ref="C167:U167"/>
    <mergeCell ref="C166:I166"/>
    <mergeCell ref="S137:S138"/>
    <mergeCell ref="T137:T138"/>
    <mergeCell ref="G118:G119"/>
    <mergeCell ref="C108:I108"/>
    <mergeCell ref="G116:G117"/>
    <mergeCell ref="R112:R113"/>
    <mergeCell ref="R118:R119"/>
    <mergeCell ref="F120:F121"/>
    <mergeCell ref="E118:E119"/>
    <mergeCell ref="F118:F119"/>
    <mergeCell ref="D118:D119"/>
    <mergeCell ref="F130:F131"/>
    <mergeCell ref="R169:R170"/>
    <mergeCell ref="E178:E179"/>
    <mergeCell ref="C143:C149"/>
    <mergeCell ref="T116:T117"/>
    <mergeCell ref="D123:D125"/>
    <mergeCell ref="F123:F125"/>
    <mergeCell ref="H152:I152"/>
    <mergeCell ref="M214:N214"/>
    <mergeCell ref="H175:H182"/>
    <mergeCell ref="A197:I197"/>
    <mergeCell ref="B192:I192"/>
    <mergeCell ref="L199:O199"/>
    <mergeCell ref="G180:G182"/>
    <mergeCell ref="E180:E182"/>
    <mergeCell ref="A180:A182"/>
    <mergeCell ref="C180:C182"/>
    <mergeCell ref="D180:D182"/>
    <mergeCell ref="F180:F182"/>
    <mergeCell ref="B180:B182"/>
    <mergeCell ref="A196:I196"/>
    <mergeCell ref="A201:I201"/>
    <mergeCell ref="A199:I199"/>
    <mergeCell ref="L200:O200"/>
    <mergeCell ref="A175:A179"/>
    <mergeCell ref="A213:I213"/>
    <mergeCell ref="L213:O213"/>
    <mergeCell ref="A212:I212"/>
    <mergeCell ref="L209:O209"/>
    <mergeCell ref="L201:O201"/>
    <mergeCell ref="A200:I200"/>
    <mergeCell ref="L212:O212"/>
    <mergeCell ref="A209:I209"/>
    <mergeCell ref="L205:O205"/>
    <mergeCell ref="A211:I211"/>
    <mergeCell ref="L211:O211"/>
    <mergeCell ref="A208:I208"/>
    <mergeCell ref="L208:O208"/>
    <mergeCell ref="A206:I206"/>
    <mergeCell ref="A202:I202"/>
    <mergeCell ref="L202:O202"/>
    <mergeCell ref="A204:I204"/>
    <mergeCell ref="L204:O204"/>
    <mergeCell ref="L210:O210"/>
    <mergeCell ref="A203:I203"/>
    <mergeCell ref="L203:O203"/>
    <mergeCell ref="L206:O206"/>
    <mergeCell ref="A210:I210"/>
    <mergeCell ref="A205:I205"/>
    <mergeCell ref="L207:O207"/>
    <mergeCell ref="A207:I207"/>
    <mergeCell ref="A195:Q195"/>
    <mergeCell ref="L197:O197"/>
    <mergeCell ref="L196:O196"/>
    <mergeCell ref="L198:O198"/>
    <mergeCell ref="A198:I198"/>
    <mergeCell ref="A194:U194"/>
    <mergeCell ref="R192:U192"/>
    <mergeCell ref="E187:E189"/>
    <mergeCell ref="D187:D189"/>
    <mergeCell ref="G187:G190"/>
    <mergeCell ref="F187:F190"/>
    <mergeCell ref="H187:H189"/>
    <mergeCell ref="H186:I186"/>
    <mergeCell ref="C191:I191"/>
    <mergeCell ref="R193:U193"/>
    <mergeCell ref="B193:I193"/>
    <mergeCell ref="R191:U191"/>
    <mergeCell ref="R189:R190"/>
    <mergeCell ref="H40:H46"/>
    <mergeCell ref="D48:D49"/>
    <mergeCell ref="E48:E49"/>
    <mergeCell ref="D53:D56"/>
    <mergeCell ref="G53:G56"/>
    <mergeCell ref="H70:H71"/>
    <mergeCell ref="H52:H56"/>
    <mergeCell ref="H67:H69"/>
    <mergeCell ref="D61:D62"/>
    <mergeCell ref="F40:F46"/>
    <mergeCell ref="E89:G89"/>
    <mergeCell ref="E82:E83"/>
    <mergeCell ref="D63:D64"/>
    <mergeCell ref="E53:E56"/>
    <mergeCell ref="G72:G74"/>
    <mergeCell ref="G40:G46"/>
    <mergeCell ref="F72:F74"/>
    <mergeCell ref="B70:B71"/>
    <mergeCell ref="B175:B179"/>
    <mergeCell ref="E183:E184"/>
    <mergeCell ref="R183:R184"/>
    <mergeCell ref="R178:R179"/>
    <mergeCell ref="A2:U2"/>
    <mergeCell ref="A3:U3"/>
    <mergeCell ref="A4:U4"/>
    <mergeCell ref="S5:U5"/>
    <mergeCell ref="G6:G8"/>
    <mergeCell ref="L7:L8"/>
    <mergeCell ref="A9:U9"/>
    <mergeCell ref="A6:A8"/>
    <mergeCell ref="R7:R8"/>
    <mergeCell ref="S7:U7"/>
    <mergeCell ref="E6:E8"/>
    <mergeCell ref="H6:H8"/>
    <mergeCell ref="J7:J8"/>
    <mergeCell ref="M7:N7"/>
    <mergeCell ref="B6:B8"/>
    <mergeCell ref="C6:C8"/>
    <mergeCell ref="C90:C102"/>
    <mergeCell ref="D120:D121"/>
    <mergeCell ref="H91:H93"/>
    <mergeCell ref="E112:E113"/>
    <mergeCell ref="P6:P8"/>
    <mergeCell ref="D19:D20"/>
    <mergeCell ref="B14:B18"/>
    <mergeCell ref="H36:I36"/>
    <mergeCell ref="D21:D22"/>
    <mergeCell ref="E21:E22"/>
    <mergeCell ref="C19:C20"/>
    <mergeCell ref="R6:U6"/>
    <mergeCell ref="F6:F8"/>
    <mergeCell ref="I6:I8"/>
    <mergeCell ref="L6:O6"/>
    <mergeCell ref="O7:O8"/>
    <mergeCell ref="Q6:Q8"/>
    <mergeCell ref="B11:U11"/>
    <mergeCell ref="D14:D18"/>
    <mergeCell ref="C12:U12"/>
    <mergeCell ref="H14:H18"/>
    <mergeCell ref="G14:G18"/>
    <mergeCell ref="C14:C18"/>
    <mergeCell ref="K7:K8"/>
    <mergeCell ref="D6:D8"/>
    <mergeCell ref="A10:U10"/>
    <mergeCell ref="A14:A18"/>
    <mergeCell ref="F15:F17"/>
    <mergeCell ref="E14:E15"/>
    <mergeCell ref="E17:E18"/>
    <mergeCell ref="R17:R18"/>
    <mergeCell ref="A70:A71"/>
    <mergeCell ref="B53:B56"/>
    <mergeCell ref="B61:B62"/>
    <mergeCell ref="C40:C46"/>
    <mergeCell ref="H19:H20"/>
    <mergeCell ref="F19:F20"/>
    <mergeCell ref="G19:G20"/>
    <mergeCell ref="F21:F22"/>
    <mergeCell ref="A34:A35"/>
    <mergeCell ref="B34:B35"/>
    <mergeCell ref="C34:C35"/>
    <mergeCell ref="D34:D35"/>
    <mergeCell ref="G34:G35"/>
    <mergeCell ref="H21:H35"/>
    <mergeCell ref="A21:A22"/>
    <mergeCell ref="B21:B22"/>
    <mergeCell ref="E29:E30"/>
    <mergeCell ref="F31:F33"/>
    <mergeCell ref="F34:F35"/>
    <mergeCell ref="A19:A20"/>
    <mergeCell ref="E19:E20"/>
    <mergeCell ref="A31:A33"/>
    <mergeCell ref="B31:B33"/>
    <mergeCell ref="C31:C33"/>
    <mergeCell ref="R72:R74"/>
    <mergeCell ref="H66:I66"/>
    <mergeCell ref="E68:E69"/>
    <mergeCell ref="D72:D74"/>
    <mergeCell ref="E70:E71"/>
    <mergeCell ref="E72:E74"/>
    <mergeCell ref="D68:D69"/>
    <mergeCell ref="F70:F71"/>
    <mergeCell ref="D70:D71"/>
    <mergeCell ref="R31:R33"/>
    <mergeCell ref="C38:C39"/>
    <mergeCell ref="B38:B39"/>
    <mergeCell ref="R34:R35"/>
    <mergeCell ref="F68:F69"/>
    <mergeCell ref="R63:R64"/>
    <mergeCell ref="E36:G36"/>
    <mergeCell ref="E59:E60"/>
    <mergeCell ref="G57:G58"/>
    <mergeCell ref="H57:H58"/>
    <mergeCell ref="R45:R46"/>
    <mergeCell ref="E44:E46"/>
    <mergeCell ref="B19:B20"/>
    <mergeCell ref="C21:C22"/>
    <mergeCell ref="G123:G125"/>
    <mergeCell ref="R148:R149"/>
    <mergeCell ref="E143:E144"/>
    <mergeCell ref="F116:F117"/>
    <mergeCell ref="R29:R30"/>
    <mergeCell ref="D23:D26"/>
    <mergeCell ref="E23:E26"/>
    <mergeCell ref="G23:G26"/>
    <mergeCell ref="E86:E87"/>
    <mergeCell ref="I94:I95"/>
    <mergeCell ref="R99:R102"/>
    <mergeCell ref="D143:D149"/>
    <mergeCell ref="E148:E149"/>
    <mergeCell ref="E123:E126"/>
    <mergeCell ref="C70:C71"/>
    <mergeCell ref="H86:H87"/>
    <mergeCell ref="H103:I103"/>
    <mergeCell ref="G99:G100"/>
    <mergeCell ref="D91:D93"/>
    <mergeCell ref="E103:G103"/>
    <mergeCell ref="D94:D95"/>
    <mergeCell ref="D99:D100"/>
    <mergeCell ref="H72:H74"/>
    <mergeCell ref="H104:H105"/>
    <mergeCell ref="E77:G77"/>
    <mergeCell ref="H89:I89"/>
    <mergeCell ref="H77:I77"/>
    <mergeCell ref="H37:H39"/>
    <mergeCell ref="G38:G39"/>
    <mergeCell ref="E38:E39"/>
    <mergeCell ref="H75:H76"/>
    <mergeCell ref="B158:B160"/>
    <mergeCell ref="A90:A102"/>
    <mergeCell ref="G158:G160"/>
    <mergeCell ref="A116:A117"/>
    <mergeCell ref="B116:B117"/>
    <mergeCell ref="D116:D117"/>
    <mergeCell ref="A143:A149"/>
    <mergeCell ref="B143:B149"/>
    <mergeCell ref="A129:A139"/>
    <mergeCell ref="C127:I127"/>
    <mergeCell ref="H158:H159"/>
    <mergeCell ref="E150:E151"/>
    <mergeCell ref="C118:C119"/>
    <mergeCell ref="E122:G122"/>
    <mergeCell ref="H122:I122"/>
    <mergeCell ref="H150:H151"/>
    <mergeCell ref="C116:C117"/>
    <mergeCell ref="C158:C160"/>
    <mergeCell ref="D158:D160"/>
    <mergeCell ref="E158:E160"/>
    <mergeCell ref="G91:G92"/>
    <mergeCell ref="F158:F160"/>
    <mergeCell ref="A153:A156"/>
    <mergeCell ref="C128:U128"/>
    <mergeCell ref="A161:A164"/>
    <mergeCell ref="B161:B164"/>
    <mergeCell ref="C161:C164"/>
    <mergeCell ref="D57:D58"/>
    <mergeCell ref="E57:E58"/>
    <mergeCell ref="F57:F58"/>
    <mergeCell ref="A72:A74"/>
    <mergeCell ref="A75:A76"/>
    <mergeCell ref="B118:B119"/>
    <mergeCell ref="A120:A121"/>
    <mergeCell ref="A118:A119"/>
    <mergeCell ref="C129:C139"/>
    <mergeCell ref="B129:B139"/>
    <mergeCell ref="C120:C121"/>
    <mergeCell ref="B120:B121"/>
    <mergeCell ref="D75:D76"/>
    <mergeCell ref="E75:E76"/>
    <mergeCell ref="F75:F76"/>
    <mergeCell ref="B75:B76"/>
    <mergeCell ref="B153:B156"/>
    <mergeCell ref="C153:C156"/>
    <mergeCell ref="E153:E155"/>
    <mergeCell ref="F155:F156"/>
    <mergeCell ref="A158:A160"/>
    <mergeCell ref="A1:U1"/>
    <mergeCell ref="B90:B102"/>
    <mergeCell ref="C75:C76"/>
    <mergeCell ref="F80:F81"/>
    <mergeCell ref="A38:A39"/>
    <mergeCell ref="D38:D39"/>
    <mergeCell ref="A61:A62"/>
    <mergeCell ref="B72:B74"/>
    <mergeCell ref="C72:C74"/>
    <mergeCell ref="B63:B64"/>
    <mergeCell ref="C63:C64"/>
    <mergeCell ref="B40:B46"/>
    <mergeCell ref="A53:A56"/>
    <mergeCell ref="A48:A49"/>
    <mergeCell ref="B48:B49"/>
    <mergeCell ref="C48:C49"/>
    <mergeCell ref="C53:C56"/>
    <mergeCell ref="C61:C62"/>
    <mergeCell ref="A63:A64"/>
    <mergeCell ref="A40:A46"/>
    <mergeCell ref="R21:R22"/>
    <mergeCell ref="R75:R76"/>
    <mergeCell ref="G21:G22"/>
    <mergeCell ref="G75:G76"/>
  </mergeCells>
  <phoneticPr fontId="16" type="noConversion"/>
  <printOptions horizontalCentered="1"/>
  <pageMargins left="0.23622047244094491" right="0.23622047244094491" top="0.35433070866141736" bottom="0.35433070866141736" header="0.31496062992125984" footer="0.31496062992125984"/>
  <pageSetup paperSize="9" scale="75" orientation="landscape" r:id="rId1"/>
  <headerFooter alignWithMargins="0"/>
  <rowBreaks count="4" manualBreakCount="4">
    <brk id="62" max="20" man="1"/>
    <brk id="115" max="20" man="1"/>
    <brk id="152" max="20" man="1"/>
    <brk id="182" max="2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2630" t="s">
        <v>23</v>
      </c>
      <c r="B1" s="2630"/>
    </row>
    <row r="2" spans="1:2" ht="31.5" x14ac:dyDescent="0.25">
      <c r="A2" s="2" t="s">
        <v>4</v>
      </c>
      <c r="B2" s="1" t="s">
        <v>21</v>
      </c>
    </row>
    <row r="3" spans="1:2" ht="15.75" customHeight="1" x14ac:dyDescent="0.25">
      <c r="A3" s="50">
        <v>1</v>
      </c>
      <c r="B3" s="1" t="s">
        <v>24</v>
      </c>
    </row>
    <row r="4" spans="1:2" ht="15.75" customHeight="1" x14ac:dyDescent="0.25">
      <c r="A4" s="50">
        <v>2</v>
      </c>
      <c r="B4" s="1" t="s">
        <v>25</v>
      </c>
    </row>
    <row r="5" spans="1:2" ht="15.75" customHeight="1" x14ac:dyDescent="0.25">
      <c r="A5" s="50">
        <v>3</v>
      </c>
      <c r="B5" s="1" t="s">
        <v>26</v>
      </c>
    </row>
    <row r="6" spans="1:2" ht="15.75" customHeight="1" x14ac:dyDescent="0.25">
      <c r="A6" s="50">
        <v>4</v>
      </c>
      <c r="B6" s="1" t="s">
        <v>27</v>
      </c>
    </row>
    <row r="7" spans="1:2" ht="15.75" customHeight="1" x14ac:dyDescent="0.25">
      <c r="A7" s="50">
        <v>5</v>
      </c>
      <c r="B7" s="1" t="s">
        <v>28</v>
      </c>
    </row>
    <row r="8" spans="1:2" ht="15.75" customHeight="1" x14ac:dyDescent="0.25">
      <c r="A8" s="50">
        <v>6</v>
      </c>
      <c r="B8" s="1" t="s">
        <v>29</v>
      </c>
    </row>
    <row r="9" spans="1:2" ht="15.75" customHeight="1" x14ac:dyDescent="0.25"/>
    <row r="10" spans="1:2" ht="15.75" customHeight="1" x14ac:dyDescent="0.25">
      <c r="A10" s="2631" t="s">
        <v>32</v>
      </c>
      <c r="B10" s="2631"/>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6 programa</vt:lpstr>
      <vt:lpstr>Lyginamasis variantas</vt:lpstr>
      <vt:lpstr>Aiškinamoji lentelė </vt:lpstr>
      <vt:lpstr>Asignavimų valdytojų kodai</vt:lpstr>
      <vt:lpstr>'6 programa'!Print_Area</vt:lpstr>
      <vt:lpstr>'Aiškinamoji lentelė '!Print_Area</vt:lpstr>
      <vt:lpstr>'Lyginamasis variantas'!Print_Area</vt:lpstr>
      <vt:lpstr>'6 programa'!Print_Titles</vt:lpstr>
      <vt:lpstr>'Aiškinamoji lentelė '!Print_Titles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2016-11-10T08:41:35Z</cp:lastPrinted>
  <dcterms:created xsi:type="dcterms:W3CDTF">2007-07-27T10:32:34Z</dcterms:created>
  <dcterms:modified xsi:type="dcterms:W3CDTF">2016-11-24T06:46:10Z</dcterms:modified>
</cp:coreProperties>
</file>