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18-09-13\"/>
    </mc:Choice>
  </mc:AlternateContent>
  <bookViews>
    <workbookView xWindow="0" yWindow="0" windowWidth="28770" windowHeight="11370"/>
  </bookViews>
  <sheets>
    <sheet name="1 priedas. pajamos " sheetId="9" r:id="rId1"/>
    <sheet name="1 priedas. asignavimai" sheetId="10" r:id="rId2"/>
    <sheet name="2 priedas." sheetId="5" r:id="rId3"/>
    <sheet name="3 priedas" sheetId="11" r:id="rId4"/>
    <sheet name="4 priedas" sheetId="12" r:id="rId5"/>
    <sheet name="5 priedas" sheetId="13" r:id="rId6"/>
  </sheets>
  <definedNames>
    <definedName name="_xlnm._FilterDatabase" localSheetId="1" hidden="1">'1 priedas. asignavimai'!$B$2:$B$6</definedName>
    <definedName name="_xlnm._FilterDatabase" localSheetId="2" hidden="1">'2 priedas.'!$C$1:$C$9</definedName>
    <definedName name="_xlnm._FilterDatabase" localSheetId="3" hidden="1">'3 priedas'!$B$1:$B$11</definedName>
    <definedName name="_xlnm.Print_Titles" localSheetId="1">'1 priedas. asignavimai'!$3:$7</definedName>
    <definedName name="_xlnm.Print_Titles" localSheetId="0">'1 priedas. pajamos '!$11:$12</definedName>
    <definedName name="_xlnm.Print_Titles" localSheetId="2">'2 priedas.'!$5:$9</definedName>
    <definedName name="_xlnm.Print_Titles" localSheetId="3">'3 priedas'!$5:$8</definedName>
    <definedName name="_xlnm.Print_Titles" localSheetId="4">'4 priedas'!$5:$7</definedName>
    <definedName name="registravimoDataIlga" localSheetId="0">'1 priedas. pajamos '!$E$3</definedName>
    <definedName name="registravimoNr" localSheetId="0">'1 priedas. pajamos '!$E$4</definedName>
  </definedNames>
  <calcPr calcId="162913" fullPrecision="0"/>
</workbook>
</file>

<file path=xl/calcChain.xml><?xml version="1.0" encoding="utf-8"?>
<calcChain xmlns="http://schemas.openxmlformats.org/spreadsheetml/2006/main">
  <c r="D8" i="13" l="1"/>
  <c r="E8" i="13" s="1"/>
  <c r="L75" i="10" l="1"/>
  <c r="L76" i="10"/>
  <c r="H140" i="10" l="1"/>
  <c r="H143" i="10"/>
  <c r="J173" i="10" l="1"/>
  <c r="H173" i="10"/>
  <c r="J142" i="10"/>
  <c r="H20" i="10"/>
  <c r="H40" i="10"/>
  <c r="J158" i="10"/>
  <c r="I142" i="10" l="1"/>
  <c r="J20" i="10" l="1"/>
  <c r="G11" i="10"/>
  <c r="H120" i="10"/>
  <c r="L120" i="10"/>
  <c r="H116" i="10"/>
  <c r="L116" i="10"/>
  <c r="H102" i="10"/>
  <c r="H135" i="10"/>
  <c r="L135" i="10"/>
  <c r="H93" i="10"/>
  <c r="L93" i="10"/>
  <c r="H70" i="10"/>
  <c r="H59" i="10"/>
  <c r="L90" i="11" l="1"/>
  <c r="K90" i="11"/>
  <c r="J90" i="11"/>
  <c r="I90" i="11"/>
  <c r="H90" i="11"/>
  <c r="G90" i="11"/>
  <c r="L88" i="11"/>
  <c r="K88" i="11"/>
  <c r="J88" i="11"/>
  <c r="I88" i="11"/>
  <c r="H88" i="11"/>
  <c r="G88" i="11"/>
  <c r="L75" i="11"/>
  <c r="K75" i="11"/>
  <c r="J75" i="11"/>
  <c r="I75" i="11"/>
  <c r="L65" i="11"/>
  <c r="K65" i="11"/>
  <c r="J65" i="11"/>
  <c r="I65" i="11"/>
  <c r="H65" i="11"/>
  <c r="G65" i="11"/>
  <c r="J62" i="11"/>
  <c r="I62" i="11"/>
  <c r="I61" i="11" s="1"/>
  <c r="L59" i="11"/>
  <c r="K59" i="11"/>
  <c r="J59" i="11"/>
  <c r="I59" i="11"/>
  <c r="H59" i="11"/>
  <c r="G59" i="11"/>
  <c r="L57" i="11"/>
  <c r="K57" i="11"/>
  <c r="K56" i="11" s="1"/>
  <c r="J57" i="11"/>
  <c r="I57" i="11"/>
  <c r="H57" i="11"/>
  <c r="G57" i="11"/>
  <c r="G56" i="11" s="1"/>
  <c r="H54" i="11"/>
  <c r="H53" i="11" s="1"/>
  <c r="I54" i="11"/>
  <c r="I53" i="11" s="1"/>
  <c r="J54" i="11"/>
  <c r="J53" i="11" s="1"/>
  <c r="K54" i="11"/>
  <c r="K53" i="11" s="1"/>
  <c r="L54" i="11"/>
  <c r="L53" i="11" s="1"/>
  <c r="G54" i="11"/>
  <c r="G53" i="11" s="1"/>
  <c r="L51" i="11"/>
  <c r="K51" i="11"/>
  <c r="J51" i="11"/>
  <c r="I51" i="11"/>
  <c r="H51" i="11"/>
  <c r="G51" i="11"/>
  <c r="L48" i="11"/>
  <c r="K48" i="11"/>
  <c r="J48" i="11"/>
  <c r="I48" i="11"/>
  <c r="I46" i="11" s="1"/>
  <c r="H48" i="11"/>
  <c r="G48" i="11"/>
  <c r="I44" i="11"/>
  <c r="I43" i="11" s="1"/>
  <c r="J44" i="11"/>
  <c r="J43" i="11" s="1"/>
  <c r="L44" i="11"/>
  <c r="L43" i="11" s="1"/>
  <c r="K45" i="11"/>
  <c r="K44" i="11" s="1"/>
  <c r="K43" i="11" s="1"/>
  <c r="H45" i="11"/>
  <c r="D45" i="11" s="1"/>
  <c r="G45" i="11"/>
  <c r="L41" i="11"/>
  <c r="L40" i="11" s="1"/>
  <c r="K41" i="11"/>
  <c r="K40" i="11" s="1"/>
  <c r="J41" i="11"/>
  <c r="I41" i="11"/>
  <c r="H41" i="11"/>
  <c r="H40" i="11" s="1"/>
  <c r="G41" i="11"/>
  <c r="G40" i="11" s="1"/>
  <c r="J40" i="11"/>
  <c r="I40" i="11"/>
  <c r="L38" i="11"/>
  <c r="L37" i="11" s="1"/>
  <c r="K38" i="11"/>
  <c r="K37" i="11" s="1"/>
  <c r="J38" i="11"/>
  <c r="J37" i="11" s="1"/>
  <c r="I38" i="11"/>
  <c r="I37" i="11" s="1"/>
  <c r="H38" i="11"/>
  <c r="H37" i="11" s="1"/>
  <c r="G38" i="11"/>
  <c r="G37" i="11" s="1"/>
  <c r="L35" i="11"/>
  <c r="K35" i="11"/>
  <c r="J35" i="11"/>
  <c r="I35" i="11"/>
  <c r="H35" i="11"/>
  <c r="G35" i="11"/>
  <c r="L33" i="11"/>
  <c r="K33" i="11"/>
  <c r="J33" i="11"/>
  <c r="I33" i="11"/>
  <c r="H33" i="11"/>
  <c r="G33" i="11"/>
  <c r="J25" i="11"/>
  <c r="I25" i="11"/>
  <c r="J18" i="11"/>
  <c r="I18" i="11"/>
  <c r="L15" i="11"/>
  <c r="K15" i="11"/>
  <c r="J15" i="11"/>
  <c r="I15" i="11"/>
  <c r="H15" i="11"/>
  <c r="G15" i="11"/>
  <c r="L12" i="11"/>
  <c r="K12" i="11"/>
  <c r="J12" i="11"/>
  <c r="I12" i="11"/>
  <c r="H12" i="11"/>
  <c r="G12" i="11"/>
  <c r="J46" i="11" l="1"/>
  <c r="H56" i="11"/>
  <c r="L56" i="11"/>
  <c r="C45" i="11"/>
  <c r="C44" i="11" s="1"/>
  <c r="C43" i="11" s="1"/>
  <c r="I31" i="11"/>
  <c r="G31" i="11"/>
  <c r="K31" i="11"/>
  <c r="H31" i="11"/>
  <c r="L31" i="11"/>
  <c r="H46" i="11"/>
  <c r="L46" i="11"/>
  <c r="I56" i="11"/>
  <c r="J10" i="11"/>
  <c r="J31" i="11"/>
  <c r="G46" i="11"/>
  <c r="K46" i="11"/>
  <c r="J61" i="11"/>
  <c r="I10" i="11"/>
  <c r="J56" i="11"/>
  <c r="E45" i="11"/>
  <c r="E44" i="11" s="1"/>
  <c r="E43" i="11" s="1"/>
  <c r="D44" i="11"/>
  <c r="D43" i="11" s="1"/>
  <c r="G44" i="11"/>
  <c r="G43" i="11" s="1"/>
  <c r="H44" i="11"/>
  <c r="H43" i="11" s="1"/>
  <c r="H21" i="11"/>
  <c r="G21" i="11"/>
  <c r="L21" i="11"/>
  <c r="K21" i="11"/>
  <c r="H19" i="11"/>
  <c r="G19" i="11"/>
  <c r="G18" i="11" s="1"/>
  <c r="L19" i="11"/>
  <c r="K19" i="11"/>
  <c r="H28" i="11"/>
  <c r="D28" i="11" s="1"/>
  <c r="G28" i="11"/>
  <c r="C28" i="11" s="1"/>
  <c r="L26" i="11"/>
  <c r="L25" i="11" s="1"/>
  <c r="H26" i="11"/>
  <c r="K26" i="11"/>
  <c r="G26" i="11"/>
  <c r="G25" i="11" s="1"/>
  <c r="H78" i="11"/>
  <c r="H75" i="11" s="1"/>
  <c r="G78" i="11"/>
  <c r="G75" i="11" s="1"/>
  <c r="L63" i="11"/>
  <c r="H63" i="11"/>
  <c r="H62" i="11" s="1"/>
  <c r="K63" i="11"/>
  <c r="G63" i="11"/>
  <c r="G62" i="11" s="1"/>
  <c r="C11" i="11"/>
  <c r="D11" i="11"/>
  <c r="C13" i="11"/>
  <c r="C12" i="11" s="1"/>
  <c r="D13" i="11"/>
  <c r="D12" i="11" s="1"/>
  <c r="C14" i="11"/>
  <c r="D14" i="11"/>
  <c r="C16" i="11"/>
  <c r="D16" i="11"/>
  <c r="D15" i="11" s="1"/>
  <c r="C17" i="11"/>
  <c r="D17" i="11"/>
  <c r="C20" i="11"/>
  <c r="D20" i="11"/>
  <c r="C22" i="11"/>
  <c r="D22" i="11"/>
  <c r="C23" i="11"/>
  <c r="D23" i="11"/>
  <c r="C24" i="11"/>
  <c r="D24" i="11"/>
  <c r="C27" i="11"/>
  <c r="D27" i="11"/>
  <c r="C30" i="11"/>
  <c r="D30" i="11"/>
  <c r="C32" i="11"/>
  <c r="D32" i="11"/>
  <c r="C34" i="11"/>
  <c r="D34" i="11"/>
  <c r="D33" i="11" s="1"/>
  <c r="C36" i="11"/>
  <c r="D36" i="11"/>
  <c r="D35" i="11" s="1"/>
  <c r="C39" i="11"/>
  <c r="C38" i="11" s="1"/>
  <c r="C37" i="11" s="1"/>
  <c r="D39" i="11"/>
  <c r="D38" i="11" s="1"/>
  <c r="D37" i="11" s="1"/>
  <c r="F37" i="11" s="1"/>
  <c r="C42" i="11"/>
  <c r="C41" i="11" s="1"/>
  <c r="C40" i="11" s="1"/>
  <c r="D42" i="11"/>
  <c r="D41" i="11" s="1"/>
  <c r="D40" i="11" s="1"/>
  <c r="C47" i="11"/>
  <c r="D47" i="11"/>
  <c r="E47" i="11" s="1"/>
  <c r="C49" i="11"/>
  <c r="D49" i="11"/>
  <c r="C50" i="11"/>
  <c r="D50" i="11"/>
  <c r="E50" i="11" s="1"/>
  <c r="C52" i="11"/>
  <c r="D52" i="11"/>
  <c r="D51" i="11" s="1"/>
  <c r="C55" i="11"/>
  <c r="C54" i="11" s="1"/>
  <c r="C53" i="11" s="1"/>
  <c r="D55" i="11"/>
  <c r="C58" i="11"/>
  <c r="D58" i="11"/>
  <c r="C60" i="11"/>
  <c r="C59" i="11" s="1"/>
  <c r="D60" i="11"/>
  <c r="D59" i="11" s="1"/>
  <c r="C64" i="11"/>
  <c r="D64" i="11"/>
  <c r="C66" i="11"/>
  <c r="D66" i="11"/>
  <c r="C67" i="11"/>
  <c r="D67" i="11"/>
  <c r="C68" i="11"/>
  <c r="D68" i="11"/>
  <c r="C69" i="11"/>
  <c r="D69" i="11"/>
  <c r="C70" i="11"/>
  <c r="D70" i="11"/>
  <c r="E70" i="11" s="1"/>
  <c r="C71" i="11"/>
  <c r="D71" i="11"/>
  <c r="C72" i="11"/>
  <c r="D72" i="11"/>
  <c r="C73" i="11"/>
  <c r="D73" i="11"/>
  <c r="C74" i="11"/>
  <c r="D74" i="11"/>
  <c r="F74" i="11" s="1"/>
  <c r="C76" i="11"/>
  <c r="D76" i="11"/>
  <c r="C77" i="11"/>
  <c r="D77" i="11"/>
  <c r="C79" i="11"/>
  <c r="D79" i="11"/>
  <c r="C80" i="11"/>
  <c r="D80" i="11"/>
  <c r="C81" i="11"/>
  <c r="D81" i="11"/>
  <c r="C82" i="11"/>
  <c r="D82" i="11"/>
  <c r="C83" i="11"/>
  <c r="D83" i="11"/>
  <c r="C84" i="11"/>
  <c r="D84" i="11"/>
  <c r="C85" i="11"/>
  <c r="D85" i="11"/>
  <c r="C86" i="11"/>
  <c r="D86" i="11"/>
  <c r="C87" i="11"/>
  <c r="D87" i="11"/>
  <c r="C89" i="11"/>
  <c r="C88" i="11" s="1"/>
  <c r="D89" i="11"/>
  <c r="D88" i="11" s="1"/>
  <c r="C91" i="11"/>
  <c r="D91" i="11"/>
  <c r="C92" i="11"/>
  <c r="D92" i="11"/>
  <c r="C93" i="11"/>
  <c r="D93" i="11"/>
  <c r="C95" i="11"/>
  <c r="D95" i="11"/>
  <c r="C96" i="11"/>
  <c r="D96" i="11"/>
  <c r="G61" i="11" l="1"/>
  <c r="F45" i="11"/>
  <c r="L18" i="11"/>
  <c r="E17" i="11"/>
  <c r="C21" i="11"/>
  <c r="H29" i="11"/>
  <c r="E96" i="11"/>
  <c r="E87" i="11"/>
  <c r="E85" i="11"/>
  <c r="F64" i="11"/>
  <c r="L29" i="11"/>
  <c r="F27" i="11"/>
  <c r="K29" i="11"/>
  <c r="F24" i="11"/>
  <c r="F22" i="11"/>
  <c r="E23" i="11"/>
  <c r="F83" i="11"/>
  <c r="G29" i="11"/>
  <c r="I29" i="11"/>
  <c r="I94" i="11" s="1"/>
  <c r="I97" i="11" s="1"/>
  <c r="F88" i="11"/>
  <c r="D78" i="11"/>
  <c r="F58" i="11"/>
  <c r="E27" i="11"/>
  <c r="F17" i="11"/>
  <c r="E11" i="11"/>
  <c r="J29" i="11"/>
  <c r="J94" i="11" s="1"/>
  <c r="J97" i="11" s="1"/>
  <c r="C78" i="11"/>
  <c r="G10" i="11"/>
  <c r="E92" i="11"/>
  <c r="F89" i="11"/>
  <c r="E83" i="11"/>
  <c r="E24" i="11"/>
  <c r="F23" i="11"/>
  <c r="F71" i="11"/>
  <c r="L10" i="11"/>
  <c r="F60" i="11"/>
  <c r="F44" i="11"/>
  <c r="E30" i="11"/>
  <c r="H61" i="11"/>
  <c r="E82" i="11"/>
  <c r="F59" i="11"/>
  <c r="F40" i="11"/>
  <c r="E22" i="11"/>
  <c r="E20" i="11"/>
  <c r="C48" i="11"/>
  <c r="D19" i="11"/>
  <c r="H18" i="11"/>
  <c r="E76" i="11"/>
  <c r="D75" i="11"/>
  <c r="E66" i="11"/>
  <c r="D65" i="11"/>
  <c r="E58" i="11"/>
  <c r="E57" i="11" s="1"/>
  <c r="D57" i="11"/>
  <c r="E55" i="11"/>
  <c r="E54" i="11" s="1"/>
  <c r="E53" i="11" s="1"/>
  <c r="D54" i="11"/>
  <c r="F36" i="11"/>
  <c r="C35" i="11"/>
  <c r="K62" i="11"/>
  <c r="D26" i="11"/>
  <c r="D25" i="11" s="1"/>
  <c r="H25" i="11"/>
  <c r="K18" i="11"/>
  <c r="C33" i="11"/>
  <c r="K25" i="11"/>
  <c r="D90" i="11"/>
  <c r="F77" i="11"/>
  <c r="C65" i="11"/>
  <c r="C57" i="11"/>
  <c r="C51" i="11"/>
  <c r="F49" i="11"/>
  <c r="F41" i="11"/>
  <c r="F38" i="11"/>
  <c r="E32" i="11"/>
  <c r="F12" i="11"/>
  <c r="C15" i="11"/>
  <c r="E95" i="11"/>
  <c r="C90" i="11"/>
  <c r="E86" i="11"/>
  <c r="E84" i="11"/>
  <c r="E77" i="11"/>
  <c r="F73" i="11"/>
  <c r="E71" i="11"/>
  <c r="E69" i="11"/>
  <c r="E67" i="11"/>
  <c r="E49" i="11"/>
  <c r="E48" i="11" s="1"/>
  <c r="D48" i="11"/>
  <c r="F42" i="11"/>
  <c r="D31" i="11"/>
  <c r="D63" i="11"/>
  <c r="D62" i="11" s="1"/>
  <c r="L62" i="11"/>
  <c r="L61" i="11" s="1"/>
  <c r="F96" i="11"/>
  <c r="F87" i="11"/>
  <c r="F92" i="11"/>
  <c r="F85" i="11"/>
  <c r="F20" i="11"/>
  <c r="E64" i="11"/>
  <c r="E14" i="11"/>
  <c r="F14" i="11"/>
  <c r="F79" i="11"/>
  <c r="E79" i="11"/>
  <c r="E13" i="11"/>
  <c r="E12" i="11" s="1"/>
  <c r="F13" i="11"/>
  <c r="F34" i="11"/>
  <c r="E34" i="11"/>
  <c r="E33" i="11" s="1"/>
  <c r="F52" i="11"/>
  <c r="E52" i="11"/>
  <c r="E51" i="11" s="1"/>
  <c r="D21" i="11"/>
  <c r="E89" i="11"/>
  <c r="E88" i="11" s="1"/>
  <c r="C19" i="11"/>
  <c r="F28" i="11"/>
  <c r="E28" i="11"/>
  <c r="E91" i="11"/>
  <c r="F91" i="11"/>
  <c r="F93" i="11"/>
  <c r="E93" i="11"/>
  <c r="F39" i="11"/>
  <c r="E39" i="11"/>
  <c r="E38" i="11" s="1"/>
  <c r="E37" i="11" s="1"/>
  <c r="C26" i="11"/>
  <c r="F55" i="11"/>
  <c r="F86" i="11"/>
  <c r="F84" i="11"/>
  <c r="F82" i="11"/>
  <c r="F80" i="11"/>
  <c r="E80" i="11"/>
  <c r="F81" i="11"/>
  <c r="E81" i="11"/>
  <c r="E16" i="11"/>
  <c r="E15" i="11" s="1"/>
  <c r="F16" i="11"/>
  <c r="F43" i="11"/>
  <c r="F76" i="11"/>
  <c r="E42" i="11"/>
  <c r="E41" i="11" s="1"/>
  <c r="E40" i="11" s="1"/>
  <c r="E36" i="11"/>
  <c r="E35" i="11" s="1"/>
  <c r="E60" i="11"/>
  <c r="E59" i="11" s="1"/>
  <c r="C63" i="11"/>
  <c r="E74" i="11"/>
  <c r="E73" i="11"/>
  <c r="F72" i="11"/>
  <c r="E72" i="11"/>
  <c r="F50" i="11"/>
  <c r="F70" i="11"/>
  <c r="F69" i="11"/>
  <c r="F68" i="11"/>
  <c r="E68" i="11"/>
  <c r="F66" i="11"/>
  <c r="F67" i="11"/>
  <c r="I11" i="5"/>
  <c r="J11" i="5"/>
  <c r="K11" i="5"/>
  <c r="L11" i="5"/>
  <c r="M11" i="5"/>
  <c r="I12" i="5"/>
  <c r="J12" i="5"/>
  <c r="K12" i="5"/>
  <c r="L12" i="5"/>
  <c r="M12" i="5"/>
  <c r="I14" i="5"/>
  <c r="J14" i="5"/>
  <c r="K14" i="5"/>
  <c r="L14" i="5"/>
  <c r="M14" i="5"/>
  <c r="J19" i="5"/>
  <c r="K19" i="5"/>
  <c r="L19" i="5"/>
  <c r="M19" i="5"/>
  <c r="I24" i="5"/>
  <c r="J24" i="5"/>
  <c r="K24" i="5"/>
  <c r="L24" i="5"/>
  <c r="M24" i="5"/>
  <c r="J28" i="5"/>
  <c r="K28" i="5"/>
  <c r="M28" i="5"/>
  <c r="I32" i="5"/>
  <c r="J32" i="5"/>
  <c r="K32" i="5"/>
  <c r="L32" i="5"/>
  <c r="M32" i="5"/>
  <c r="I34" i="5"/>
  <c r="J34" i="5"/>
  <c r="K34" i="5"/>
  <c r="L34" i="5"/>
  <c r="M34" i="5"/>
  <c r="I35" i="5"/>
  <c r="J35" i="5"/>
  <c r="K35" i="5"/>
  <c r="L35" i="5"/>
  <c r="M35" i="5"/>
  <c r="I37" i="5"/>
  <c r="J37" i="5"/>
  <c r="K37" i="5"/>
  <c r="L37" i="5"/>
  <c r="M37" i="5"/>
  <c r="I39" i="5"/>
  <c r="J39" i="5"/>
  <c r="K39" i="5"/>
  <c r="L39" i="5"/>
  <c r="M39" i="5"/>
  <c r="I44" i="5"/>
  <c r="J44" i="5"/>
  <c r="K44" i="5"/>
  <c r="L44" i="5"/>
  <c r="M44" i="5"/>
  <c r="I45" i="5"/>
  <c r="J45" i="5"/>
  <c r="K45" i="5"/>
  <c r="L45" i="5"/>
  <c r="M45" i="5"/>
  <c r="J50" i="5"/>
  <c r="K50" i="5"/>
  <c r="I53" i="5"/>
  <c r="J53" i="5"/>
  <c r="K53" i="5"/>
  <c r="L53" i="5"/>
  <c r="M53" i="5"/>
  <c r="J56" i="5"/>
  <c r="K56" i="5"/>
  <c r="H53" i="5"/>
  <c r="H44" i="5"/>
  <c r="H45" i="5"/>
  <c r="H39" i="5"/>
  <c r="D39" i="5" s="1"/>
  <c r="H37" i="5"/>
  <c r="H34" i="5"/>
  <c r="H35" i="5"/>
  <c r="H32" i="5"/>
  <c r="H12" i="5"/>
  <c r="H11" i="5"/>
  <c r="F21" i="11" l="1"/>
  <c r="E78" i="11"/>
  <c r="E75" i="11" s="1"/>
  <c r="F78" i="11"/>
  <c r="L94" i="11"/>
  <c r="L97" i="11" s="1"/>
  <c r="C75" i="11"/>
  <c r="F75" i="11" s="1"/>
  <c r="G94" i="11"/>
  <c r="G97" i="11" s="1"/>
  <c r="F19" i="11"/>
  <c r="E56" i="11"/>
  <c r="C62" i="11"/>
  <c r="F62" i="11" s="1"/>
  <c r="D61" i="11"/>
  <c r="F90" i="11"/>
  <c r="D53" i="11"/>
  <c r="F53" i="11" s="1"/>
  <c r="F54" i="11"/>
  <c r="F65" i="11"/>
  <c r="H10" i="11"/>
  <c r="H94" i="11" s="1"/>
  <c r="H97" i="11" s="1"/>
  <c r="F51" i="11"/>
  <c r="F26" i="11"/>
  <c r="C25" i="11"/>
  <c r="F25" i="11" s="1"/>
  <c r="K61" i="11"/>
  <c r="E21" i="11"/>
  <c r="E31" i="11"/>
  <c r="D46" i="11"/>
  <c r="F48" i="11"/>
  <c r="F15" i="11"/>
  <c r="C31" i="11"/>
  <c r="F31" i="11" s="1"/>
  <c r="F33" i="11"/>
  <c r="E65" i="11"/>
  <c r="D18" i="11"/>
  <c r="F35" i="11"/>
  <c r="K10" i="11"/>
  <c r="E63" i="11"/>
  <c r="E62" i="11" s="1"/>
  <c r="E90" i="11"/>
  <c r="E19" i="11"/>
  <c r="C18" i="11"/>
  <c r="E46" i="11"/>
  <c r="C56" i="11"/>
  <c r="D56" i="11"/>
  <c r="F57" i="11"/>
  <c r="C46" i="11"/>
  <c r="D35" i="5"/>
  <c r="D45" i="5"/>
  <c r="D32" i="5"/>
  <c r="D11" i="5"/>
  <c r="D34" i="5"/>
  <c r="D44" i="5"/>
  <c r="D12" i="5"/>
  <c r="E39" i="5"/>
  <c r="F39" i="5" s="1"/>
  <c r="E53" i="5"/>
  <c r="E37" i="5"/>
  <c r="E35" i="5"/>
  <c r="E12" i="5"/>
  <c r="E34" i="5"/>
  <c r="G34" i="5" s="1"/>
  <c r="E11" i="5"/>
  <c r="E45" i="5"/>
  <c r="D37" i="5"/>
  <c r="E32" i="5"/>
  <c r="E24" i="5"/>
  <c r="D53" i="5"/>
  <c r="E44" i="5"/>
  <c r="E14" i="5"/>
  <c r="E26" i="11"/>
  <c r="E25" i="11" s="1"/>
  <c r="F63" i="11"/>
  <c r="J52" i="10"/>
  <c r="K48" i="5" s="1"/>
  <c r="I52" i="10"/>
  <c r="J48" i="5" s="1"/>
  <c r="H52" i="10"/>
  <c r="I48" i="5" s="1"/>
  <c r="G52" i="10"/>
  <c r="H48" i="5" s="1"/>
  <c r="L54" i="10"/>
  <c r="L52" i="10" s="1"/>
  <c r="M48" i="5" s="1"/>
  <c r="K54" i="10"/>
  <c r="K52" i="10" s="1"/>
  <c r="L48" i="5" s="1"/>
  <c r="H48" i="10"/>
  <c r="I28" i="5" s="1"/>
  <c r="E28" i="5" s="1"/>
  <c r="G48" i="10"/>
  <c r="H28" i="5" s="1"/>
  <c r="K48" i="10"/>
  <c r="L28" i="5" s="1"/>
  <c r="G47" i="10"/>
  <c r="H24" i="5" s="1"/>
  <c r="L104" i="10"/>
  <c r="M21" i="5" s="1"/>
  <c r="K104" i="10"/>
  <c r="L21" i="5" s="1"/>
  <c r="J104" i="10"/>
  <c r="K21" i="5" s="1"/>
  <c r="I104" i="10"/>
  <c r="J21" i="5" s="1"/>
  <c r="H104" i="10"/>
  <c r="I21" i="5" s="1"/>
  <c r="G104" i="10"/>
  <c r="H21" i="5" s="1"/>
  <c r="D21" i="5" s="1"/>
  <c r="L100" i="10"/>
  <c r="J100" i="10"/>
  <c r="K10" i="5" s="1"/>
  <c r="K13" i="5" s="1"/>
  <c r="I100" i="10"/>
  <c r="H100" i="10"/>
  <c r="G102" i="10"/>
  <c r="G100" i="10" s="1"/>
  <c r="K102" i="10"/>
  <c r="K100" i="10" s="1"/>
  <c r="J150" i="10"/>
  <c r="K46" i="5" s="1"/>
  <c r="I150" i="10"/>
  <c r="J46" i="5" s="1"/>
  <c r="H154" i="10"/>
  <c r="G154" i="10"/>
  <c r="H152" i="10"/>
  <c r="L152" i="10"/>
  <c r="L150" i="10" s="1"/>
  <c r="M46" i="5" s="1"/>
  <c r="G152" i="10"/>
  <c r="K152" i="10"/>
  <c r="K150" i="10" s="1"/>
  <c r="L46" i="5" s="1"/>
  <c r="H142" i="10"/>
  <c r="L142" i="10"/>
  <c r="G142" i="10"/>
  <c r="K142" i="10"/>
  <c r="E21" i="5" l="1"/>
  <c r="G45" i="5"/>
  <c r="E18" i="11"/>
  <c r="E10" i="11" s="1"/>
  <c r="E29" i="11"/>
  <c r="C10" i="11"/>
  <c r="E61" i="11"/>
  <c r="F56" i="11"/>
  <c r="F18" i="11"/>
  <c r="D10" i="11"/>
  <c r="D29" i="11"/>
  <c r="C61" i="11"/>
  <c r="K94" i="11"/>
  <c r="C29" i="11"/>
  <c r="F46" i="11"/>
  <c r="F35" i="5"/>
  <c r="G32" i="5"/>
  <c r="F45" i="5"/>
  <c r="G35" i="5"/>
  <c r="G39" i="5"/>
  <c r="F12" i="5"/>
  <c r="G11" i="5"/>
  <c r="F32" i="5"/>
  <c r="F11" i="5"/>
  <c r="G37" i="5"/>
  <c r="G12" i="5"/>
  <c r="F34" i="5"/>
  <c r="H150" i="10"/>
  <c r="I46" i="5" s="1"/>
  <c r="E46" i="5" s="1"/>
  <c r="F53" i="5"/>
  <c r="F37" i="5"/>
  <c r="I99" i="10"/>
  <c r="J10" i="5"/>
  <c r="J13" i="5" s="1"/>
  <c r="D48" i="5"/>
  <c r="F44" i="5"/>
  <c r="G44" i="5"/>
  <c r="K99" i="10"/>
  <c r="L10" i="5"/>
  <c r="L13" i="5" s="1"/>
  <c r="J99" i="10"/>
  <c r="E48" i="5"/>
  <c r="G53" i="5"/>
  <c r="F21" i="5"/>
  <c r="G21" i="5"/>
  <c r="D28" i="5"/>
  <c r="F28" i="5" s="1"/>
  <c r="G150" i="10"/>
  <c r="H46" i="5" s="1"/>
  <c r="D46" i="5" s="1"/>
  <c r="G99" i="10"/>
  <c r="H10" i="5"/>
  <c r="D24" i="5"/>
  <c r="H99" i="10"/>
  <c r="I10" i="5"/>
  <c r="I13" i="5" s="1"/>
  <c r="L99" i="10"/>
  <c r="M10" i="5"/>
  <c r="J138" i="10"/>
  <c r="K41" i="5" s="1"/>
  <c r="G140" i="10"/>
  <c r="L140" i="10"/>
  <c r="K140" i="10"/>
  <c r="H148" i="10"/>
  <c r="G148" i="10"/>
  <c r="E94" i="11" l="1"/>
  <c r="E97" i="11" s="1"/>
  <c r="F29" i="11"/>
  <c r="C94" i="11"/>
  <c r="K97" i="11"/>
  <c r="D94" i="11"/>
  <c r="F10" i="11"/>
  <c r="F61" i="11"/>
  <c r="G28" i="5"/>
  <c r="F24" i="5"/>
  <c r="G24" i="5"/>
  <c r="H13" i="5"/>
  <c r="D10" i="5"/>
  <c r="D13" i="5" s="1"/>
  <c r="F46" i="5"/>
  <c r="G46" i="5"/>
  <c r="F48" i="5"/>
  <c r="G48" i="5"/>
  <c r="M13" i="5"/>
  <c r="E10" i="5"/>
  <c r="H138" i="10"/>
  <c r="I41" i="5" s="1"/>
  <c r="G143" i="10"/>
  <c r="L143" i="10"/>
  <c r="L138" i="10" s="1"/>
  <c r="M41" i="5" s="1"/>
  <c r="K143" i="10"/>
  <c r="K138" i="10" s="1"/>
  <c r="L41" i="5" s="1"/>
  <c r="I145" i="10"/>
  <c r="I138" i="10" s="1"/>
  <c r="G145" i="10"/>
  <c r="J133" i="10"/>
  <c r="I133" i="10"/>
  <c r="J33" i="5" s="1"/>
  <c r="J36" i="5" s="1"/>
  <c r="H137" i="10"/>
  <c r="H133" i="10" s="1"/>
  <c r="G137" i="10"/>
  <c r="L137" i="10"/>
  <c r="L133" i="10" s="1"/>
  <c r="K137" i="10"/>
  <c r="G135" i="10"/>
  <c r="K135" i="10"/>
  <c r="C97" i="11" l="1"/>
  <c r="D97" i="11"/>
  <c r="F94" i="11"/>
  <c r="K133" i="10"/>
  <c r="L33" i="5" s="1"/>
  <c r="L36" i="5" s="1"/>
  <c r="J132" i="10"/>
  <c r="K33" i="5"/>
  <c r="K36" i="5" s="1"/>
  <c r="G133" i="10"/>
  <c r="H33" i="5" s="1"/>
  <c r="K132" i="10"/>
  <c r="E41" i="5"/>
  <c r="J41" i="5"/>
  <c r="F10" i="5"/>
  <c r="F13" i="5" s="1"/>
  <c r="E13" i="5"/>
  <c r="G13" i="5" s="1"/>
  <c r="G10" i="5"/>
  <c r="H132" i="10"/>
  <c r="I33" i="5"/>
  <c r="I36" i="5" s="1"/>
  <c r="L132" i="10"/>
  <c r="M33" i="5"/>
  <c r="I132" i="10"/>
  <c r="G138" i="10"/>
  <c r="C180" i="10"/>
  <c r="G173" i="10"/>
  <c r="L178" i="10"/>
  <c r="L171" i="10" s="1"/>
  <c r="M55" i="5" s="1"/>
  <c r="K178" i="10"/>
  <c r="K171" i="10" s="1"/>
  <c r="L55" i="5" s="1"/>
  <c r="J178" i="10"/>
  <c r="I178" i="10"/>
  <c r="H178" i="10"/>
  <c r="G178" i="10"/>
  <c r="J174" i="10"/>
  <c r="I174" i="10"/>
  <c r="H174" i="10"/>
  <c r="G174" i="10"/>
  <c r="H161" i="10"/>
  <c r="G161" i="10"/>
  <c r="J160" i="10"/>
  <c r="I160" i="10"/>
  <c r="L160" i="10"/>
  <c r="K160" i="10"/>
  <c r="H160" i="10"/>
  <c r="G160" i="10"/>
  <c r="H158" i="10"/>
  <c r="G158" i="10"/>
  <c r="L158" i="10"/>
  <c r="L156" i="10" s="1"/>
  <c r="M51" i="5" s="1"/>
  <c r="K158" i="10"/>
  <c r="L163" i="10"/>
  <c r="K163" i="10"/>
  <c r="J163" i="10"/>
  <c r="I163" i="10"/>
  <c r="H163" i="10"/>
  <c r="G163" i="10"/>
  <c r="G162" i="10"/>
  <c r="J162" i="10"/>
  <c r="I162" i="10"/>
  <c r="H162" i="10"/>
  <c r="I171" i="10" l="1"/>
  <c r="J55" i="5" s="1"/>
  <c r="K156" i="10"/>
  <c r="K155" i="10" s="1"/>
  <c r="F97" i="11"/>
  <c r="H171" i="10"/>
  <c r="I55" i="5" s="1"/>
  <c r="E55" i="5" s="1"/>
  <c r="G156" i="10"/>
  <c r="H51" i="5" s="1"/>
  <c r="I156" i="10"/>
  <c r="L51" i="5"/>
  <c r="J51" i="5"/>
  <c r="J156" i="10"/>
  <c r="K51" i="5" s="1"/>
  <c r="D33" i="5"/>
  <c r="H36" i="5"/>
  <c r="D36" i="5" s="1"/>
  <c r="H156" i="10"/>
  <c r="I51" i="5" s="1"/>
  <c r="E51" i="5" s="1"/>
  <c r="G132" i="10"/>
  <c r="H41" i="5"/>
  <c r="D41" i="5" s="1"/>
  <c r="G41" i="5" s="1"/>
  <c r="J171" i="10"/>
  <c r="K55" i="5" s="1"/>
  <c r="M36" i="5"/>
  <c r="E36" i="5" s="1"/>
  <c r="E33" i="5"/>
  <c r="L155" i="10"/>
  <c r="H155" i="10"/>
  <c r="G171" i="10"/>
  <c r="H131" i="10"/>
  <c r="I56" i="5" s="1"/>
  <c r="L131" i="10"/>
  <c r="M56" i="5" s="1"/>
  <c r="K131" i="10"/>
  <c r="L56" i="5" s="1"/>
  <c r="G131" i="10"/>
  <c r="H56" i="5" s="1"/>
  <c r="K130" i="10"/>
  <c r="L50" i="5" s="1"/>
  <c r="L130" i="10"/>
  <c r="M50" i="5" s="1"/>
  <c r="H130" i="10"/>
  <c r="I50" i="5" s="1"/>
  <c r="G130" i="10"/>
  <c r="H50" i="5" s="1"/>
  <c r="J124" i="10"/>
  <c r="K40" i="5" s="1"/>
  <c r="I124" i="10"/>
  <c r="J40" i="5" s="1"/>
  <c r="L126" i="10"/>
  <c r="L124" i="10" s="1"/>
  <c r="M40" i="5" s="1"/>
  <c r="K126" i="10"/>
  <c r="K124" i="10" s="1"/>
  <c r="L40" i="5" s="1"/>
  <c r="H126" i="10"/>
  <c r="H124" i="10" s="1"/>
  <c r="I40" i="5" s="1"/>
  <c r="G126" i="10"/>
  <c r="G127" i="10"/>
  <c r="J118" i="10"/>
  <c r="K30" i="5" s="1"/>
  <c r="I118" i="10"/>
  <c r="J30" i="5" s="1"/>
  <c r="H122" i="10"/>
  <c r="H118" i="10" s="1"/>
  <c r="I30" i="5" s="1"/>
  <c r="G122" i="10"/>
  <c r="L118" i="10"/>
  <c r="M30" i="5" s="1"/>
  <c r="K120" i="10"/>
  <c r="K118" i="10" s="1"/>
  <c r="L30" i="5" s="1"/>
  <c r="G120" i="10"/>
  <c r="L114" i="10"/>
  <c r="M26" i="5" s="1"/>
  <c r="J114" i="10"/>
  <c r="K26" i="5" s="1"/>
  <c r="I114" i="10"/>
  <c r="J26" i="5" s="1"/>
  <c r="H114" i="10"/>
  <c r="I26" i="5" s="1"/>
  <c r="K116" i="10"/>
  <c r="K114" i="10" s="1"/>
  <c r="L26" i="5" s="1"/>
  <c r="G116" i="10"/>
  <c r="G114" i="10" s="1"/>
  <c r="H109" i="10"/>
  <c r="I22" i="5" s="1"/>
  <c r="I109" i="10"/>
  <c r="J22" i="5" s="1"/>
  <c r="J109" i="10"/>
  <c r="K22" i="5" s="1"/>
  <c r="K109" i="10"/>
  <c r="L22" i="5" s="1"/>
  <c r="L109" i="10"/>
  <c r="M22" i="5" s="1"/>
  <c r="G111" i="10"/>
  <c r="G113" i="10"/>
  <c r="I155" i="10" l="1"/>
  <c r="G118" i="10"/>
  <c r="H30" i="5" s="1"/>
  <c r="D30" i="5" s="1"/>
  <c r="D51" i="5"/>
  <c r="F51" i="5" s="1"/>
  <c r="E40" i="5"/>
  <c r="D50" i="5"/>
  <c r="F41" i="5"/>
  <c r="G109" i="10"/>
  <c r="H22" i="5" s="1"/>
  <c r="D22" i="5" s="1"/>
  <c r="E50" i="5"/>
  <c r="E22" i="5"/>
  <c r="H26" i="5"/>
  <c r="D26" i="5" s="1"/>
  <c r="E56" i="5"/>
  <c r="G124" i="10"/>
  <c r="H40" i="5" s="1"/>
  <c r="D40" i="5" s="1"/>
  <c r="D56" i="5"/>
  <c r="G155" i="10"/>
  <c r="H55" i="5"/>
  <c r="D55" i="5" s="1"/>
  <c r="G55" i="5" s="1"/>
  <c r="J155" i="10"/>
  <c r="E30" i="5"/>
  <c r="E26" i="5"/>
  <c r="G33" i="5"/>
  <c r="F33" i="5"/>
  <c r="G36" i="5"/>
  <c r="F36" i="5"/>
  <c r="L108" i="10"/>
  <c r="K108" i="10"/>
  <c r="H108" i="10"/>
  <c r="J108" i="10"/>
  <c r="I108" i="10"/>
  <c r="D86" i="9"/>
  <c r="D83" i="9" s="1"/>
  <c r="C83" i="9"/>
  <c r="G51" i="5" l="1"/>
  <c r="F50" i="5"/>
  <c r="G40" i="5"/>
  <c r="F55" i="5"/>
  <c r="G50" i="5"/>
  <c r="F40" i="5"/>
  <c r="F56" i="5"/>
  <c r="G56" i="5"/>
  <c r="F22" i="5"/>
  <c r="G22" i="5"/>
  <c r="G108" i="10"/>
  <c r="F30" i="5"/>
  <c r="G30" i="5"/>
  <c r="F26" i="5"/>
  <c r="G26" i="5"/>
  <c r="E86" i="9"/>
  <c r="E85" i="9" l="1"/>
  <c r="E84" i="9"/>
  <c r="C82" i="9"/>
  <c r="D82" i="9"/>
  <c r="D71" i="9"/>
  <c r="C71" i="9"/>
  <c r="E73" i="9"/>
  <c r="E74" i="9"/>
  <c r="E75" i="9"/>
  <c r="E76" i="9"/>
  <c r="E77" i="9"/>
  <c r="E78" i="9"/>
  <c r="E79" i="9"/>
  <c r="E80" i="9"/>
  <c r="E81" i="9"/>
  <c r="E72" i="9"/>
  <c r="E67" i="9"/>
  <c r="E68" i="9"/>
  <c r="E69" i="9"/>
  <c r="E70" i="9"/>
  <c r="E66" i="9"/>
  <c r="D65" i="9"/>
  <c r="C65" i="9"/>
  <c r="D62" i="9"/>
  <c r="C62" i="9"/>
  <c r="E64" i="9"/>
  <c r="E63" i="9"/>
  <c r="E62" i="9" s="1"/>
  <c r="E54" i="9"/>
  <c r="E55" i="9"/>
  <c r="E56" i="9"/>
  <c r="E57" i="9"/>
  <c r="E58" i="9"/>
  <c r="E59" i="9"/>
  <c r="E60" i="9"/>
  <c r="E61" i="9"/>
  <c r="E51" i="9"/>
  <c r="E50" i="9"/>
  <c r="E49" i="9"/>
  <c r="E48" i="9"/>
  <c r="E46" i="9"/>
  <c r="D37" i="9"/>
  <c r="D24" i="9" s="1"/>
  <c r="H38" i="10"/>
  <c r="E26" i="9"/>
  <c r="E27" i="9"/>
  <c r="E28" i="9"/>
  <c r="E29" i="9"/>
  <c r="E30" i="9"/>
  <c r="E31" i="9"/>
  <c r="E32" i="9"/>
  <c r="E33" i="9"/>
  <c r="E34" i="9"/>
  <c r="E35" i="9"/>
  <c r="E36" i="9"/>
  <c r="E38" i="9"/>
  <c r="E39" i="9"/>
  <c r="E40" i="9"/>
  <c r="E41" i="9"/>
  <c r="E42" i="9"/>
  <c r="E43" i="9"/>
  <c r="E44" i="9"/>
  <c r="E45" i="9"/>
  <c r="E25" i="9"/>
  <c r="E22" i="9"/>
  <c r="D47" i="9"/>
  <c r="C47" i="9"/>
  <c r="C24" i="9"/>
  <c r="F14" i="9"/>
  <c r="F15" i="9"/>
  <c r="F16" i="9"/>
  <c r="F17" i="9"/>
  <c r="F18" i="9"/>
  <c r="F19" i="9"/>
  <c r="F20" i="9"/>
  <c r="F22" i="9"/>
  <c r="F25" i="9"/>
  <c r="F26" i="9"/>
  <c r="F27" i="9"/>
  <c r="F28" i="9"/>
  <c r="F29" i="9"/>
  <c r="F30" i="9"/>
  <c r="F31" i="9"/>
  <c r="F32" i="9"/>
  <c r="F33" i="9"/>
  <c r="F34" i="9"/>
  <c r="F35" i="9"/>
  <c r="F36" i="9"/>
  <c r="F38" i="9"/>
  <c r="F39" i="9"/>
  <c r="F40" i="9"/>
  <c r="F41" i="9"/>
  <c r="F42" i="9"/>
  <c r="F43" i="9"/>
  <c r="F44" i="9"/>
  <c r="F45" i="9"/>
  <c r="F46" i="9"/>
  <c r="F48" i="9"/>
  <c r="F49" i="9"/>
  <c r="F50" i="9"/>
  <c r="F51" i="9"/>
  <c r="F54" i="9"/>
  <c r="F55" i="9"/>
  <c r="F56" i="9"/>
  <c r="F57" i="9"/>
  <c r="F58" i="9"/>
  <c r="F59" i="9"/>
  <c r="F60" i="9"/>
  <c r="F61" i="9"/>
  <c r="F63" i="9"/>
  <c r="F64" i="9"/>
  <c r="F66" i="9"/>
  <c r="F67" i="9"/>
  <c r="F68" i="9"/>
  <c r="F69" i="9"/>
  <c r="F70" i="9"/>
  <c r="F73" i="9"/>
  <c r="F74" i="9"/>
  <c r="F75" i="9"/>
  <c r="F76" i="9"/>
  <c r="F77" i="9"/>
  <c r="F78" i="9"/>
  <c r="F79" i="9"/>
  <c r="F84" i="9"/>
  <c r="D52" i="9"/>
  <c r="E15" i="9"/>
  <c r="E16" i="9"/>
  <c r="E17" i="9"/>
  <c r="E18" i="9"/>
  <c r="E19" i="9"/>
  <c r="E20" i="9"/>
  <c r="E14" i="9"/>
  <c r="D13" i="9"/>
  <c r="E65" i="9" l="1"/>
  <c r="E71" i="9"/>
  <c r="E83" i="9"/>
  <c r="E82" i="9" s="1"/>
  <c r="F24" i="9"/>
  <c r="F82" i="9"/>
  <c r="F83" i="9"/>
  <c r="F71" i="9"/>
  <c r="F65" i="9"/>
  <c r="F62" i="9"/>
  <c r="E47" i="9"/>
  <c r="E37" i="9"/>
  <c r="E24" i="9" s="1"/>
  <c r="F37" i="9"/>
  <c r="D23" i="9"/>
  <c r="D21" i="9" s="1"/>
  <c r="F47" i="9"/>
  <c r="E13" i="9"/>
  <c r="G23" i="10"/>
  <c r="H23" i="10"/>
  <c r="I20" i="10"/>
  <c r="L20" i="10"/>
  <c r="K20" i="10"/>
  <c r="D87" i="9" l="1"/>
  <c r="G20" i="10"/>
  <c r="C20" i="10" s="1"/>
  <c r="L25" i="10"/>
  <c r="K25" i="10"/>
  <c r="J25" i="10"/>
  <c r="I25" i="10"/>
  <c r="H25" i="10"/>
  <c r="D38" i="10"/>
  <c r="G38" i="10"/>
  <c r="G25" i="10" s="1"/>
  <c r="L9" i="10"/>
  <c r="K9" i="10"/>
  <c r="J9" i="10"/>
  <c r="I9" i="10"/>
  <c r="C21" i="10"/>
  <c r="D21" i="10"/>
  <c r="C22" i="10"/>
  <c r="D22" i="10"/>
  <c r="C23" i="10"/>
  <c r="D23" i="10"/>
  <c r="C24" i="10"/>
  <c r="D24" i="10"/>
  <c r="C26" i="10"/>
  <c r="D26" i="10"/>
  <c r="C27" i="10"/>
  <c r="E27" i="10" s="1"/>
  <c r="D27" i="10"/>
  <c r="C28" i="10"/>
  <c r="D28" i="10"/>
  <c r="C29" i="10"/>
  <c r="D29" i="10"/>
  <c r="C30" i="10"/>
  <c r="D30" i="10"/>
  <c r="C31" i="10"/>
  <c r="D31" i="10"/>
  <c r="C32" i="10"/>
  <c r="D32" i="10"/>
  <c r="C33" i="10"/>
  <c r="F33" i="10" s="1"/>
  <c r="D33" i="10"/>
  <c r="C34" i="10"/>
  <c r="D34" i="10"/>
  <c r="C35" i="10"/>
  <c r="E35" i="10" s="1"/>
  <c r="D35" i="10"/>
  <c r="C36" i="10"/>
  <c r="D36" i="10"/>
  <c r="C37" i="10"/>
  <c r="D37" i="10"/>
  <c r="C38" i="10"/>
  <c r="C39" i="10"/>
  <c r="D39" i="10"/>
  <c r="C40" i="10"/>
  <c r="D40" i="10"/>
  <c r="C41" i="10"/>
  <c r="D41" i="10"/>
  <c r="C42" i="10"/>
  <c r="D42" i="10"/>
  <c r="C43" i="10"/>
  <c r="D43" i="10"/>
  <c r="F43" i="10" s="1"/>
  <c r="C44" i="10"/>
  <c r="D44" i="10"/>
  <c r="C45" i="10"/>
  <c r="D45" i="10"/>
  <c r="C46" i="10"/>
  <c r="D46" i="10"/>
  <c r="C47" i="10"/>
  <c r="D47" i="10"/>
  <c r="C48" i="10"/>
  <c r="D48" i="10"/>
  <c r="C49" i="10"/>
  <c r="D49" i="10"/>
  <c r="C50" i="10"/>
  <c r="D50" i="10"/>
  <c r="C51" i="10"/>
  <c r="D51" i="10"/>
  <c r="C53" i="10"/>
  <c r="D53" i="10"/>
  <c r="C54" i="10"/>
  <c r="D54" i="10"/>
  <c r="C55" i="10"/>
  <c r="D55" i="10"/>
  <c r="C56" i="10"/>
  <c r="D56" i="10"/>
  <c r="C12" i="10"/>
  <c r="D12" i="10"/>
  <c r="C14" i="10"/>
  <c r="D14" i="10"/>
  <c r="C16" i="10"/>
  <c r="D16" i="10"/>
  <c r="C17" i="10"/>
  <c r="D17" i="10"/>
  <c r="C18" i="10"/>
  <c r="D18" i="10"/>
  <c r="C19" i="10"/>
  <c r="D19" i="10"/>
  <c r="C11" i="10"/>
  <c r="H11" i="10"/>
  <c r="H9" i="10" s="1"/>
  <c r="G9" i="10"/>
  <c r="L95" i="10"/>
  <c r="M54" i="5" s="1"/>
  <c r="M57" i="5" s="1"/>
  <c r="K95" i="10"/>
  <c r="L54" i="5" s="1"/>
  <c r="L57" i="5" s="1"/>
  <c r="J95" i="10"/>
  <c r="K54" i="5" s="1"/>
  <c r="K57" i="5" s="1"/>
  <c r="I95" i="10"/>
  <c r="J54" i="5" s="1"/>
  <c r="J57" i="5" s="1"/>
  <c r="H95" i="10"/>
  <c r="I54" i="5" s="1"/>
  <c r="G95" i="10"/>
  <c r="H54" i="5" s="1"/>
  <c r="J91" i="10"/>
  <c r="K49" i="5" s="1"/>
  <c r="K52" i="5" s="1"/>
  <c r="I91" i="10"/>
  <c r="J49" i="5" s="1"/>
  <c r="J52" i="5" s="1"/>
  <c r="H91" i="10"/>
  <c r="I49" i="5" s="1"/>
  <c r="I52" i="5" s="1"/>
  <c r="D93" i="10"/>
  <c r="K93" i="10"/>
  <c r="K91" i="10" s="1"/>
  <c r="L49" i="5" s="1"/>
  <c r="L52" i="5" s="1"/>
  <c r="G93" i="10"/>
  <c r="G91" i="10" s="1"/>
  <c r="H49" i="5" s="1"/>
  <c r="J86" i="10"/>
  <c r="K43" i="5" s="1"/>
  <c r="K47" i="5" s="1"/>
  <c r="I86" i="10"/>
  <c r="J43" i="5" s="1"/>
  <c r="J47" i="5" s="1"/>
  <c r="H86" i="10"/>
  <c r="I43" i="5" s="1"/>
  <c r="L88" i="10"/>
  <c r="K88" i="10"/>
  <c r="G88" i="10"/>
  <c r="G86" i="10" s="1"/>
  <c r="H43" i="5" s="1"/>
  <c r="L90" i="10"/>
  <c r="D90" i="10" s="1"/>
  <c r="K90" i="10"/>
  <c r="C90" i="10" s="1"/>
  <c r="L82" i="10"/>
  <c r="M38" i="5" s="1"/>
  <c r="M42" i="5" s="1"/>
  <c r="K82" i="10"/>
  <c r="L38" i="5" s="1"/>
  <c r="L42" i="5" s="1"/>
  <c r="J82" i="10"/>
  <c r="K38" i="5" s="1"/>
  <c r="K42" i="5" s="1"/>
  <c r="I82" i="10"/>
  <c r="J38" i="5" s="1"/>
  <c r="J42" i="5" s="1"/>
  <c r="H82" i="10"/>
  <c r="I38" i="5" s="1"/>
  <c r="G82" i="10"/>
  <c r="H38" i="5" s="1"/>
  <c r="L77" i="10"/>
  <c r="M29" i="5" s="1"/>
  <c r="M31" i="5" s="1"/>
  <c r="K77" i="10"/>
  <c r="L29" i="5" s="1"/>
  <c r="L31" i="5" s="1"/>
  <c r="J77" i="10"/>
  <c r="K29" i="5" s="1"/>
  <c r="K31" i="5" s="1"/>
  <c r="I77" i="10"/>
  <c r="J29" i="5" s="1"/>
  <c r="J31" i="5" s="1"/>
  <c r="H77" i="10"/>
  <c r="I29" i="5" s="1"/>
  <c r="G77" i="10"/>
  <c r="H29" i="5" s="1"/>
  <c r="J73" i="10"/>
  <c r="K25" i="5" s="1"/>
  <c r="K27" i="5" s="1"/>
  <c r="I73" i="10"/>
  <c r="J25" i="5" s="1"/>
  <c r="J27" i="5" s="1"/>
  <c r="L73" i="10"/>
  <c r="M25" i="5" s="1"/>
  <c r="H75" i="10"/>
  <c r="H73" i="10" s="1"/>
  <c r="I25" i="5" s="1"/>
  <c r="I27" i="5" s="1"/>
  <c r="G75" i="10"/>
  <c r="G73" i="10" s="1"/>
  <c r="H25" i="5" s="1"/>
  <c r="K75" i="10"/>
  <c r="K73" i="10" s="1"/>
  <c r="L25" i="5" s="1"/>
  <c r="L27" i="5" s="1"/>
  <c r="L68" i="10"/>
  <c r="M20" i="5" s="1"/>
  <c r="K68" i="10"/>
  <c r="L20" i="5" s="1"/>
  <c r="L23" i="5" s="1"/>
  <c r="J68" i="10"/>
  <c r="K20" i="5" s="1"/>
  <c r="K23" i="5" s="1"/>
  <c r="I68" i="10"/>
  <c r="J20" i="5" s="1"/>
  <c r="J23" i="5" s="1"/>
  <c r="D70" i="10"/>
  <c r="G70" i="10"/>
  <c r="C70" i="10" s="1"/>
  <c r="G71" i="10"/>
  <c r="C71" i="10" s="1"/>
  <c r="H67" i="10"/>
  <c r="G67" i="10"/>
  <c r="L63" i="10"/>
  <c r="L60" i="10" s="1"/>
  <c r="M16" i="5" s="1"/>
  <c r="K63" i="10"/>
  <c r="K60" i="10" s="1"/>
  <c r="L16" i="5" s="1"/>
  <c r="J63" i="10"/>
  <c r="J60" i="10" s="1"/>
  <c r="I63" i="10"/>
  <c r="I60" i="10" s="1"/>
  <c r="H63" i="10"/>
  <c r="H60" i="10" s="1"/>
  <c r="I16" i="5" s="1"/>
  <c r="E16" i="5" s="1"/>
  <c r="G63" i="10"/>
  <c r="G60" i="10" s="1"/>
  <c r="G59" i="10"/>
  <c r="C61" i="10"/>
  <c r="D61" i="10"/>
  <c r="C62" i="10"/>
  <c r="D62" i="10"/>
  <c r="C64" i="10"/>
  <c r="D64" i="10"/>
  <c r="C65" i="10"/>
  <c r="D65" i="10"/>
  <c r="C66" i="10"/>
  <c r="D66" i="10"/>
  <c r="C69" i="10"/>
  <c r="D69" i="10"/>
  <c r="D71" i="10"/>
  <c r="C72" i="10"/>
  <c r="D72" i="10"/>
  <c r="C74" i="10"/>
  <c r="D74" i="10"/>
  <c r="C76" i="10"/>
  <c r="D76" i="10"/>
  <c r="C78" i="10"/>
  <c r="D78" i="10"/>
  <c r="C79" i="10"/>
  <c r="D79" i="10"/>
  <c r="C80" i="10"/>
  <c r="D80" i="10"/>
  <c r="C81" i="10"/>
  <c r="D81" i="10"/>
  <c r="C83" i="10"/>
  <c r="D83" i="10"/>
  <c r="C84" i="10"/>
  <c r="D84" i="10"/>
  <c r="C85" i="10"/>
  <c r="D85" i="10"/>
  <c r="C87" i="10"/>
  <c r="D87" i="10"/>
  <c r="C89" i="10"/>
  <c r="D89" i="10"/>
  <c r="C92" i="10"/>
  <c r="D92" i="10"/>
  <c r="C94" i="10"/>
  <c r="D94" i="10"/>
  <c r="C96" i="10"/>
  <c r="D96" i="10"/>
  <c r="E96" i="10" s="1"/>
  <c r="C97" i="10"/>
  <c r="D97" i="10"/>
  <c r="C98" i="10"/>
  <c r="D98" i="10"/>
  <c r="C101" i="10"/>
  <c r="D101" i="10"/>
  <c r="C102" i="10"/>
  <c r="D102" i="10"/>
  <c r="C103" i="10"/>
  <c r="D103" i="10"/>
  <c r="C105" i="10"/>
  <c r="D105" i="10"/>
  <c r="E105" i="10" s="1"/>
  <c r="C106" i="10"/>
  <c r="D106" i="10"/>
  <c r="D104" i="10" s="1"/>
  <c r="C107" i="10"/>
  <c r="D107" i="10"/>
  <c r="E107" i="10" s="1"/>
  <c r="C110" i="10"/>
  <c r="D110" i="10"/>
  <c r="C111" i="10"/>
  <c r="D111" i="10"/>
  <c r="C112" i="10"/>
  <c r="D112" i="10"/>
  <c r="C113" i="10"/>
  <c r="D113" i="10"/>
  <c r="E113" i="10" s="1"/>
  <c r="C115" i="10"/>
  <c r="D115" i="10"/>
  <c r="C116" i="10"/>
  <c r="D116" i="10"/>
  <c r="C117" i="10"/>
  <c r="D117" i="10"/>
  <c r="C119" i="10"/>
  <c r="D119" i="10"/>
  <c r="E119" i="10" s="1"/>
  <c r="C120" i="10"/>
  <c r="D120" i="10"/>
  <c r="C121" i="10"/>
  <c r="D121" i="10"/>
  <c r="E121" i="10" s="1"/>
  <c r="C122" i="10"/>
  <c r="D122" i="10"/>
  <c r="C123" i="10"/>
  <c r="D123" i="10"/>
  <c r="E123" i="10" s="1"/>
  <c r="C125" i="10"/>
  <c r="D125" i="10"/>
  <c r="C126" i="10"/>
  <c r="D126" i="10"/>
  <c r="C127" i="10"/>
  <c r="D127" i="10"/>
  <c r="C128" i="10"/>
  <c r="D128" i="10"/>
  <c r="E128" i="10" s="1"/>
  <c r="C129" i="10"/>
  <c r="D129" i="10"/>
  <c r="C130" i="10"/>
  <c r="D130" i="10"/>
  <c r="C131" i="10"/>
  <c r="D131" i="10"/>
  <c r="C134" i="10"/>
  <c r="D134" i="10"/>
  <c r="E134" i="10" s="1"/>
  <c r="C135" i="10"/>
  <c r="D135" i="10"/>
  <c r="C136" i="10"/>
  <c r="D136" i="10"/>
  <c r="E136" i="10" s="1"/>
  <c r="C137" i="10"/>
  <c r="D137" i="10"/>
  <c r="C139" i="10"/>
  <c r="D139" i="10"/>
  <c r="E139" i="10" s="1"/>
  <c r="C140" i="10"/>
  <c r="D140" i="10"/>
  <c r="C141" i="10"/>
  <c r="D141" i="10"/>
  <c r="E141" i="10" s="1"/>
  <c r="C142" i="10"/>
  <c r="D142" i="10"/>
  <c r="C143" i="10"/>
  <c r="D143" i="10"/>
  <c r="C144" i="10"/>
  <c r="D144" i="10"/>
  <c r="C145" i="10"/>
  <c r="D145" i="10"/>
  <c r="F145" i="10" s="1"/>
  <c r="C146" i="10"/>
  <c r="D146" i="10"/>
  <c r="C147" i="10"/>
  <c r="D147" i="10"/>
  <c r="E147" i="10" s="1"/>
  <c r="C148" i="10"/>
  <c r="D148" i="10"/>
  <c r="C149" i="10"/>
  <c r="D149" i="10"/>
  <c r="E149" i="10" s="1"/>
  <c r="C151" i="10"/>
  <c r="D151" i="10"/>
  <c r="C152" i="10"/>
  <c r="D152" i="10"/>
  <c r="C153" i="10"/>
  <c r="D153" i="10"/>
  <c r="C154" i="10"/>
  <c r="D154" i="10"/>
  <c r="F154" i="10" s="1"/>
  <c r="C157" i="10"/>
  <c r="D157" i="10"/>
  <c r="C158" i="10"/>
  <c r="D158" i="10"/>
  <c r="C159" i="10"/>
  <c r="D159" i="10"/>
  <c r="C160" i="10"/>
  <c r="D160" i="10"/>
  <c r="C161" i="10"/>
  <c r="D161" i="10"/>
  <c r="C162" i="10"/>
  <c r="D162" i="10"/>
  <c r="C164" i="10"/>
  <c r="D164" i="10"/>
  <c r="C165" i="10"/>
  <c r="D165" i="10"/>
  <c r="C166" i="10"/>
  <c r="D166" i="10"/>
  <c r="C167" i="10"/>
  <c r="D167" i="10"/>
  <c r="F167" i="10" s="1"/>
  <c r="C168" i="10"/>
  <c r="D168" i="10"/>
  <c r="C169" i="10"/>
  <c r="D169" i="10"/>
  <c r="E169" i="10" s="1"/>
  <c r="C170" i="10"/>
  <c r="D170" i="10"/>
  <c r="C172" i="10"/>
  <c r="D172" i="10"/>
  <c r="E172" i="10" s="1"/>
  <c r="C173" i="10"/>
  <c r="D173" i="10"/>
  <c r="C174" i="10"/>
  <c r="D174" i="10"/>
  <c r="C175" i="10"/>
  <c r="D175" i="10"/>
  <c r="C176" i="10"/>
  <c r="D176" i="10"/>
  <c r="C177" i="10"/>
  <c r="D177" i="10"/>
  <c r="C179" i="10"/>
  <c r="D179" i="10"/>
  <c r="E179" i="10" s="1"/>
  <c r="D180" i="10"/>
  <c r="E180" i="10" s="1"/>
  <c r="C181" i="10"/>
  <c r="D181" i="10"/>
  <c r="C182" i="10"/>
  <c r="D182" i="10"/>
  <c r="D59" i="10"/>
  <c r="C58" i="10"/>
  <c r="D58" i="10"/>
  <c r="E28" i="10" l="1"/>
  <c r="E37" i="10"/>
  <c r="F35" i="10"/>
  <c r="E33" i="10"/>
  <c r="E29" i="10"/>
  <c r="E92" i="10"/>
  <c r="E64" i="10"/>
  <c r="E53" i="10"/>
  <c r="E182" i="10"/>
  <c r="E177" i="10"/>
  <c r="E168" i="10"/>
  <c r="F146" i="10"/>
  <c r="K86" i="10"/>
  <c r="L43" i="5" s="1"/>
  <c r="L47" i="5" s="1"/>
  <c r="C178" i="10"/>
  <c r="E87" i="10"/>
  <c r="C77" i="10"/>
  <c r="C63" i="10"/>
  <c r="C60" i="10" s="1"/>
  <c r="D11" i="10"/>
  <c r="D9" i="10" s="1"/>
  <c r="D8" i="10" s="1"/>
  <c r="C95" i="10"/>
  <c r="E85" i="10"/>
  <c r="E83" i="10"/>
  <c r="E80" i="10"/>
  <c r="E78" i="10"/>
  <c r="F41" i="10"/>
  <c r="F55" i="10"/>
  <c r="F27" i="10"/>
  <c r="E65" i="10"/>
  <c r="H47" i="5"/>
  <c r="D49" i="5"/>
  <c r="H52" i="5"/>
  <c r="D52" i="5" s="1"/>
  <c r="E54" i="5"/>
  <c r="I57" i="5"/>
  <c r="E57" i="5" s="1"/>
  <c r="H8" i="10"/>
  <c r="I17" i="5"/>
  <c r="I15" i="10"/>
  <c r="C68" i="10"/>
  <c r="G68" i="10"/>
  <c r="H20" i="5" s="1"/>
  <c r="E38" i="5"/>
  <c r="I42" i="5"/>
  <c r="E42" i="5" s="1"/>
  <c r="D91" i="10"/>
  <c r="C25" i="10"/>
  <c r="C15" i="10" s="1"/>
  <c r="I8" i="10"/>
  <c r="J17" i="5"/>
  <c r="H16" i="5"/>
  <c r="D16" i="5" s="1"/>
  <c r="F16" i="5" s="1"/>
  <c r="D25" i="5"/>
  <c r="H27" i="5"/>
  <c r="D27" i="5" s="1"/>
  <c r="D38" i="5"/>
  <c r="H42" i="5"/>
  <c r="D42" i="5" s="1"/>
  <c r="I47" i="5"/>
  <c r="L8" i="10"/>
  <c r="M17" i="5"/>
  <c r="F58" i="10"/>
  <c r="F37" i="10"/>
  <c r="D82" i="10"/>
  <c r="F81" i="10"/>
  <c r="D77" i="10"/>
  <c r="D63" i="10"/>
  <c r="D60" i="10" s="1"/>
  <c r="C59" i="10"/>
  <c r="E59" i="10" s="1"/>
  <c r="H14" i="5"/>
  <c r="D14" i="5" s="1"/>
  <c r="I57" i="10"/>
  <c r="J16" i="5"/>
  <c r="C67" i="10"/>
  <c r="H19" i="5"/>
  <c r="D19" i="5" s="1"/>
  <c r="D68" i="10"/>
  <c r="E68" i="10" s="1"/>
  <c r="D29" i="5"/>
  <c r="H31" i="5"/>
  <c r="D31" i="5" s="1"/>
  <c r="L86" i="10"/>
  <c r="M43" i="5" s="1"/>
  <c r="M47" i="5" s="1"/>
  <c r="C52" i="10"/>
  <c r="E47" i="10"/>
  <c r="E43" i="10"/>
  <c r="E36" i="10"/>
  <c r="K15" i="10"/>
  <c r="J15" i="10"/>
  <c r="K15" i="5" s="1"/>
  <c r="C171" i="10"/>
  <c r="F177" i="10"/>
  <c r="E175" i="10"/>
  <c r="F170" i="10"/>
  <c r="E166" i="10"/>
  <c r="E164" i="10"/>
  <c r="F161" i="10"/>
  <c r="E159" i="10"/>
  <c r="E157" i="10"/>
  <c r="E153" i="10"/>
  <c r="E151" i="10"/>
  <c r="E140" i="10"/>
  <c r="E131" i="10"/>
  <c r="F129" i="10"/>
  <c r="E125" i="10"/>
  <c r="F122" i="10"/>
  <c r="E117" i="10"/>
  <c r="E115" i="10"/>
  <c r="E112" i="10"/>
  <c r="E110" i="10"/>
  <c r="F103" i="10"/>
  <c r="E101" i="10"/>
  <c r="E97" i="10"/>
  <c r="J57" i="10"/>
  <c r="K16" i="5"/>
  <c r="D67" i="10"/>
  <c r="I19" i="5"/>
  <c r="E19" i="5" s="1"/>
  <c r="E29" i="5"/>
  <c r="I31" i="5"/>
  <c r="E31" i="5" s="1"/>
  <c r="D54" i="5"/>
  <c r="H57" i="5"/>
  <c r="D57" i="5" s="1"/>
  <c r="C9" i="10"/>
  <c r="C8" i="10" s="1"/>
  <c r="L15" i="10"/>
  <c r="E25" i="5"/>
  <c r="M27" i="5"/>
  <c r="E27" i="5" s="1"/>
  <c r="E41" i="10"/>
  <c r="J8" i="10"/>
  <c r="K17" i="5"/>
  <c r="G8" i="10"/>
  <c r="H17" i="5"/>
  <c r="K8" i="10"/>
  <c r="L17" i="5"/>
  <c r="M23" i="5"/>
  <c r="F135" i="10"/>
  <c r="D133" i="10"/>
  <c r="D118" i="10"/>
  <c r="E165" i="10"/>
  <c r="D163" i="10"/>
  <c r="D156" i="10" s="1"/>
  <c r="D150" i="10"/>
  <c r="E126" i="10"/>
  <c r="D124" i="10"/>
  <c r="D114" i="10"/>
  <c r="D109" i="10"/>
  <c r="E102" i="10"/>
  <c r="D100" i="10"/>
  <c r="D99" i="10" s="1"/>
  <c r="E181" i="10"/>
  <c r="C163" i="10"/>
  <c r="C156" i="10" s="1"/>
  <c r="C150" i="10"/>
  <c r="C124" i="10"/>
  <c r="F124" i="10" s="1"/>
  <c r="C114" i="10"/>
  <c r="C109" i="10"/>
  <c r="C100" i="10"/>
  <c r="F98" i="10"/>
  <c r="D88" i="10"/>
  <c r="D86" i="10" s="1"/>
  <c r="F71" i="10"/>
  <c r="D75" i="10"/>
  <c r="D73" i="10" s="1"/>
  <c r="C88" i="10"/>
  <c r="C86" i="10" s="1"/>
  <c r="D95" i="10"/>
  <c r="E17" i="10"/>
  <c r="E14" i="10"/>
  <c r="D52" i="10"/>
  <c r="E51" i="10"/>
  <c r="E45" i="10"/>
  <c r="E39" i="10"/>
  <c r="F29" i="10"/>
  <c r="G15" i="10"/>
  <c r="H15" i="10"/>
  <c r="E173" i="10"/>
  <c r="H68" i="10"/>
  <c r="D178" i="10"/>
  <c r="C138" i="10"/>
  <c r="C133" i="10"/>
  <c r="C118" i="10"/>
  <c r="F106" i="10"/>
  <c r="C104" i="10"/>
  <c r="F104" i="10" s="1"/>
  <c r="E84" i="10"/>
  <c r="E72" i="10"/>
  <c r="E69" i="10"/>
  <c r="E61" i="10"/>
  <c r="C75" i="10"/>
  <c r="C73" i="10" s="1"/>
  <c r="C82" i="10"/>
  <c r="L91" i="10"/>
  <c r="E16" i="10"/>
  <c r="E55" i="10"/>
  <c r="E26" i="10"/>
  <c r="F21" i="10"/>
  <c r="E56" i="10"/>
  <c r="E54" i="10"/>
  <c r="E52" i="10" s="1"/>
  <c r="F51" i="10"/>
  <c r="E50" i="10"/>
  <c r="E49" i="10"/>
  <c r="F49" i="10"/>
  <c r="E48" i="10"/>
  <c r="F47" i="10"/>
  <c r="E103" i="10"/>
  <c r="E152" i="10"/>
  <c r="D138" i="10"/>
  <c r="E142" i="10"/>
  <c r="E148" i="10"/>
  <c r="E144" i="10"/>
  <c r="F147" i="10"/>
  <c r="F141" i="10"/>
  <c r="E143" i="10"/>
  <c r="E145" i="10"/>
  <c r="E137" i="10"/>
  <c r="E135" i="10"/>
  <c r="F173" i="10"/>
  <c r="E176" i="10"/>
  <c r="E174" i="10"/>
  <c r="E161" i="10"/>
  <c r="E160" i="10"/>
  <c r="E158" i="10"/>
  <c r="E167" i="10"/>
  <c r="F162" i="10"/>
  <c r="F131" i="10"/>
  <c r="F130" i="10"/>
  <c r="E129" i="10"/>
  <c r="E127" i="10"/>
  <c r="E120" i="10"/>
  <c r="E116" i="10"/>
  <c r="F113" i="10"/>
  <c r="E111" i="10"/>
  <c r="D25" i="10"/>
  <c r="E31" i="10"/>
  <c r="E23" i="10"/>
  <c r="F23" i="10"/>
  <c r="D20" i="10"/>
  <c r="E46" i="10"/>
  <c r="E44" i="10"/>
  <c r="F45" i="10"/>
  <c r="E42" i="10"/>
  <c r="E40" i="10"/>
  <c r="F39" i="10"/>
  <c r="E38" i="10"/>
  <c r="E34" i="10"/>
  <c r="E32" i="10"/>
  <c r="F31" i="10"/>
  <c r="E30" i="10"/>
  <c r="E24" i="10"/>
  <c r="E21" i="10"/>
  <c r="E22" i="10"/>
  <c r="E18" i="10"/>
  <c r="F17" i="10"/>
  <c r="E19" i="10"/>
  <c r="F19" i="10"/>
  <c r="E11" i="10"/>
  <c r="E12" i="10"/>
  <c r="F97" i="10"/>
  <c r="C93" i="10"/>
  <c r="E94" i="10"/>
  <c r="E89" i="10"/>
  <c r="F90" i="10"/>
  <c r="E81" i="10"/>
  <c r="E79" i="10"/>
  <c r="E76" i="10"/>
  <c r="E70" i="10"/>
  <c r="E71" i="10"/>
  <c r="F65" i="10"/>
  <c r="E62" i="10"/>
  <c r="F66" i="10"/>
  <c r="F175" i="10"/>
  <c r="F169" i="10"/>
  <c r="F159" i="10"/>
  <c r="F153" i="10"/>
  <c r="F143" i="10"/>
  <c r="F137" i="10"/>
  <c r="F127" i="10"/>
  <c r="F121" i="10"/>
  <c r="F111" i="10"/>
  <c r="F89" i="10"/>
  <c r="F79" i="10"/>
  <c r="F181" i="10"/>
  <c r="F165" i="10"/>
  <c r="F149" i="10"/>
  <c r="F123" i="10"/>
  <c r="F117" i="10"/>
  <c r="F107" i="10"/>
  <c r="F85" i="10"/>
  <c r="F50" i="10"/>
  <c r="F48" i="10"/>
  <c r="F46" i="10"/>
  <c r="F44" i="10"/>
  <c r="F42" i="10"/>
  <c r="F40" i="10"/>
  <c r="F38" i="10"/>
  <c r="F36" i="10"/>
  <c r="F34" i="10"/>
  <c r="F32" i="10"/>
  <c r="F30" i="10"/>
  <c r="F28" i="10"/>
  <c r="F24" i="10"/>
  <c r="F22" i="10"/>
  <c r="F18" i="10"/>
  <c r="F14" i="10"/>
  <c r="F12" i="10"/>
  <c r="F182" i="10"/>
  <c r="F174" i="10"/>
  <c r="E170" i="10"/>
  <c r="F166" i="10"/>
  <c r="E162" i="10"/>
  <c r="F158" i="10"/>
  <c r="E154" i="10"/>
  <c r="E146" i="10"/>
  <c r="F142" i="10"/>
  <c r="E130" i="10"/>
  <c r="F126" i="10"/>
  <c r="E122" i="10"/>
  <c r="E106" i="10"/>
  <c r="E104" i="10" s="1"/>
  <c r="F102" i="10"/>
  <c r="E98" i="10"/>
  <c r="F94" i="10"/>
  <c r="E90" i="10"/>
  <c r="E74" i="10"/>
  <c r="F70" i="10"/>
  <c r="E66" i="10"/>
  <c r="F62" i="10"/>
  <c r="E58" i="10"/>
  <c r="F54" i="10"/>
  <c r="F168" i="10"/>
  <c r="F160" i="10"/>
  <c r="F152" i="10"/>
  <c r="F148" i="10"/>
  <c r="F144" i="10"/>
  <c r="F140" i="10"/>
  <c r="F136" i="10"/>
  <c r="F128" i="10"/>
  <c r="F120" i="10"/>
  <c r="F116" i="10"/>
  <c r="F112" i="10"/>
  <c r="F84" i="10"/>
  <c r="F80" i="10"/>
  <c r="F76" i="10"/>
  <c r="F72" i="10"/>
  <c r="F56" i="10"/>
  <c r="F180" i="10"/>
  <c r="F176" i="10"/>
  <c r="F19" i="12"/>
  <c r="G19" i="12"/>
  <c r="I19" i="12"/>
  <c r="J19" i="12"/>
  <c r="L19" i="12"/>
  <c r="M19" i="12"/>
  <c r="F14" i="12"/>
  <c r="G14" i="12"/>
  <c r="I14" i="12"/>
  <c r="J14" i="12"/>
  <c r="L14" i="12"/>
  <c r="M14" i="12"/>
  <c r="F10" i="12"/>
  <c r="G10" i="12"/>
  <c r="I10" i="12"/>
  <c r="J10" i="12"/>
  <c r="L10" i="12"/>
  <c r="M10" i="12"/>
  <c r="C11" i="12"/>
  <c r="D11" i="12"/>
  <c r="H11" i="12"/>
  <c r="K11" i="12"/>
  <c r="N11" i="12"/>
  <c r="C12" i="12"/>
  <c r="D12" i="12"/>
  <c r="H12" i="12"/>
  <c r="K12" i="12"/>
  <c r="N12" i="12"/>
  <c r="C13" i="12"/>
  <c r="D13" i="12"/>
  <c r="H13" i="12"/>
  <c r="K13" i="12"/>
  <c r="N13" i="12"/>
  <c r="C15" i="12"/>
  <c r="D15" i="12"/>
  <c r="H15" i="12"/>
  <c r="K15" i="12"/>
  <c r="N15" i="12"/>
  <c r="C16" i="12"/>
  <c r="D16" i="12"/>
  <c r="H16" i="12"/>
  <c r="K16" i="12"/>
  <c r="N16" i="12"/>
  <c r="C17" i="12"/>
  <c r="D17" i="12"/>
  <c r="H17" i="12"/>
  <c r="K17" i="12"/>
  <c r="N17" i="12"/>
  <c r="C18" i="12"/>
  <c r="D18" i="12"/>
  <c r="H18" i="12"/>
  <c r="K18" i="12"/>
  <c r="N18" i="12"/>
  <c r="C20" i="12"/>
  <c r="D20" i="12"/>
  <c r="H20" i="12"/>
  <c r="K20" i="12"/>
  <c r="N20" i="12"/>
  <c r="C21" i="12"/>
  <c r="D21" i="12"/>
  <c r="H21" i="12"/>
  <c r="K21" i="12"/>
  <c r="N21" i="12"/>
  <c r="C22" i="12"/>
  <c r="D22" i="12"/>
  <c r="H22" i="12"/>
  <c r="K22" i="12"/>
  <c r="N22" i="12"/>
  <c r="C23" i="12"/>
  <c r="D23" i="12"/>
  <c r="H23" i="12"/>
  <c r="K23" i="12"/>
  <c r="N23" i="12"/>
  <c r="N9" i="12"/>
  <c r="K9" i="12"/>
  <c r="H9" i="12"/>
  <c r="D9" i="12"/>
  <c r="C9" i="12"/>
  <c r="F68" i="10" l="1"/>
  <c r="E95" i="10"/>
  <c r="J13" i="10"/>
  <c r="F52" i="10"/>
  <c r="L24" i="12"/>
  <c r="D43" i="5"/>
  <c r="F178" i="10"/>
  <c r="F11" i="10"/>
  <c r="F133" i="10"/>
  <c r="F150" i="10"/>
  <c r="E67" i="10"/>
  <c r="E178" i="10"/>
  <c r="E171" i="10" s="1"/>
  <c r="F77" i="10"/>
  <c r="K57" i="10"/>
  <c r="D47" i="5"/>
  <c r="E77" i="10"/>
  <c r="G57" i="10"/>
  <c r="F60" i="10"/>
  <c r="E60" i="10"/>
  <c r="F63" i="10"/>
  <c r="F59" i="10"/>
  <c r="F82" i="10"/>
  <c r="E63" i="10"/>
  <c r="E17" i="5"/>
  <c r="G16" i="5"/>
  <c r="E88" i="10"/>
  <c r="E114" i="10"/>
  <c r="F109" i="10"/>
  <c r="E82" i="10"/>
  <c r="F114" i="10"/>
  <c r="G31" i="5"/>
  <c r="F31" i="5"/>
  <c r="C155" i="10"/>
  <c r="F156" i="10"/>
  <c r="E73" i="10"/>
  <c r="K13" i="10"/>
  <c r="L15" i="5"/>
  <c r="L18" i="5" s="1"/>
  <c r="F42" i="5"/>
  <c r="G42" i="5"/>
  <c r="E9" i="10"/>
  <c r="E8" i="10" s="1"/>
  <c r="C13" i="10"/>
  <c r="E25" i="10"/>
  <c r="E118" i="10"/>
  <c r="K18" i="5"/>
  <c r="K58" i="5" s="1"/>
  <c r="F29" i="5"/>
  <c r="G29" i="5"/>
  <c r="E47" i="5"/>
  <c r="F38" i="5"/>
  <c r="G38" i="5"/>
  <c r="F118" i="10"/>
  <c r="F67" i="10"/>
  <c r="E109" i="10"/>
  <c r="E133" i="10"/>
  <c r="G13" i="10"/>
  <c r="G183" i="10" s="1"/>
  <c r="H15" i="5"/>
  <c r="C108" i="10"/>
  <c r="F19" i="5"/>
  <c r="G19" i="5"/>
  <c r="E43" i="5"/>
  <c r="H23" i="5"/>
  <c r="D23" i="5" s="1"/>
  <c r="D20" i="5"/>
  <c r="F57" i="5"/>
  <c r="G57" i="5"/>
  <c r="F86" i="10"/>
  <c r="L13" i="10"/>
  <c r="M15" i="5"/>
  <c r="M18" i="5" s="1"/>
  <c r="G14" i="5"/>
  <c r="F14" i="5"/>
  <c r="I13" i="10"/>
  <c r="I183" i="10" s="1"/>
  <c r="J15" i="5"/>
  <c r="J18" i="5" s="1"/>
  <c r="J58" i="5" s="1"/>
  <c r="F54" i="5"/>
  <c r="G54" i="5"/>
  <c r="F75" i="10"/>
  <c r="E75" i="10"/>
  <c r="D57" i="10"/>
  <c r="F25" i="5"/>
  <c r="G25" i="5"/>
  <c r="F73" i="10"/>
  <c r="F27" i="5"/>
  <c r="G27" i="5"/>
  <c r="D171" i="10"/>
  <c r="F171" i="10" s="1"/>
  <c r="D15" i="10"/>
  <c r="D13" i="10" s="1"/>
  <c r="F13" i="10" s="1"/>
  <c r="H13" i="10"/>
  <c r="I15" i="5"/>
  <c r="I18" i="5" s="1"/>
  <c r="J183" i="10"/>
  <c r="D17" i="5"/>
  <c r="F9" i="10"/>
  <c r="F100" i="10"/>
  <c r="L57" i="10"/>
  <c r="L183" i="10" s="1"/>
  <c r="M49" i="5"/>
  <c r="H57" i="10"/>
  <c r="I20" i="5"/>
  <c r="F93" i="10"/>
  <c r="C91" i="10"/>
  <c r="F163" i="10"/>
  <c r="C99" i="10"/>
  <c r="F99" i="10" s="1"/>
  <c r="F95" i="10"/>
  <c r="F138" i="10"/>
  <c r="E86" i="10"/>
  <c r="D132" i="10"/>
  <c r="F88" i="10"/>
  <c r="F20" i="10"/>
  <c r="E93" i="10"/>
  <c r="D108" i="10"/>
  <c r="E150" i="10"/>
  <c r="C132" i="10"/>
  <c r="E100" i="10"/>
  <c r="E99" i="10" s="1"/>
  <c r="E124" i="10"/>
  <c r="E163" i="10"/>
  <c r="E156" i="10" s="1"/>
  <c r="E138" i="10"/>
  <c r="F25" i="10"/>
  <c r="E20" i="10"/>
  <c r="H10" i="12"/>
  <c r="C10" i="12"/>
  <c r="H14" i="12"/>
  <c r="E11" i="12"/>
  <c r="G24" i="12"/>
  <c r="E23" i="12"/>
  <c r="C19" i="12"/>
  <c r="H19" i="12"/>
  <c r="E13" i="12"/>
  <c r="N10" i="12"/>
  <c r="F24" i="12"/>
  <c r="E20" i="12"/>
  <c r="N19" i="12"/>
  <c r="J24" i="12"/>
  <c r="E15" i="12"/>
  <c r="M24" i="12"/>
  <c r="E21" i="12"/>
  <c r="N14" i="12"/>
  <c r="N24" i="12" s="1"/>
  <c r="E9" i="12"/>
  <c r="D19" i="12"/>
  <c r="K19" i="12"/>
  <c r="I24" i="12"/>
  <c r="E22" i="12"/>
  <c r="D14" i="12"/>
  <c r="C14" i="12"/>
  <c r="E18" i="12"/>
  <c r="K14" i="12"/>
  <c r="E16" i="12"/>
  <c r="D10" i="12"/>
  <c r="K10" i="12"/>
  <c r="E12" i="12"/>
  <c r="E17" i="12"/>
  <c r="K183" i="10" l="1"/>
  <c r="F108" i="10"/>
  <c r="E108" i="10"/>
  <c r="E15" i="10"/>
  <c r="E13" i="10" s="1"/>
  <c r="E132" i="10"/>
  <c r="H183" i="10"/>
  <c r="F47" i="5"/>
  <c r="G47" i="5"/>
  <c r="F43" i="5"/>
  <c r="G43" i="5"/>
  <c r="H18" i="5"/>
  <c r="H58" i="5" s="1"/>
  <c r="D15" i="5"/>
  <c r="D18" i="5" s="1"/>
  <c r="D155" i="10"/>
  <c r="F155" i="10" s="1"/>
  <c r="E155" i="10"/>
  <c r="F15" i="10"/>
  <c r="E15" i="5"/>
  <c r="E18" i="5" s="1"/>
  <c r="F8" i="10"/>
  <c r="L58" i="5"/>
  <c r="F17" i="5"/>
  <c r="G17" i="5"/>
  <c r="M52" i="5"/>
  <c r="E49" i="5"/>
  <c r="I23" i="5"/>
  <c r="E20" i="5"/>
  <c r="C57" i="10"/>
  <c r="E91" i="10"/>
  <c r="F91" i="10"/>
  <c r="F132" i="10"/>
  <c r="E10" i="12"/>
  <c r="C24" i="12"/>
  <c r="H24" i="12"/>
  <c r="E19" i="12"/>
  <c r="K24" i="12"/>
  <c r="D24" i="12"/>
  <c r="E14" i="12"/>
  <c r="D183" i="10" l="1"/>
  <c r="F15" i="5"/>
  <c r="F18" i="5" s="1"/>
  <c r="G15" i="5"/>
  <c r="G18" i="5"/>
  <c r="D58" i="5"/>
  <c r="F49" i="5"/>
  <c r="G49" i="5"/>
  <c r="E52" i="5"/>
  <c r="M58" i="5"/>
  <c r="F20" i="5"/>
  <c r="G20" i="5"/>
  <c r="I58" i="5"/>
  <c r="E23" i="5"/>
  <c r="F57" i="10"/>
  <c r="C183" i="10"/>
  <c r="E57" i="10"/>
  <c r="E183" i="10" s="1"/>
  <c r="E24" i="12"/>
  <c r="F183" i="10" l="1"/>
  <c r="F52" i="5"/>
  <c r="G52" i="5"/>
  <c r="F23" i="5"/>
  <c r="E58" i="5"/>
  <c r="G23" i="5"/>
  <c r="F58" i="5" l="1"/>
  <c r="G58" i="5"/>
  <c r="C13" i="9" l="1"/>
  <c r="F13" i="9" s="1"/>
  <c r="C53" i="9"/>
  <c r="C52" i="9" l="1"/>
  <c r="F53" i="9"/>
  <c r="E53" i="9"/>
  <c r="E52" i="9" s="1"/>
  <c r="E23" i="9" s="1"/>
  <c r="C23" i="9" l="1"/>
  <c r="F52" i="9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C21" i="9" l="1"/>
  <c r="F23" i="9"/>
  <c r="C87" i="9" l="1"/>
  <c r="F87" i="9" s="1"/>
  <c r="F21" i="9"/>
  <c r="E21" i="9"/>
  <c r="E87" i="9" s="1"/>
</calcChain>
</file>

<file path=xl/sharedStrings.xml><?xml version="1.0" encoding="utf-8"?>
<sst xmlns="http://schemas.openxmlformats.org/spreadsheetml/2006/main" count="540" uniqueCount="284">
  <si>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</si>
  <si>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</si>
  <si>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</si>
  <si>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</si>
  <si>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</si>
  <si>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</si>
  <si>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</si>
  <si>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</si>
  <si>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</si>
  <si>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</si>
  <si>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</si>
  <si>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</si>
  <si>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</si>
  <si>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</si>
  <si>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</si>
  <si>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</si>
  <si>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</si>
  <si>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</si>
  <si>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</si>
  <si>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</si>
  <si>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</si>
  <si>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</si>
  <si>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</si>
  <si>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</si>
  <si>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</si>
  <si>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</si>
  <si>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</si>
  <si>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</si>
  <si>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</si>
  <si>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</si>
  <si>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švietimo (be mokinio krepšelio)</t>
  </si>
  <si>
    <t>socialinės apsaugos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</si>
  <si>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</si>
  <si>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</si>
  <si>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</si>
  <si>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</si>
  <si>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</si>
  <si>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</si>
  <si>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</si>
  <si>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</si>
  <si>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</si>
  <si>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Žemė</t>
  </si>
  <si>
    <t>Pastatai ir statiniai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</si>
  <si>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</si>
  <si>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</si>
  <si>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</si>
  <si>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</si>
  <si>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</si>
  <si>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</si>
  <si>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</si>
  <si>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</si>
  <si>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</si>
  <si>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</si>
  <si>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</si>
  <si>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</si>
  <si>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</si>
  <si>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</si>
  <si>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</si>
  <si>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</si>
  <si>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</si>
  <si>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</si>
  <si>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</si>
  <si>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</si>
  <si>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</si>
  <si>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</si>
  <si>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</si>
  <si>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t>Savivaldybės valdymo  programa (savivaldybės biudžeto lėšos)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</si>
  <si>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</si>
  <si>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</si>
  <si>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</si>
  <si>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</si>
  <si>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</si>
  <si>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</si>
  <si>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</si>
  <si>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</si>
  <si>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</si>
  <si>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</si>
  <si>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</si>
  <si>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</si>
  <si>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</si>
  <si>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</si>
  <si>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</si>
  <si>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</si>
  <si>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</si>
  <si>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</si>
  <si>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</si>
  <si>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</si>
  <si>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</si>
  <si>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</si>
  <si>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</si>
  <si>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</si>
  <si>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</si>
  <si>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</si>
  <si>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</si>
  <si>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</si>
  <si>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</si>
  <si>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</si>
  <si>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</si>
  <si>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</si>
  <si>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</si>
  <si>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Programos pavadinimas</t>
  </si>
  <si>
    <t>Asignavimų valdytojas</t>
  </si>
  <si>
    <t>Smulkiojo ir vidutinio verslo plėtros programa</t>
  </si>
  <si>
    <t>Susisiekimo sistemos priežiūros ir plėtros programa</t>
  </si>
  <si>
    <t>Piliečių prašymams atkurti nuosavybės teises į išlikusį nekilnojamąjį turtą nagrinėti ir sprendimams dėl nuosavybės teisių atkūrimo priimti</t>
  </si>
  <si>
    <t>Būsto nuomos ar išperkamosios būsto nuomos mokesčių dalies kompensacijos</t>
  </si>
  <si>
    <t>14.</t>
  </si>
  <si>
    <t>Būsto nuomos ar išperkamosios būsto nuomos mokesčių dalies kompensacijoms administruoti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</si>
  <si>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</si>
  <si>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</si>
  <si>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</si>
  <si>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</si>
  <si>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</si>
  <si>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</si>
  <si>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</si>
  <si>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</si>
  <si>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</si>
  <si>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</si>
  <si>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</si>
  <si>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</si>
  <si>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</si>
  <si>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</si>
  <si>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</si>
  <si>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</si>
  <si>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</si>
  <si>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>Mokinio (klasės, grupės) krepšeliui finansuoti</t>
  </si>
  <si>
    <t>Dotacija krantotvarkos programos priemonėms įgyvendinti ir aplinkos teršimo šaltiniams pašalinti</t>
  </si>
  <si>
    <t xml:space="preserve">Europos Sąjungos finansinės paramos lėšos </t>
  </si>
  <si>
    <t xml:space="preserve">Aplinkos apsaugos programa (savivaldybės biudžeto lėšos) </t>
  </si>
  <si>
    <r>
      <rPr>
        <b/>
        <sz val="12"/>
        <rFont val="Times New Roman"/>
        <family val="1"/>
        <charset val="186"/>
      </rPr>
      <t>Kūno kultūros ir sporto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</si>
  <si>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</si>
  <si>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</si>
  <si>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</si>
  <si>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Pirminės valstybės garantuojamos teisinės pagalbos teikimas</t>
  </si>
  <si>
    <t>Savivaldybei priskirtos valstybinės žemės ir kito valstybės turto valdymas, naudojimas ir disponavimas juo patikėjimo teise</t>
  </si>
  <si>
    <t>Žemės ūkio funkcijoms atlikti</t>
  </si>
  <si>
    <t>Ugdymo proceso užtikrinimo programa (specialios tikslinės dotacijos mokinio (klasės, grupės) krepšeliui finansuoti lėšos)</t>
  </si>
  <si>
    <t>Aplinkos apsaugos programa (dotacijos krantotvarkos programos priemonėms įgyvendinti ir aplinkos teršimo šaltiniams pašalinti lėšos)</t>
  </si>
  <si>
    <t>Nuomos mokestis už valstybinę žemę</t>
  </si>
  <si>
    <t>Tūkst. Eur</t>
  </si>
  <si>
    <t xml:space="preserve">        Tūkst. Eur</t>
  </si>
  <si>
    <t xml:space="preserve">Miesto urbanistinio planavimo programa </t>
  </si>
  <si>
    <t>Miesto infrastruktūros objektų priežiūros ir modernizavimo programa</t>
  </si>
  <si>
    <t>Kitos neišvardytos pajamos</t>
  </si>
  <si>
    <t>Neveiksnių asmenų būklės peržiūrėjimui užtikrinti</t>
  </si>
  <si>
    <t>Pagal teisės aktus savivaldybėms perduotoms įstaigoms išlaikyti</t>
  </si>
  <si>
    <t>Valstybės tarnautojams 15 proc. apskaičiuoto grąžintino neišmokėto darbo užmokesčio dalis</t>
  </si>
  <si>
    <t xml:space="preserve">Savivaldybės valdymo  programa  </t>
  </si>
  <si>
    <r>
      <t xml:space="preserve">Kultūros plėtros programa </t>
    </r>
    <r>
      <rPr>
        <sz val="12"/>
        <rFont val="Times New Roman"/>
        <family val="1"/>
        <charset val="186"/>
      </rPr>
      <t>(savivaldybės biudžeto lėšos)</t>
    </r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</si>
  <si>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</si>
  <si>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</si>
  <si>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</si>
  <si>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r>
      <rPr>
        <b/>
        <sz val="12"/>
        <rFont val="Times New Roman"/>
        <family val="1"/>
        <charset val="186"/>
      </rPr>
      <t>Sveikatos apsaugos programa</t>
    </r>
    <r>
      <rPr>
        <sz val="12"/>
        <rFont val="Times New Roman"/>
        <family val="1"/>
        <charset val="186"/>
      </rPr>
      <t xml:space="preserve">  (savivaldybės biudžeto lėšos)</t>
    </r>
  </si>
  <si>
    <t>Sveikatos apsaugos programa (bendrosios dotacijos kompensacijos savivaldybėms perduotoms įstaigoms išlaikyti lėšos)</t>
  </si>
  <si>
    <t>Savivaldybės valdymo  programa (bendrosios dotacijos kompensacijos valstybės tarnautojams grąžintino neišmokėto darbo užmokesčio dalies   lėšos)</t>
  </si>
  <si>
    <t>Dotacija neformaliajam vaikų švietimui</t>
  </si>
  <si>
    <t>Ugdymo proceso užtikrinimo programa (dotacijos   neformaliajam vaikų švietimui lėšos)</t>
  </si>
  <si>
    <t>Ugdymo proceso užtikrinimo programa (Europos Sąjungos finansinės paramos lėšos)</t>
  </si>
  <si>
    <t>Socialinės atskirties mažinimo programa (Europos Sąjungos finansinės paramos lėšos)</t>
  </si>
  <si>
    <t>Aplinkos apsaugos programa (Europos Sąjungos finansinės paramos lėšos)</t>
  </si>
  <si>
    <t>Susisiekimo sistemos priežiūros ir plėtros programa (savivaldybės biudžeto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</si>
  <si>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</si>
  <si>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Miesto urbanistinio planavimo programa (savivaldybės biudžeto lėšos) </t>
  </si>
  <si>
    <t>Miesto urbanistinio planavimo programa  (Europos Sąjungos finansinės paramos lėšos)</t>
  </si>
  <si>
    <t>Kūno kultūros ir sporto plėtros programa (Europos Sąjungos finansinės paramos lėšos)</t>
  </si>
  <si>
    <t xml:space="preserve">Socialinės atskirties mažinimo programa </t>
  </si>
  <si>
    <t>13.</t>
  </si>
  <si>
    <t>Valstybinėms (valstybės perduotoms savivaldybėms) funkcijoms atlikti (13+...+33)</t>
  </si>
  <si>
    <t>Savivaldybėms perduotoms įstaigoms išlaikyti (36+37)</t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</si>
  <si>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</si>
  <si>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4.</t>
  </si>
  <si>
    <t>Viešosios įstaigos Klaipėdos universitetinės ligoninės centrinio korpuso operacinės rekonstrukcija, Liepojos g. 41, Klaipėda</t>
  </si>
  <si>
    <t xml:space="preserve">Savivaldybėms vietinės reikšmės keliams (gatvėms) tiesti, taisyti, prižiūrėti ir saugaus eismo sąlygoms užtikrinti </t>
  </si>
  <si>
    <t>Politinių kalinių ir tremtinių bei jų šeimų sugrįžimo į Lietuvą ir jų aprūpinimo programos įgyvendinimas savivaldybėse</t>
  </si>
  <si>
    <t>Dotacija pedagoginių darbuotojų darbo apmokėjimo sąlygoms gerinti</t>
  </si>
  <si>
    <t>Ugdymo proceso užtikrinimo programa (dotacijos pedagoginių darbuotojų darbo apmokėjimo sąlygoms gerinti lėšos)</t>
  </si>
  <si>
    <t>Sveikatos apsaugos programa (savivaldybės biudžeto lėšos)</t>
  </si>
  <si>
    <t xml:space="preserve">Sveikatos apsaugos programa (specialios tikslinės dotacijos valstybės kapitalo investicijų programoje numatytiems projektams finansuoti lėšos) 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</si>
  <si>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</si>
  <si>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 xml:space="preserve">Socialinės atskirties mažinimo programa (specialios tikslinės dotacijos valstybės kapitalo investicijų programoje numatytiems projektams finansuoti lėšos) </t>
  </si>
  <si>
    <t>Susisiekimo sistemos priežiūros ir plėtros programa (specialios tikslinės dotacijos savivaldybėms vietinės reikšmės keliams (gatvėms) tiesti, taisyti, prižiūrėti ir saugaus eismo sąlygoms užtikrinti lėšos)</t>
  </si>
  <si>
    <t>Miesto infrastruktūros objektų priežiūros ir modernizavimo programa (specialios tikslinės dotacijos savivaldybėms vietinės reikšmės keliams (gatvėms) tiesti, taisyti, prižiūrėti ir saugaus eismo sąlygoms užtikrinti lėšos)</t>
  </si>
  <si>
    <t>Specialios tikslinės dotacijos (12+34+35+38+39+40)</t>
  </si>
  <si>
    <t>Viešosios įstaigos Klaipėdos universitetinės ligoninės dezinfekcijos proceso modernizavimas, Liepojos g. 39, Klaipėda</t>
  </si>
  <si>
    <t>Dotacija išlaidoms, susijusioms su pedagoginių darbuotojų skaičiaus optimizavimu, apmokėti</t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</si>
  <si>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</si>
  <si>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t>Ugdymo proceso užtikrinimo programa (dotacijos išlaidoms, susijusioms su pedagoginių darbuotojų skaičiaus optimizavimu, apmokėti lėšos)</t>
  </si>
  <si>
    <t>Klaipėdos Prano Mašioto progimnazijos modernizavimas, Varpų g. 3, Klaipėda</t>
  </si>
  <si>
    <t>Klaipėdos Vytauto Didžiojo gimnazijos modernizavimas, S. Daukanto g. 31, Klaipėda</t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</si>
  <si>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</si>
  <si>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t xml:space="preserve">Ugdymo proceso užtikrinimo programa (specialios tikslinės dotacijos valstybės kapitalo investicijų programoje numatytiems projektams finansuoti lėšos) </t>
  </si>
  <si>
    <t>Klaipėdos „Pajūrio“ progimnazijos statinio  modernizavimas, Laukininkų g. 3, Klaipėda</t>
  </si>
  <si>
    <t>Klaipėdos Simono Dacho progimnazijos pastato modernizavimas, Kuršių a. 3, Klaipėda</t>
  </si>
  <si>
    <r>
      <rPr>
        <b/>
        <sz val="12"/>
        <rFont val="Times New Roman"/>
        <family val="1"/>
        <charset val="186"/>
      </rP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</si>
  <si>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</si>
  <si>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Kūno kultūros ir sporto plėtros programa (specialios tikslinės dotacijos valstybės kapitalo investicijų programoje numatytiems projektams finansuoti lėšos) </t>
  </si>
  <si>
    <t>Dotacija Lietuvos Respublikos valstybės ir savivaldybių įstaigų darbuotojų darbo apmokėjimo įstatymui laipsniškai įgyvendinti</t>
  </si>
  <si>
    <t>Savivaldybės sekretoriato aptarnavimas (dotacijos Lietuvos Respublikos valstybės ir savivaldybių įstaigų darbuotojų darbo apmokėjimo įstatymui laipsniškai įgyvendinti lėšos)</t>
  </si>
  <si>
    <t>Savivaldybės administracijos veiklos užtikrinimas ir kitų priemonių vykdymas (dotacijos Lietuvos Respublikos valstybės ir savivaldybių įstaigų darbuotojų darbo apmokėjimo įstatymui laipsniškai įgyvendinti lėšos)</t>
  </si>
  <si>
    <t>Miesto infrastruktūros objektų priežiūros ir modernizavimo programa (dotacijos Lietuvos Respublikos valstybės ir savivaldybių įstaigų darbuotojų darbo apmokėjimo įstatymui laipsniškai įgyvendinti lėšos)</t>
  </si>
  <si>
    <t>Kultūros plėtros programa (dotacijos Lietuvos Respublikos valstybės ir savivaldybių įstaigų darbuotojų darbo apmokėjimo įstatymui laipsniškai įgyvendinti lėšos)</t>
  </si>
  <si>
    <t>Ugdymo proceso užtikrinimo programa  (dotacijos Lietuvos Respublikos valstybės ir savivaldybių įstaigų darbuotojų darbo apmokėjimo įstatymui laipsniškai įgyvendinti lėšos)</t>
  </si>
  <si>
    <t>Kūno kultūros ir sporto plėtros programa (dotacijos Lietuvos Respublikos valstybės ir savivaldybių įstaigų darbuotojų darbo apmokėjimo įstatymui laipsniškai įgyvendinti lėšos)</t>
  </si>
  <si>
    <t>Socialinės atskirties mažinimo programa (dotacijos Lietuvos Respublikos valstybės ir savivaldybių įstaigų darbuotojų darbo apmokėjimo įstatymui laipsniškai įgyvendinti lėšos)</t>
  </si>
  <si>
    <t>Bendrosios dotacijos kompensacija (51+52)</t>
  </si>
  <si>
    <t>Valstybės kapitalo investicijų programoje numatytiems projektams finansuoti (41+...+49)</t>
  </si>
  <si>
    <t>Kitos dotacijos ir lėšos iš kitų valdymo lygių (54+...+58)</t>
  </si>
  <si>
    <t>KITOS PAJAMOS (60+...+69)</t>
  </si>
  <si>
    <t>MATERIALIOJO IR NEMATERIALIOJO TURTO REALIZAVIMO PAJAMOS (71)</t>
  </si>
  <si>
    <t>Iš viso (1+9+59+70)</t>
  </si>
  <si>
    <t>DOTACIJOS (10+11+50+53)</t>
  </si>
  <si>
    <t>Ugdymo proceso užtikrinimo programa (specialios tikslinės dotacijos valstybės kapitalo investicijų programoje numatytiems projektams finansuoti lėšos)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</si>
  <si>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(savivaldybės biudžeto lėšos)</t>
    </r>
  </si>
  <si>
    <t>Klaipėdos „Versmės“ progimnazijos sporto aikštyno atnaujinimas, I. Simonaitytės g. 2, Klaipėda</t>
  </si>
  <si>
    <t>Patikslintas planas</t>
  </si>
  <si>
    <t>Plano įvykdymas</t>
  </si>
  <si>
    <t>Rezultatas (pasikeitimas +, -)</t>
  </si>
  <si>
    <t>Įvykdyta procentais (kartais)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</si>
  <si>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</si>
  <si>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</si>
  <si>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</si>
  <si>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</si>
  <si>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</si>
  <si>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</si>
  <si>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</si>
  <si>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</si>
  <si>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lėšos</t>
  </si>
  <si>
    <t xml:space="preserve">2.5. Už žemės pardavimą gautų lėšų likučio metų pradžioje lėšos </t>
  </si>
  <si>
    <t xml:space="preserve">2.6. Europos Sąjungos finansinės paramos lėšų likučio metų pradžioje lėšos </t>
  </si>
  <si>
    <t>2.7. Už privatizuotus butus gautų lėšų likučio metų pradžioje lėšos</t>
  </si>
  <si>
    <t>3. Savivaldybės biudžeto lėšų likučio metų pradžioje lėšos</t>
  </si>
  <si>
    <t>iš jų kreditiniam įsiskolinimui dengti bei paskoloms grąžinti</t>
  </si>
  <si>
    <t>Iš viso:</t>
  </si>
  <si>
    <t>paskoloms grąžinti</t>
  </si>
  <si>
    <t>Iš viso asignavimų (85-87):</t>
  </si>
  <si>
    <t>Asignavimų valdytojo pavadinimas</t>
  </si>
  <si>
    <t>2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</si>
  <si>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</si>
  <si>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</si>
  <si>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</si>
  <si>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</si>
  <si>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</si>
  <si>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</si>
  <si>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</si>
  <si>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</si>
  <si>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</si>
  <si>
    <t xml:space="preserve">Patikslintas planas </t>
  </si>
  <si>
    <t>Įvykdyta</t>
  </si>
  <si>
    <t>Rezultatas (pasikeitimas +,-)</t>
  </si>
  <si>
    <t>Įvykdyta procentais</t>
  </si>
  <si>
    <t>iš jų</t>
  </si>
  <si>
    <t>iš jų darbo užmokesčiui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</si>
  <si>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</si>
  <si>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</si>
  <si>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</si>
  <si>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Rezultatas (pasikeiti-mas +, -)</t>
  </si>
  <si>
    <t>8</t>
  </si>
  <si>
    <t>10</t>
  </si>
  <si>
    <t>12</t>
  </si>
  <si>
    <t>14</t>
  </si>
  <si>
    <t>Kito ilgalaikio turto ir atsargų realizavimo pajamos</t>
  </si>
  <si>
    <t>5,1 karto</t>
  </si>
  <si>
    <t>2,6 karto</t>
  </si>
  <si>
    <t>2,5 karto</t>
  </si>
  <si>
    <t>3,4 karto</t>
  </si>
  <si>
    <t>KLAIPĖDOS MIESTO SAVIVALDYBĖS 2017 METŲ BIUDŽETO ĮVYKDYMO ATASKAITA</t>
  </si>
  <si>
    <t>Ilgalaikio materialiojo turto realizavimo pajamos (72+73+74)</t>
  </si>
  <si>
    <t>Savivaldybės valdymo  programa (specialios tikslinės dotacijos savivaldybėms perduotoms įstaigoms išlaikyti lėšos)</t>
  </si>
  <si>
    <t xml:space="preserve"> Tūkst. Eur</t>
  </si>
  <si>
    <t xml:space="preserve">                      Tūkst. Eur</t>
  </si>
  <si>
    <t>KLAIPĖDOS MIESTO SAVIVALDYBĖS 2017 METŲ BIUDŽETO ASIGNAVIMŲ PANAUDOJIMAS PAGAL PROGRAMAS</t>
  </si>
  <si>
    <t>ASIGNAVIMŲ IŠ APYVARTINIŲ LĖŠŲ 2017 M. SAUSIO 1 D. LIKUČIO ĮVYKDYMO ATASKAITA</t>
  </si>
  <si>
    <t>Rezultatas (pasikeiti-mas +,-)</t>
  </si>
  <si>
    <t>2017 METŲ ASIGNAVIMŲ VALDYTOJŲ PAJAMŲ ĮMOKŲ Į SAVIVALDYBĖS BIUDŽETĄ ĮVYKDYMO ATASKAITA</t>
  </si>
  <si>
    <t>KLAIPĖDOS MIESTO SAVIVALDYBĖS ADMINISTRACIJOS DIREKTORIAUS REZERVO LĖŠŲ PANAUDOJIMO 2017 M. ATASKAITA</t>
  </si>
  <si>
    <t>(eurais)</t>
  </si>
  <si>
    <t>Eil.Nr.</t>
  </si>
  <si>
    <t>Lėšų panaudojimo paskirtis</t>
  </si>
  <si>
    <t>Rezultatas (pasikei-timas +,-)</t>
  </si>
  <si>
    <r>
      <t xml:space="preserve">Pagal Savivaldybės administracijos direktoriaus 2017 m. gruodžio 21 d. įsakymą Nr. AD1-3135 </t>
    </r>
    <r>
      <rPr>
        <sz val="12"/>
        <rFont val="Times New Roman"/>
        <family val="1"/>
        <charset val="186"/>
      </rPr>
      <t>2017 m. lapkričio 13 d. Klaipėdos mieste iškritusių smarkių kritulių padarinių išlaidoms atlyginti</t>
    </r>
  </si>
  <si>
    <t>PATVIRTINTA</t>
  </si>
  <si>
    <t xml:space="preserve">Klaipėdos miesto savivaldybės </t>
  </si>
  <si>
    <t>tarybos</t>
  </si>
  <si>
    <t>sprendimu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</si>
</sst>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127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5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1" fillId="0" borderId="1" xfId="1" applyBorder="1"/>
    <xf numFmtId="164" fontId="2" fillId="0" borderId="2" xfId="1" applyNumberFormat="1" applyFont="1" applyFill="1" applyBorder="1" applyAlignment="1">
      <alignment horizontal="left" wrapText="1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justify" vertical="justify"/>
    </xf>
    <xf numFmtId="0" fontId="4" fillId="0" borderId="0" xfId="1" applyFont="1" applyFill="1" applyAlignment="1"/>
    <xf numFmtId="22" fontId="2" fillId="0" borderId="0" xfId="1" applyNumberFormat="1" applyFont="1" applyFill="1"/>
    <xf numFmtId="0" fontId="4" fillId="0" borderId="0" xfId="1" applyFont="1" applyFill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Border="1" applyAlignment="1">
      <alignment horizontal="left"/>
    </xf>
    <xf numFmtId="0" fontId="2" fillId="0" borderId="0" xfId="1" applyFont="1" applyBorder="1"/>
    <xf numFmtId="0" fontId="4" fillId="0" borderId="2" xfId="1" applyFont="1" applyFill="1" applyBorder="1" applyAlignment="1">
      <alignment horizontal="left" wrapText="1"/>
    </xf>
    <xf numFmtId="164" fontId="1" fillId="0" borderId="0" xfId="1" applyNumberFormat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 applyAlignment="1">
      <alignment horizontal="center"/>
    </xf>
    <xf numFmtId="9" fontId="2" fillId="0" borderId="0" xfId="7" applyFont="1" applyFill="1" applyBorder="1" applyAlignment="1">
      <alignment horizontal="center"/>
    </xf>
    <xf numFmtId="9" fontId="2" fillId="0" borderId="0" xfId="7" applyFont="1" applyFill="1" applyBorder="1" applyAlignment="1">
      <alignment horizontal="center" wrapText="1"/>
    </xf>
    <xf numFmtId="9" fontId="1" fillId="0" borderId="0" xfId="7" applyFont="1"/>
    <xf numFmtId="49" fontId="10" fillId="0" borderId="2" xfId="8" applyNumberFormat="1" applyFont="1" applyFill="1" applyBorder="1" applyAlignment="1" applyProtection="1">
      <alignment horizontal="left" wrapText="1"/>
      <protection hidden="1"/>
    </xf>
    <xf numFmtId="49" fontId="4" fillId="0" borderId="2" xfId="8" applyNumberFormat="1" applyFont="1" applyFill="1" applyBorder="1" applyAlignment="1" applyProtection="1">
      <alignment horizontal="left" wrapText="1"/>
      <protection hidden="1"/>
    </xf>
    <xf numFmtId="49" fontId="2" fillId="0" borderId="2" xfId="8" applyNumberFormat="1" applyFont="1" applyFill="1" applyBorder="1" applyAlignment="1" applyProtection="1">
      <alignment horizontal="left" wrapText="1"/>
      <protection hidden="1"/>
    </xf>
    <xf numFmtId="49" fontId="2" fillId="0" borderId="2" xfId="8" applyNumberFormat="1" applyFont="1" applyFill="1" applyBorder="1" applyAlignment="1" applyProtection="1">
      <alignment horizontal="center" wrapText="1"/>
      <protection hidden="1"/>
    </xf>
    <xf numFmtId="0" fontId="10" fillId="0" borderId="2" xfId="1" applyFont="1" applyFill="1" applyBorder="1" applyAlignment="1">
      <alignment horizontal="left" wrapText="1"/>
    </xf>
    <xf numFmtId="0" fontId="0" fillId="0" borderId="1" xfId="0" applyBorder="1"/>
    <xf numFmtId="0" fontId="11" fillId="0" borderId="0" xfId="1" applyFont="1"/>
    <xf numFmtId="0" fontId="4" fillId="0" borderId="0" xfId="1" applyFont="1" applyAlignment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6" applyFont="1" applyBorder="1"/>
    <xf numFmtId="164" fontId="2" fillId="0" borderId="2" xfId="8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8" applyNumberFormat="1" applyFont="1" applyBorder="1" applyAlignment="1" applyProtection="1">
      <alignment horizontal="center" wrapText="1"/>
      <protection locked="0"/>
    </xf>
    <xf numFmtId="165" fontId="2" fillId="0" borderId="2" xfId="8" applyNumberFormat="1" applyFont="1" applyFill="1" applyBorder="1" applyAlignment="1" applyProtection="1">
      <alignment horizontal="center" vertical="center"/>
      <protection hidden="1"/>
    </xf>
    <xf numFmtId="0" fontId="12" fillId="0" borderId="0" xfId="1" applyFont="1"/>
    <xf numFmtId="0" fontId="2" fillId="0" borderId="2" xfId="1" applyFont="1" applyBorder="1" applyAlignment="1">
      <alignment wrapText="1"/>
    </xf>
    <xf numFmtId="0" fontId="2" fillId="0" borderId="0" xfId="1" applyFont="1" applyFill="1" applyBorder="1"/>
    <xf numFmtId="0" fontId="12" fillId="0" borderId="0" xfId="1" applyFont="1" applyFill="1" applyBorder="1"/>
    <xf numFmtId="0" fontId="12" fillId="0" borderId="1" xfId="1" applyFont="1" applyFill="1" applyBorder="1"/>
    <xf numFmtId="0" fontId="1" fillId="0" borderId="0" xfId="1" applyFill="1"/>
    <xf numFmtId="0" fontId="1" fillId="0" borderId="0" xfId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0" fillId="0" borderId="0" xfId="0" applyNumberFormat="1"/>
    <xf numFmtId="0" fontId="2" fillId="0" borderId="2" xfId="0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Border="1"/>
    <xf numFmtId="0" fontId="0" fillId="0" borderId="1" xfId="0" applyFill="1" applyBorder="1"/>
    <xf numFmtId="0" fontId="1" fillId="0" borderId="1" xfId="1" applyFill="1" applyBorder="1"/>
    <xf numFmtId="164" fontId="9" fillId="0" borderId="2" xfId="0" applyNumberFormat="1" applyFont="1" applyFill="1" applyBorder="1"/>
    <xf numFmtId="164" fontId="7" fillId="0" borderId="2" xfId="0" applyNumberFormat="1" applyFont="1" applyFill="1" applyBorder="1"/>
    <xf numFmtId="0" fontId="2" fillId="0" borderId="0" xfId="9" applyFont="1"/>
    <xf numFmtId="0" fontId="2" fillId="0" borderId="0" xfId="10" applyFont="1"/>
    <xf numFmtId="0" fontId="2" fillId="0" borderId="0" xfId="10" applyFont="1" applyAlignment="1">
      <alignment horizontal="right"/>
    </xf>
    <xf numFmtId="0" fontId="6" fillId="0" borderId="0" xfId="1" applyFont="1"/>
    <xf numFmtId="0" fontId="4" fillId="0" borderId="0" xfId="10" applyFont="1" applyAlignment="1">
      <alignment horizontal="center" wrapText="1"/>
    </xf>
    <xf numFmtId="0" fontId="4" fillId="0" borderId="0" xfId="9" applyFont="1"/>
    <xf numFmtId="0" fontId="2" fillId="0" borderId="0" xfId="9" applyFont="1" applyAlignment="1">
      <alignment horizontal="right"/>
    </xf>
    <xf numFmtId="0" fontId="2" fillId="0" borderId="0" xfId="9" applyFont="1" applyAlignment="1">
      <alignment horizontal="center"/>
    </xf>
    <xf numFmtId="0" fontId="2" fillId="0" borderId="2" xfId="9" applyFont="1" applyBorder="1" applyAlignment="1">
      <alignment horizontal="center" vertical="center" wrapText="1"/>
    </xf>
    <xf numFmtId="0" fontId="2" fillId="0" borderId="2" xfId="9" applyFont="1" applyBorder="1" applyAlignment="1">
      <alignment horizontal="center" vertical="center"/>
    </xf>
    <xf numFmtId="0" fontId="2" fillId="0" borderId="2" xfId="9" applyFont="1" applyBorder="1" applyAlignment="1">
      <alignment horizontal="center"/>
    </xf>
    <xf numFmtId="165" fontId="2" fillId="0" borderId="2" xfId="9" applyNumberFormat="1" applyFont="1" applyBorder="1" applyAlignment="1">
      <alignment horizontal="center" vertical="center" wrapText="1"/>
    </xf>
    <xf numFmtId="0" fontId="4" fillId="0" borderId="2" xfId="9" applyFont="1" applyBorder="1" applyAlignment="1">
      <alignment horizontal="left" vertical="center" wrapText="1"/>
    </xf>
    <xf numFmtId="2" fontId="2" fillId="0" borderId="2" xfId="9" applyNumberFormat="1" applyFont="1" applyBorder="1" applyAlignment="1"/>
    <xf numFmtId="0" fontId="4" fillId="0" borderId="2" xfId="1" applyFont="1" applyFill="1" applyBorder="1" applyAlignment="1">
      <alignment horizontal="justify" wrapText="1"/>
    </xf>
    <xf numFmtId="2" fontId="4" fillId="0" borderId="2" xfId="1" applyNumberFormat="1" applyFont="1" applyBorder="1"/>
    <xf numFmtId="2" fontId="4" fillId="0" borderId="2" xfId="1" applyNumberFormat="1" applyFont="1" applyBorder="1" applyAlignment="1"/>
    <xf numFmtId="165" fontId="2" fillId="0" borderId="0" xfId="9" applyNumberFormat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justify" wrapText="1"/>
    </xf>
    <xf numFmtId="2" fontId="4" fillId="0" borderId="6" xfId="1" applyNumberFormat="1" applyFont="1" applyBorder="1"/>
    <xf numFmtId="2" fontId="4" fillId="0" borderId="0" xfId="1" applyNumberFormat="1" applyFont="1" applyBorder="1" applyAlignment="1"/>
    <xf numFmtId="2" fontId="4" fillId="0" borderId="0" xfId="1" applyNumberFormat="1" applyFont="1" applyBorder="1"/>
    <xf numFmtId="0" fontId="6" fillId="0" borderId="1" xfId="1" applyFont="1" applyBorder="1"/>
    <xf numFmtId="2" fontId="14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2" fontId="6" fillId="0" borderId="0" xfId="1" applyNumberFormat="1" applyFont="1" applyAlignment="1">
      <alignment horizontal="right"/>
    </xf>
    <xf numFmtId="0" fontId="1" fillId="0" borderId="0" xfId="1" applyAlignment="1"/>
    <xf numFmtId="0" fontId="0" fillId="0" borderId="0" xfId="0" applyAlignment="1"/>
    <xf numFmtId="0" fontId="4" fillId="0" borderId="0" xfId="1" applyFont="1" applyFill="1" applyAlignment="1">
      <alignment horizontal="center"/>
    </xf>
    <xf numFmtId="0" fontId="7" fillId="0" borderId="0" xfId="0" applyFont="1" applyAlignment="1"/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49" fontId="2" fillId="0" borderId="3" xfId="8" applyNumberFormat="1" applyFont="1" applyBorder="1" applyAlignment="1" applyProtection="1">
      <alignment horizontal="center" vertical="center" wrapText="1"/>
      <protection hidden="1"/>
    </xf>
    <xf numFmtId="49" fontId="2" fillId="0" borderId="4" xfId="8" applyNumberFormat="1" applyFont="1" applyBorder="1" applyAlignment="1" applyProtection="1">
      <alignment horizontal="center" vertical="center" wrapText="1"/>
      <protection hidden="1"/>
    </xf>
    <xf numFmtId="49" fontId="2" fillId="0" borderId="5" xfId="8" applyNumberFormat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wrapText="1"/>
    </xf>
    <xf numFmtId="49" fontId="2" fillId="0" borderId="2" xfId="8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8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8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0" applyFont="1" applyAlignment="1">
      <alignment horizontal="center" wrapText="1"/>
    </xf>
  </cellXfs>
  <cellStyles count="11">
    <cellStyle name="Įprastas" xfId="0" builtinId="0"/>
    <cellStyle name="Įprastas 2" xfId="1"/>
    <cellStyle name="Įprastas 3" xfId="2"/>
    <cellStyle name="Įprastas 3 2" xfId="6"/>
    <cellStyle name="Normal 2" xfId="3"/>
    <cellStyle name="Normal_adm_dir_rezervas_2005 2" xfId="10"/>
    <cellStyle name="Normal_SAVAPYSsssss" xfId="8"/>
    <cellStyle name="Paprastas_Dir.rez. atask.2008m" xfId="9"/>
    <cellStyle name="Procentai" xfId="7" builtinId="5"/>
    <cellStyle name="Procentai 2" xfId="4"/>
    <cellStyle name="Procentai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="115" zoomScaleNormal="115" workbookViewId="0">
      <pane xSplit="2" ySplit="12" topLeftCell="C13" activePane="bottomRight" state="frozen"/>
      <selection pane="topRight" activeCell="C1" sqref="C1"/>
      <selection pane="bottomLeft" activeCell="A10" sqref="A10"/>
      <selection pane="bottomRight" activeCell="B14" sqref="B14"/>
    </sheetView>
  </sheetViews>
  <sheetFormatPr defaultRowHeight="12.75" x14ac:dyDescent="0.2"/>
  <cols>
    <col min="1" max="1" width="9.140625" style="2"/>
    <col min="2" max="2" width="61.85546875" style="2" customWidth="1"/>
    <col min="3" max="3" width="14.140625" style="2" customWidth="1"/>
    <col min="4" max="4" width="11.7109375" style="2" customWidth="1"/>
    <col min="5" max="5" width="12.85546875" style="2" customWidth="1"/>
    <col min="6" max="6" width="14.5703125" style="2" customWidth="1"/>
    <col min="7" max="145" width="9.140625" style="2"/>
    <col min="146" max="146" width="60" style="2" customWidth="1"/>
    <col min="147" max="147" width="17.28515625" style="2" customWidth="1"/>
    <col min="148" max="148" width="13.28515625" style="2" customWidth="1"/>
    <col min="149" max="149" width="12" style="2" customWidth="1"/>
    <col min="150" max="401" width="9.140625" style="2"/>
    <col min="402" max="402" width="60" style="2" customWidth="1"/>
    <col min="403" max="403" width="17.28515625" style="2" customWidth="1"/>
    <col min="404" max="404" width="13.28515625" style="2" customWidth="1"/>
    <col min="405" max="405" width="12" style="2" customWidth="1"/>
    <col min="406" max="657" width="9.140625" style="2"/>
    <col min="658" max="658" width="60" style="2" customWidth="1"/>
    <col min="659" max="659" width="17.28515625" style="2" customWidth="1"/>
    <col min="660" max="660" width="13.28515625" style="2" customWidth="1"/>
    <col min="661" max="661" width="12" style="2" customWidth="1"/>
    <col min="662" max="913" width="9.140625" style="2"/>
    <col min="914" max="914" width="60" style="2" customWidth="1"/>
    <col min="915" max="915" width="17.28515625" style="2" customWidth="1"/>
    <col min="916" max="916" width="13.28515625" style="2" customWidth="1"/>
    <col min="917" max="917" width="12" style="2" customWidth="1"/>
    <col min="918" max="1169" width="9.140625" style="2"/>
    <col min="1170" max="1170" width="60" style="2" customWidth="1"/>
    <col min="1171" max="1171" width="17.28515625" style="2" customWidth="1"/>
    <col min="1172" max="1172" width="13.28515625" style="2" customWidth="1"/>
    <col min="1173" max="1173" width="12" style="2" customWidth="1"/>
    <col min="1174" max="1425" width="9.140625" style="2"/>
    <col min="1426" max="1426" width="60" style="2" customWidth="1"/>
    <col min="1427" max="1427" width="17.28515625" style="2" customWidth="1"/>
    <col min="1428" max="1428" width="13.28515625" style="2" customWidth="1"/>
    <col min="1429" max="1429" width="12" style="2" customWidth="1"/>
    <col min="1430" max="1681" width="9.140625" style="2"/>
    <col min="1682" max="1682" width="60" style="2" customWidth="1"/>
    <col min="1683" max="1683" width="17.28515625" style="2" customWidth="1"/>
    <col min="1684" max="1684" width="13.28515625" style="2" customWidth="1"/>
    <col min="1685" max="1685" width="12" style="2" customWidth="1"/>
    <col min="1686" max="1937" width="9.140625" style="2"/>
    <col min="1938" max="1938" width="60" style="2" customWidth="1"/>
    <col min="1939" max="1939" width="17.28515625" style="2" customWidth="1"/>
    <col min="1940" max="1940" width="13.28515625" style="2" customWidth="1"/>
    <col min="1941" max="1941" width="12" style="2" customWidth="1"/>
    <col min="1942" max="2193" width="9.140625" style="2"/>
    <col min="2194" max="2194" width="60" style="2" customWidth="1"/>
    <col min="2195" max="2195" width="17.28515625" style="2" customWidth="1"/>
    <col min="2196" max="2196" width="13.28515625" style="2" customWidth="1"/>
    <col min="2197" max="2197" width="12" style="2" customWidth="1"/>
    <col min="2198" max="2449" width="9.140625" style="2"/>
    <col min="2450" max="2450" width="60" style="2" customWidth="1"/>
    <col min="2451" max="2451" width="17.28515625" style="2" customWidth="1"/>
    <col min="2452" max="2452" width="13.28515625" style="2" customWidth="1"/>
    <col min="2453" max="2453" width="12" style="2" customWidth="1"/>
    <col min="2454" max="2705" width="9.140625" style="2"/>
    <col min="2706" max="2706" width="60" style="2" customWidth="1"/>
    <col min="2707" max="2707" width="17.28515625" style="2" customWidth="1"/>
    <col min="2708" max="2708" width="13.28515625" style="2" customWidth="1"/>
    <col min="2709" max="2709" width="12" style="2" customWidth="1"/>
    <col min="2710" max="2961" width="9.140625" style="2"/>
    <col min="2962" max="2962" width="60" style="2" customWidth="1"/>
    <col min="2963" max="2963" width="17.28515625" style="2" customWidth="1"/>
    <col min="2964" max="2964" width="13.28515625" style="2" customWidth="1"/>
    <col min="2965" max="2965" width="12" style="2" customWidth="1"/>
    <col min="2966" max="3217" width="9.140625" style="2"/>
    <col min="3218" max="3218" width="60" style="2" customWidth="1"/>
    <col min="3219" max="3219" width="17.28515625" style="2" customWidth="1"/>
    <col min="3220" max="3220" width="13.28515625" style="2" customWidth="1"/>
    <col min="3221" max="3221" width="12" style="2" customWidth="1"/>
    <col min="3222" max="3473" width="9.140625" style="2"/>
    <col min="3474" max="3474" width="60" style="2" customWidth="1"/>
    <col min="3475" max="3475" width="17.28515625" style="2" customWidth="1"/>
    <col min="3476" max="3476" width="13.28515625" style="2" customWidth="1"/>
    <col min="3477" max="3477" width="12" style="2" customWidth="1"/>
    <col min="3478" max="3729" width="9.140625" style="2"/>
    <col min="3730" max="3730" width="60" style="2" customWidth="1"/>
    <col min="3731" max="3731" width="17.28515625" style="2" customWidth="1"/>
    <col min="3732" max="3732" width="13.28515625" style="2" customWidth="1"/>
    <col min="3733" max="3733" width="12" style="2" customWidth="1"/>
    <col min="3734" max="3985" width="9.140625" style="2"/>
    <col min="3986" max="3986" width="60" style="2" customWidth="1"/>
    <col min="3987" max="3987" width="17.28515625" style="2" customWidth="1"/>
    <col min="3988" max="3988" width="13.28515625" style="2" customWidth="1"/>
    <col min="3989" max="3989" width="12" style="2" customWidth="1"/>
    <col min="3990" max="4241" width="9.140625" style="2"/>
    <col min="4242" max="4242" width="60" style="2" customWidth="1"/>
    <col min="4243" max="4243" width="17.28515625" style="2" customWidth="1"/>
    <col min="4244" max="4244" width="13.28515625" style="2" customWidth="1"/>
    <col min="4245" max="4245" width="12" style="2" customWidth="1"/>
    <col min="4246" max="4497" width="9.140625" style="2"/>
    <col min="4498" max="4498" width="60" style="2" customWidth="1"/>
    <col min="4499" max="4499" width="17.28515625" style="2" customWidth="1"/>
    <col min="4500" max="4500" width="13.28515625" style="2" customWidth="1"/>
    <col min="4501" max="4501" width="12" style="2" customWidth="1"/>
    <col min="4502" max="4753" width="9.140625" style="2"/>
    <col min="4754" max="4754" width="60" style="2" customWidth="1"/>
    <col min="4755" max="4755" width="17.28515625" style="2" customWidth="1"/>
    <col min="4756" max="4756" width="13.28515625" style="2" customWidth="1"/>
    <col min="4757" max="4757" width="12" style="2" customWidth="1"/>
    <col min="4758" max="5009" width="9.140625" style="2"/>
    <col min="5010" max="5010" width="60" style="2" customWidth="1"/>
    <col min="5011" max="5011" width="17.28515625" style="2" customWidth="1"/>
    <col min="5012" max="5012" width="13.28515625" style="2" customWidth="1"/>
    <col min="5013" max="5013" width="12" style="2" customWidth="1"/>
    <col min="5014" max="5265" width="9.140625" style="2"/>
    <col min="5266" max="5266" width="60" style="2" customWidth="1"/>
    <col min="5267" max="5267" width="17.28515625" style="2" customWidth="1"/>
    <col min="5268" max="5268" width="13.28515625" style="2" customWidth="1"/>
    <col min="5269" max="5269" width="12" style="2" customWidth="1"/>
    <col min="5270" max="5521" width="9.140625" style="2"/>
    <col min="5522" max="5522" width="60" style="2" customWidth="1"/>
    <col min="5523" max="5523" width="17.28515625" style="2" customWidth="1"/>
    <col min="5524" max="5524" width="13.28515625" style="2" customWidth="1"/>
    <col min="5525" max="5525" width="12" style="2" customWidth="1"/>
    <col min="5526" max="5777" width="9.140625" style="2"/>
    <col min="5778" max="5778" width="60" style="2" customWidth="1"/>
    <col min="5779" max="5779" width="17.28515625" style="2" customWidth="1"/>
    <col min="5780" max="5780" width="13.28515625" style="2" customWidth="1"/>
    <col min="5781" max="5781" width="12" style="2" customWidth="1"/>
    <col min="5782" max="6033" width="9.140625" style="2"/>
    <col min="6034" max="6034" width="60" style="2" customWidth="1"/>
    <col min="6035" max="6035" width="17.28515625" style="2" customWidth="1"/>
    <col min="6036" max="6036" width="13.28515625" style="2" customWidth="1"/>
    <col min="6037" max="6037" width="12" style="2" customWidth="1"/>
    <col min="6038" max="6289" width="9.140625" style="2"/>
    <col min="6290" max="6290" width="60" style="2" customWidth="1"/>
    <col min="6291" max="6291" width="17.28515625" style="2" customWidth="1"/>
    <col min="6292" max="6292" width="13.28515625" style="2" customWidth="1"/>
    <col min="6293" max="6293" width="12" style="2" customWidth="1"/>
    <col min="6294" max="6545" width="9.140625" style="2"/>
    <col min="6546" max="6546" width="60" style="2" customWidth="1"/>
    <col min="6547" max="6547" width="17.28515625" style="2" customWidth="1"/>
    <col min="6548" max="6548" width="13.28515625" style="2" customWidth="1"/>
    <col min="6549" max="6549" width="12" style="2" customWidth="1"/>
    <col min="6550" max="6801" width="9.140625" style="2"/>
    <col min="6802" max="6802" width="60" style="2" customWidth="1"/>
    <col min="6803" max="6803" width="17.28515625" style="2" customWidth="1"/>
    <col min="6804" max="6804" width="13.28515625" style="2" customWidth="1"/>
    <col min="6805" max="6805" width="12" style="2" customWidth="1"/>
    <col min="6806" max="7057" width="9.140625" style="2"/>
    <col min="7058" max="7058" width="60" style="2" customWidth="1"/>
    <col min="7059" max="7059" width="17.28515625" style="2" customWidth="1"/>
    <col min="7060" max="7060" width="13.28515625" style="2" customWidth="1"/>
    <col min="7061" max="7061" width="12" style="2" customWidth="1"/>
    <col min="7062" max="7313" width="9.140625" style="2"/>
    <col min="7314" max="7314" width="60" style="2" customWidth="1"/>
    <col min="7315" max="7315" width="17.28515625" style="2" customWidth="1"/>
    <col min="7316" max="7316" width="13.28515625" style="2" customWidth="1"/>
    <col min="7317" max="7317" width="12" style="2" customWidth="1"/>
    <col min="7318" max="7569" width="9.140625" style="2"/>
    <col min="7570" max="7570" width="60" style="2" customWidth="1"/>
    <col min="7571" max="7571" width="17.28515625" style="2" customWidth="1"/>
    <col min="7572" max="7572" width="13.28515625" style="2" customWidth="1"/>
    <col min="7573" max="7573" width="12" style="2" customWidth="1"/>
    <col min="7574" max="7825" width="9.140625" style="2"/>
    <col min="7826" max="7826" width="60" style="2" customWidth="1"/>
    <col min="7827" max="7827" width="17.28515625" style="2" customWidth="1"/>
    <col min="7828" max="7828" width="13.28515625" style="2" customWidth="1"/>
    <col min="7829" max="7829" width="12" style="2" customWidth="1"/>
    <col min="7830" max="8081" width="9.140625" style="2"/>
    <col min="8082" max="8082" width="60" style="2" customWidth="1"/>
    <col min="8083" max="8083" width="17.28515625" style="2" customWidth="1"/>
    <col min="8084" max="8084" width="13.28515625" style="2" customWidth="1"/>
    <col min="8085" max="8085" width="12" style="2" customWidth="1"/>
    <col min="8086" max="8337" width="9.140625" style="2"/>
    <col min="8338" max="8338" width="60" style="2" customWidth="1"/>
    <col min="8339" max="8339" width="17.28515625" style="2" customWidth="1"/>
    <col min="8340" max="8340" width="13.28515625" style="2" customWidth="1"/>
    <col min="8341" max="8341" width="12" style="2" customWidth="1"/>
    <col min="8342" max="8593" width="9.140625" style="2"/>
    <col min="8594" max="8594" width="60" style="2" customWidth="1"/>
    <col min="8595" max="8595" width="17.28515625" style="2" customWidth="1"/>
    <col min="8596" max="8596" width="13.28515625" style="2" customWidth="1"/>
    <col min="8597" max="8597" width="12" style="2" customWidth="1"/>
    <col min="8598" max="8849" width="9.140625" style="2"/>
    <col min="8850" max="8850" width="60" style="2" customWidth="1"/>
    <col min="8851" max="8851" width="17.28515625" style="2" customWidth="1"/>
    <col min="8852" max="8852" width="13.28515625" style="2" customWidth="1"/>
    <col min="8853" max="8853" width="12" style="2" customWidth="1"/>
    <col min="8854" max="9105" width="9.140625" style="2"/>
    <col min="9106" max="9106" width="60" style="2" customWidth="1"/>
    <col min="9107" max="9107" width="17.28515625" style="2" customWidth="1"/>
    <col min="9108" max="9108" width="13.28515625" style="2" customWidth="1"/>
    <col min="9109" max="9109" width="12" style="2" customWidth="1"/>
    <col min="9110" max="9361" width="9.140625" style="2"/>
    <col min="9362" max="9362" width="60" style="2" customWidth="1"/>
    <col min="9363" max="9363" width="17.28515625" style="2" customWidth="1"/>
    <col min="9364" max="9364" width="13.28515625" style="2" customWidth="1"/>
    <col min="9365" max="9365" width="12" style="2" customWidth="1"/>
    <col min="9366" max="9617" width="9.140625" style="2"/>
    <col min="9618" max="9618" width="60" style="2" customWidth="1"/>
    <col min="9619" max="9619" width="17.28515625" style="2" customWidth="1"/>
    <col min="9620" max="9620" width="13.28515625" style="2" customWidth="1"/>
    <col min="9621" max="9621" width="12" style="2" customWidth="1"/>
    <col min="9622" max="9873" width="9.140625" style="2"/>
    <col min="9874" max="9874" width="60" style="2" customWidth="1"/>
    <col min="9875" max="9875" width="17.28515625" style="2" customWidth="1"/>
    <col min="9876" max="9876" width="13.28515625" style="2" customWidth="1"/>
    <col min="9877" max="9877" width="12" style="2" customWidth="1"/>
    <col min="9878" max="10129" width="9.140625" style="2"/>
    <col min="10130" max="10130" width="60" style="2" customWidth="1"/>
    <col min="10131" max="10131" width="17.28515625" style="2" customWidth="1"/>
    <col min="10132" max="10132" width="13.28515625" style="2" customWidth="1"/>
    <col min="10133" max="10133" width="12" style="2" customWidth="1"/>
    <col min="10134" max="10385" width="9.140625" style="2"/>
    <col min="10386" max="10386" width="60" style="2" customWidth="1"/>
    <col min="10387" max="10387" width="17.28515625" style="2" customWidth="1"/>
    <col min="10388" max="10388" width="13.28515625" style="2" customWidth="1"/>
    <col min="10389" max="10389" width="12" style="2" customWidth="1"/>
    <col min="10390" max="10641" width="9.140625" style="2"/>
    <col min="10642" max="10642" width="60" style="2" customWidth="1"/>
    <col min="10643" max="10643" width="17.28515625" style="2" customWidth="1"/>
    <col min="10644" max="10644" width="13.28515625" style="2" customWidth="1"/>
    <col min="10645" max="10645" width="12" style="2" customWidth="1"/>
    <col min="10646" max="10897" width="9.140625" style="2"/>
    <col min="10898" max="10898" width="60" style="2" customWidth="1"/>
    <col min="10899" max="10899" width="17.28515625" style="2" customWidth="1"/>
    <col min="10900" max="10900" width="13.28515625" style="2" customWidth="1"/>
    <col min="10901" max="10901" width="12" style="2" customWidth="1"/>
    <col min="10902" max="11153" width="9.140625" style="2"/>
    <col min="11154" max="11154" width="60" style="2" customWidth="1"/>
    <col min="11155" max="11155" width="17.28515625" style="2" customWidth="1"/>
    <col min="11156" max="11156" width="13.28515625" style="2" customWidth="1"/>
    <col min="11157" max="11157" width="12" style="2" customWidth="1"/>
    <col min="11158" max="11409" width="9.140625" style="2"/>
    <col min="11410" max="11410" width="60" style="2" customWidth="1"/>
    <col min="11411" max="11411" width="17.28515625" style="2" customWidth="1"/>
    <col min="11412" max="11412" width="13.28515625" style="2" customWidth="1"/>
    <col min="11413" max="11413" width="12" style="2" customWidth="1"/>
    <col min="11414" max="11665" width="9.140625" style="2"/>
    <col min="11666" max="11666" width="60" style="2" customWidth="1"/>
    <col min="11667" max="11667" width="17.28515625" style="2" customWidth="1"/>
    <col min="11668" max="11668" width="13.28515625" style="2" customWidth="1"/>
    <col min="11669" max="11669" width="12" style="2" customWidth="1"/>
    <col min="11670" max="11921" width="9.140625" style="2"/>
    <col min="11922" max="11922" width="60" style="2" customWidth="1"/>
    <col min="11923" max="11923" width="17.28515625" style="2" customWidth="1"/>
    <col min="11924" max="11924" width="13.28515625" style="2" customWidth="1"/>
    <col min="11925" max="11925" width="12" style="2" customWidth="1"/>
    <col min="11926" max="12177" width="9.140625" style="2"/>
    <col min="12178" max="12178" width="60" style="2" customWidth="1"/>
    <col min="12179" max="12179" width="17.28515625" style="2" customWidth="1"/>
    <col min="12180" max="12180" width="13.28515625" style="2" customWidth="1"/>
    <col min="12181" max="12181" width="12" style="2" customWidth="1"/>
    <col min="12182" max="12433" width="9.140625" style="2"/>
    <col min="12434" max="12434" width="60" style="2" customWidth="1"/>
    <col min="12435" max="12435" width="17.28515625" style="2" customWidth="1"/>
    <col min="12436" max="12436" width="13.28515625" style="2" customWidth="1"/>
    <col min="12437" max="12437" width="12" style="2" customWidth="1"/>
    <col min="12438" max="12689" width="9.140625" style="2"/>
    <col min="12690" max="12690" width="60" style="2" customWidth="1"/>
    <col min="12691" max="12691" width="17.28515625" style="2" customWidth="1"/>
    <col min="12692" max="12692" width="13.28515625" style="2" customWidth="1"/>
    <col min="12693" max="12693" width="12" style="2" customWidth="1"/>
    <col min="12694" max="12945" width="9.140625" style="2"/>
    <col min="12946" max="12946" width="60" style="2" customWidth="1"/>
    <col min="12947" max="12947" width="17.28515625" style="2" customWidth="1"/>
    <col min="12948" max="12948" width="13.28515625" style="2" customWidth="1"/>
    <col min="12949" max="12949" width="12" style="2" customWidth="1"/>
    <col min="12950" max="13201" width="9.140625" style="2"/>
    <col min="13202" max="13202" width="60" style="2" customWidth="1"/>
    <col min="13203" max="13203" width="17.28515625" style="2" customWidth="1"/>
    <col min="13204" max="13204" width="13.28515625" style="2" customWidth="1"/>
    <col min="13205" max="13205" width="12" style="2" customWidth="1"/>
    <col min="13206" max="13457" width="9.140625" style="2"/>
    <col min="13458" max="13458" width="60" style="2" customWidth="1"/>
    <col min="13459" max="13459" width="17.28515625" style="2" customWidth="1"/>
    <col min="13460" max="13460" width="13.28515625" style="2" customWidth="1"/>
    <col min="13461" max="13461" width="12" style="2" customWidth="1"/>
    <col min="13462" max="13713" width="9.140625" style="2"/>
    <col min="13714" max="13714" width="60" style="2" customWidth="1"/>
    <col min="13715" max="13715" width="17.28515625" style="2" customWidth="1"/>
    <col min="13716" max="13716" width="13.28515625" style="2" customWidth="1"/>
    <col min="13717" max="13717" width="12" style="2" customWidth="1"/>
    <col min="13718" max="13969" width="9.140625" style="2"/>
    <col min="13970" max="13970" width="60" style="2" customWidth="1"/>
    <col min="13971" max="13971" width="17.28515625" style="2" customWidth="1"/>
    <col min="13972" max="13972" width="13.28515625" style="2" customWidth="1"/>
    <col min="13973" max="13973" width="12" style="2" customWidth="1"/>
    <col min="13974" max="14225" width="9.140625" style="2"/>
    <col min="14226" max="14226" width="60" style="2" customWidth="1"/>
    <col min="14227" max="14227" width="17.28515625" style="2" customWidth="1"/>
    <col min="14228" max="14228" width="13.28515625" style="2" customWidth="1"/>
    <col min="14229" max="14229" width="12" style="2" customWidth="1"/>
    <col min="14230" max="14481" width="9.140625" style="2"/>
    <col min="14482" max="14482" width="60" style="2" customWidth="1"/>
    <col min="14483" max="14483" width="17.28515625" style="2" customWidth="1"/>
    <col min="14484" max="14484" width="13.28515625" style="2" customWidth="1"/>
    <col min="14485" max="14485" width="12" style="2" customWidth="1"/>
    <col min="14486" max="14737" width="9.140625" style="2"/>
    <col min="14738" max="14738" width="60" style="2" customWidth="1"/>
    <col min="14739" max="14739" width="17.28515625" style="2" customWidth="1"/>
    <col min="14740" max="14740" width="13.28515625" style="2" customWidth="1"/>
    <col min="14741" max="14741" width="12" style="2" customWidth="1"/>
    <col min="14742" max="14993" width="9.140625" style="2"/>
    <col min="14994" max="14994" width="60" style="2" customWidth="1"/>
    <col min="14995" max="14995" width="17.28515625" style="2" customWidth="1"/>
    <col min="14996" max="14996" width="13.28515625" style="2" customWidth="1"/>
    <col min="14997" max="14997" width="12" style="2" customWidth="1"/>
    <col min="14998" max="15249" width="9.140625" style="2"/>
    <col min="15250" max="15250" width="60" style="2" customWidth="1"/>
    <col min="15251" max="15251" width="17.28515625" style="2" customWidth="1"/>
    <col min="15252" max="15252" width="13.28515625" style="2" customWidth="1"/>
    <col min="15253" max="15253" width="12" style="2" customWidth="1"/>
    <col min="15254" max="15505" width="9.140625" style="2"/>
    <col min="15506" max="15506" width="60" style="2" customWidth="1"/>
    <col min="15507" max="15507" width="17.28515625" style="2" customWidth="1"/>
    <col min="15508" max="15508" width="13.28515625" style="2" customWidth="1"/>
    <col min="15509" max="15509" width="12" style="2" customWidth="1"/>
    <col min="15510" max="15761" width="9.140625" style="2"/>
    <col min="15762" max="15762" width="60" style="2" customWidth="1"/>
    <col min="15763" max="15763" width="17.28515625" style="2" customWidth="1"/>
    <col min="15764" max="15764" width="13.28515625" style="2" customWidth="1"/>
    <col min="15765" max="15765" width="12" style="2" customWidth="1"/>
    <col min="15766" max="16017" width="9.140625" style="2"/>
    <col min="16018" max="16018" width="60" style="2" customWidth="1"/>
    <col min="16019" max="16019" width="17.28515625" style="2" customWidth="1"/>
    <col min="16020" max="16020" width="13.28515625" style="2" customWidth="1"/>
    <col min="16021" max="16021" width="12" style="2" customWidth="1"/>
    <col min="16022" max="16384" width="9.140625" style="2"/>
  </cols>
  <sheetData>
    <row r="1" spans="1:6" ht="15" x14ac:dyDescent="0.25">
      <c r="D1" s="105"/>
      <c r="E1" s="106"/>
      <c r="F1" s="106"/>
    </row>
    <row r="2" spans="1:6" ht="15.75" x14ac:dyDescent="0.25">
      <c r="D2" s="106"/>
      <c r="E2" s="108" t="s">
        <v>280</v>
      </c>
      <c r="F2" s="108"/>
    </row>
    <row r="3" spans="1:6" ht="15.75" x14ac:dyDescent="0.25">
      <c r="D3" s="106"/>
      <c r="E3" s="108" t="s">
        <v>281</v>
      </c>
      <c r="F3" s="108"/>
    </row>
    <row r="4" spans="1:6" ht="15.75" x14ac:dyDescent="0.25">
      <c r="D4" s="106"/>
      <c r="E4" s="108" t="s">
        <v>282</v>
      </c>
      <c r="F4" s="108"/>
    </row>
    <row r="5" spans="1:6" ht="15.75" x14ac:dyDescent="0.25">
      <c r="D5" s="106"/>
      <c r="E5" s="108" t="s">
        <v>283</v>
      </c>
      <c r="F5" s="108"/>
    </row>
    <row r="6" spans="1:6" ht="15" x14ac:dyDescent="0.25">
      <c r="D6" s="106"/>
      <c r="E6" s="106"/>
      <c r="F6" s="106"/>
    </row>
    <row r="7" spans="1:6" ht="12.75" customHeight="1" x14ac:dyDescent="0.25">
      <c r="A7" s="16"/>
      <c r="B7" s="17"/>
      <c r="C7" s="17"/>
      <c r="D7" s="106"/>
      <c r="E7" s="106"/>
      <c r="F7" s="106"/>
    </row>
    <row r="8" spans="1:6" ht="15.75" x14ac:dyDescent="0.25">
      <c r="A8" s="107" t="s">
        <v>265</v>
      </c>
      <c r="B8" s="107"/>
      <c r="C8" s="107"/>
      <c r="D8" s="107"/>
      <c r="E8" s="107"/>
      <c r="F8" s="107"/>
    </row>
    <row r="9" spans="1:6" ht="11.25" customHeight="1" x14ac:dyDescent="0.25">
      <c r="A9" s="16"/>
      <c r="B9" s="18"/>
      <c r="C9" s="19"/>
    </row>
    <row r="10" spans="1:6" ht="15.75" x14ac:dyDescent="0.25">
      <c r="A10" s="16"/>
      <c r="B10" s="20" t="s">
        <v>7</v>
      </c>
      <c r="C10" s="5"/>
      <c r="F10" s="5" t="s">
        <v>268</v>
      </c>
    </row>
    <row r="11" spans="1:6" ht="47.25" customHeight="1" x14ac:dyDescent="0.25">
      <c r="A11" s="62" t="s">
        <v>0</v>
      </c>
      <c r="B11" s="62" t="s">
        <v>8</v>
      </c>
      <c r="C11" s="63" t="s">
        <v>214</v>
      </c>
      <c r="D11" s="63" t="s">
        <v>215</v>
      </c>
      <c r="E11" s="62" t="s">
        <v>216</v>
      </c>
      <c r="F11" s="63" t="s">
        <v>217</v>
      </c>
    </row>
    <row r="12" spans="1:6" s="6" customFormat="1" ht="15.75" x14ac:dyDescent="0.25">
      <c r="A12" s="63">
        <v>1</v>
      </c>
      <c r="B12" s="63">
        <v>2</v>
      </c>
      <c r="C12" s="63">
        <v>3</v>
      </c>
      <c r="D12" s="64">
        <v>4</v>
      </c>
      <c r="E12" s="64">
        <v>5</v>
      </c>
      <c r="F12" s="64">
        <v>6</v>
      </c>
    </row>
    <row r="13" spans="1:6" ht="15.75" x14ac:dyDescent="0.25">
      <c r="A13" s="9">
        <v>1</v>
      </c>
      <c r="B13" s="7" t="s">
        <v>9</v>
      </c>
      <c r="C13" s="59">
        <f>SUM(C14:C20)</f>
        <v>90467.9</v>
      </c>
      <c r="D13" s="59">
        <f t="shared" ref="D13:E13" si="0">SUM(D14:D20)</f>
        <v>95398.1</v>
      </c>
      <c r="E13" s="59">
        <f t="shared" si="0"/>
        <v>4930.2</v>
      </c>
      <c r="F13" s="59">
        <f>+D13/C13*100</f>
        <v>105.4</v>
      </c>
    </row>
    <row r="14" spans="1:6" ht="15.75" x14ac:dyDescent="0.25">
      <c r="A14" s="9">
        <v>2</v>
      </c>
      <c r="B14" s="8" t="s">
        <v>10</v>
      </c>
      <c r="C14" s="69">
        <v>75066</v>
      </c>
      <c r="D14" s="69">
        <v>78492.7</v>
      </c>
      <c r="E14" s="69">
        <f>+D14-C14</f>
        <v>3426.7</v>
      </c>
      <c r="F14" s="69">
        <f t="shared" ref="F14:F77" si="1">+D14/C14*100</f>
        <v>104.6</v>
      </c>
    </row>
    <row r="15" spans="1:6" ht="15.75" x14ac:dyDescent="0.25">
      <c r="A15" s="9">
        <v>3</v>
      </c>
      <c r="B15" s="8" t="s">
        <v>11</v>
      </c>
      <c r="C15" s="69">
        <v>360</v>
      </c>
      <c r="D15" s="69">
        <v>473.7</v>
      </c>
      <c r="E15" s="69">
        <f t="shared" ref="E15:E22" si="2">+D15-C15</f>
        <v>113.7</v>
      </c>
      <c r="F15" s="69">
        <f t="shared" si="1"/>
        <v>131.6</v>
      </c>
    </row>
    <row r="16" spans="1:6" ht="15.75" x14ac:dyDescent="0.25">
      <c r="A16" s="9">
        <v>4</v>
      </c>
      <c r="B16" s="8" t="s">
        <v>12</v>
      </c>
      <c r="C16" s="69">
        <v>61</v>
      </c>
      <c r="D16" s="69">
        <v>78.400000000000006</v>
      </c>
      <c r="E16" s="69">
        <f t="shared" si="2"/>
        <v>17.399999999999999</v>
      </c>
      <c r="F16" s="69">
        <f t="shared" si="1"/>
        <v>128.5</v>
      </c>
    </row>
    <row r="17" spans="1:6" ht="15.75" x14ac:dyDescent="0.25">
      <c r="A17" s="9">
        <v>5</v>
      </c>
      <c r="B17" s="8" t="s">
        <v>13</v>
      </c>
      <c r="C17" s="69">
        <v>7860</v>
      </c>
      <c r="D17" s="69">
        <v>8576.7000000000007</v>
      </c>
      <c r="E17" s="69">
        <f t="shared" si="2"/>
        <v>716.7</v>
      </c>
      <c r="F17" s="69">
        <f t="shared" si="1"/>
        <v>109.1</v>
      </c>
    </row>
    <row r="18" spans="1:6" ht="15.75" x14ac:dyDescent="0.25">
      <c r="A18" s="9">
        <v>6</v>
      </c>
      <c r="B18" s="8" t="s">
        <v>14</v>
      </c>
      <c r="C18" s="69">
        <v>405.5</v>
      </c>
      <c r="D18" s="69">
        <v>367.4</v>
      </c>
      <c r="E18" s="69">
        <f t="shared" si="2"/>
        <v>-38.1</v>
      </c>
      <c r="F18" s="69">
        <f t="shared" si="1"/>
        <v>90.6</v>
      </c>
    </row>
    <row r="19" spans="1:6" ht="15.75" x14ac:dyDescent="0.25">
      <c r="A19" s="9">
        <v>7</v>
      </c>
      <c r="B19" s="8" t="s">
        <v>15</v>
      </c>
      <c r="C19" s="69">
        <v>133</v>
      </c>
      <c r="D19" s="69">
        <v>175.9</v>
      </c>
      <c r="E19" s="69">
        <f t="shared" si="2"/>
        <v>42.9</v>
      </c>
      <c r="F19" s="69">
        <f t="shared" si="1"/>
        <v>132.30000000000001</v>
      </c>
    </row>
    <row r="20" spans="1:6" ht="15.75" x14ac:dyDescent="0.25">
      <c r="A20" s="9">
        <v>8</v>
      </c>
      <c r="B20" s="8" t="s">
        <v>16</v>
      </c>
      <c r="C20" s="69">
        <v>6582.4</v>
      </c>
      <c r="D20" s="69">
        <v>7233.3</v>
      </c>
      <c r="E20" s="69">
        <f t="shared" si="2"/>
        <v>650.9</v>
      </c>
      <c r="F20" s="69">
        <f t="shared" si="1"/>
        <v>109.9</v>
      </c>
    </row>
    <row r="21" spans="1:6" ht="15.75" x14ac:dyDescent="0.25">
      <c r="A21" s="9">
        <v>9</v>
      </c>
      <c r="B21" s="7" t="s">
        <v>210</v>
      </c>
      <c r="C21" s="59">
        <f>+C23+C22+C62+C65</f>
        <v>63914.3</v>
      </c>
      <c r="D21" s="59">
        <f t="shared" ref="D21" si="3">+D23+D22+D62+D65</f>
        <v>62631.5</v>
      </c>
      <c r="E21" s="59">
        <f t="shared" si="2"/>
        <v>-1282.8</v>
      </c>
      <c r="F21" s="59">
        <f t="shared" si="1"/>
        <v>98</v>
      </c>
    </row>
    <row r="22" spans="1:6" ht="15.75" x14ac:dyDescent="0.25">
      <c r="A22" s="9">
        <v>10</v>
      </c>
      <c r="B22" s="7" t="s">
        <v>127</v>
      </c>
      <c r="C22" s="59">
        <v>14903.1</v>
      </c>
      <c r="D22" s="59">
        <v>14410</v>
      </c>
      <c r="E22" s="59">
        <f t="shared" si="2"/>
        <v>-493.1</v>
      </c>
      <c r="F22" s="59">
        <f t="shared" si="1"/>
        <v>96.7</v>
      </c>
    </row>
    <row r="23" spans="1:6" ht="15.75" x14ac:dyDescent="0.25">
      <c r="A23" s="9">
        <v>11</v>
      </c>
      <c r="B23" s="7" t="s">
        <v>182</v>
      </c>
      <c r="C23" s="59">
        <f>+C24+C46+C47+C50+C51+C52</f>
        <v>45881.3</v>
      </c>
      <c r="D23" s="59">
        <f t="shared" ref="D23:E23" si="4">+D24+D46+D47+D50+D51+D52</f>
        <v>45117.599999999999</v>
      </c>
      <c r="E23" s="59">
        <f t="shared" si="4"/>
        <v>-763.7</v>
      </c>
      <c r="F23" s="59">
        <f t="shared" si="1"/>
        <v>98.3</v>
      </c>
    </row>
    <row r="24" spans="1:6" ht="31.5" x14ac:dyDescent="0.25">
      <c r="A24" s="9">
        <v>12</v>
      </c>
      <c r="B24" s="8" t="s">
        <v>167</v>
      </c>
      <c r="C24" s="69">
        <f>SUM(C25:C45)</f>
        <v>5792.1</v>
      </c>
      <c r="D24" s="69">
        <f t="shared" ref="D24:E24" si="5">SUM(D25:D45)</f>
        <v>5570.5</v>
      </c>
      <c r="E24" s="69">
        <f t="shared" si="5"/>
        <v>-221.6</v>
      </c>
      <c r="F24" s="69">
        <f t="shared" si="1"/>
        <v>96.2</v>
      </c>
    </row>
    <row r="25" spans="1:6" ht="15.75" x14ac:dyDescent="0.25">
      <c r="A25" s="9">
        <v>13</v>
      </c>
      <c r="B25" s="4" t="s">
        <v>17</v>
      </c>
      <c r="C25" s="69">
        <v>0.6</v>
      </c>
      <c r="D25" s="69">
        <v>0.3</v>
      </c>
      <c r="E25" s="69">
        <f>+D25-C25</f>
        <v>-0.3</v>
      </c>
      <c r="F25" s="69">
        <f t="shared" si="1"/>
        <v>50</v>
      </c>
    </row>
    <row r="26" spans="1:6" ht="15.75" x14ac:dyDescent="0.25">
      <c r="A26" s="9">
        <v>14</v>
      </c>
      <c r="B26" s="4" t="s">
        <v>18</v>
      </c>
      <c r="C26" s="69">
        <v>17.399999999999999</v>
      </c>
      <c r="D26" s="69">
        <v>17.3</v>
      </c>
      <c r="E26" s="69">
        <f t="shared" ref="E26:E46" si="6">+D26-C26</f>
        <v>-0.1</v>
      </c>
      <c r="F26" s="69">
        <f t="shared" si="1"/>
        <v>99.4</v>
      </c>
    </row>
    <row r="27" spans="1:6" ht="15.75" x14ac:dyDescent="0.25">
      <c r="A27" s="9">
        <v>15</v>
      </c>
      <c r="B27" s="4" t="s">
        <v>21</v>
      </c>
      <c r="C27" s="69">
        <v>60.8</v>
      </c>
      <c r="D27" s="69">
        <v>60.7</v>
      </c>
      <c r="E27" s="69">
        <f t="shared" si="6"/>
        <v>-0.1</v>
      </c>
      <c r="F27" s="69">
        <f t="shared" si="1"/>
        <v>99.8</v>
      </c>
    </row>
    <row r="28" spans="1:6" ht="15.75" x14ac:dyDescent="0.25">
      <c r="A28" s="9">
        <v>16</v>
      </c>
      <c r="B28" s="4" t="s">
        <v>19</v>
      </c>
      <c r="C28" s="69">
        <v>9.8000000000000007</v>
      </c>
      <c r="D28" s="69">
        <v>9.8000000000000007</v>
      </c>
      <c r="E28" s="69">
        <f t="shared" si="6"/>
        <v>0</v>
      </c>
      <c r="F28" s="69">
        <f t="shared" si="1"/>
        <v>100</v>
      </c>
    </row>
    <row r="29" spans="1:6" ht="15.75" x14ac:dyDescent="0.25">
      <c r="A29" s="9">
        <v>17</v>
      </c>
      <c r="B29" s="4" t="s">
        <v>132</v>
      </c>
      <c r="C29" s="69">
        <v>69.8</v>
      </c>
      <c r="D29" s="69">
        <v>69.7</v>
      </c>
      <c r="E29" s="69">
        <f t="shared" si="6"/>
        <v>-0.1</v>
      </c>
      <c r="F29" s="69">
        <f t="shared" si="1"/>
        <v>99.9</v>
      </c>
    </row>
    <row r="30" spans="1:6" ht="15.75" x14ac:dyDescent="0.25">
      <c r="A30" s="9">
        <v>18</v>
      </c>
      <c r="B30" s="4" t="s">
        <v>133</v>
      </c>
      <c r="C30" s="69">
        <v>31.4</v>
      </c>
      <c r="D30" s="69">
        <v>29.6</v>
      </c>
      <c r="E30" s="69">
        <f t="shared" si="6"/>
        <v>-1.8</v>
      </c>
      <c r="F30" s="69">
        <f t="shared" si="1"/>
        <v>94.3</v>
      </c>
    </row>
    <row r="31" spans="1:6" ht="15.75" x14ac:dyDescent="0.25">
      <c r="A31" s="9">
        <v>19</v>
      </c>
      <c r="B31" s="4" t="s">
        <v>20</v>
      </c>
      <c r="C31" s="69">
        <v>86.1</v>
      </c>
      <c r="D31" s="69">
        <v>85.9</v>
      </c>
      <c r="E31" s="69">
        <f t="shared" si="6"/>
        <v>-0.2</v>
      </c>
      <c r="F31" s="69">
        <f t="shared" si="1"/>
        <v>99.8</v>
      </c>
    </row>
    <row r="32" spans="1:6" ht="31.5" x14ac:dyDescent="0.25">
      <c r="A32" s="9">
        <v>20</v>
      </c>
      <c r="B32" s="4" t="s">
        <v>124</v>
      </c>
      <c r="C32" s="69">
        <v>22.3</v>
      </c>
      <c r="D32" s="69">
        <v>22.2</v>
      </c>
      <c r="E32" s="69">
        <f t="shared" si="6"/>
        <v>-0.1</v>
      </c>
      <c r="F32" s="69">
        <f t="shared" si="1"/>
        <v>99.6</v>
      </c>
    </row>
    <row r="33" spans="1:6" ht="15.75" x14ac:dyDescent="0.25">
      <c r="A33" s="9">
        <v>21</v>
      </c>
      <c r="B33" s="4" t="s">
        <v>22</v>
      </c>
      <c r="C33" s="69">
        <v>2.7</v>
      </c>
      <c r="D33" s="69">
        <v>2</v>
      </c>
      <c r="E33" s="69">
        <f t="shared" si="6"/>
        <v>-0.7</v>
      </c>
      <c r="F33" s="69">
        <f t="shared" si="1"/>
        <v>74.099999999999994</v>
      </c>
    </row>
    <row r="34" spans="1:6" ht="31.5" x14ac:dyDescent="0.25">
      <c r="A34" s="9">
        <v>22</v>
      </c>
      <c r="B34" s="4" t="s">
        <v>134</v>
      </c>
      <c r="C34" s="69">
        <v>0.4</v>
      </c>
      <c r="D34" s="69"/>
      <c r="E34" s="69">
        <f t="shared" si="6"/>
        <v>-0.4</v>
      </c>
      <c r="F34" s="69">
        <f t="shared" si="1"/>
        <v>0</v>
      </c>
    </row>
    <row r="35" spans="1:6" ht="15.75" x14ac:dyDescent="0.25">
      <c r="A35" s="9">
        <v>23</v>
      </c>
      <c r="B35" s="4" t="s">
        <v>135</v>
      </c>
      <c r="C35" s="69">
        <v>4.8</v>
      </c>
      <c r="D35" s="69">
        <v>4.8</v>
      </c>
      <c r="E35" s="69">
        <f t="shared" si="6"/>
        <v>0</v>
      </c>
      <c r="F35" s="69">
        <f t="shared" si="1"/>
        <v>100</v>
      </c>
    </row>
    <row r="36" spans="1:6" ht="31.5" x14ac:dyDescent="0.25">
      <c r="A36" s="9">
        <v>24</v>
      </c>
      <c r="B36" s="4" t="s">
        <v>104</v>
      </c>
      <c r="C36" s="69">
        <v>0.7</v>
      </c>
      <c r="D36" s="69">
        <v>0.6</v>
      </c>
      <c r="E36" s="69">
        <f t="shared" si="6"/>
        <v>-0.1</v>
      </c>
      <c r="F36" s="69">
        <f t="shared" si="1"/>
        <v>85.7</v>
      </c>
    </row>
    <row r="37" spans="1:6" ht="15.75" x14ac:dyDescent="0.25">
      <c r="A37" s="9">
        <v>25</v>
      </c>
      <c r="B37" s="8" t="s">
        <v>23</v>
      </c>
      <c r="C37" s="69">
        <v>332.6</v>
      </c>
      <c r="D37" s="69">
        <f>304.3+13.7</f>
        <v>318</v>
      </c>
      <c r="E37" s="69">
        <f t="shared" si="6"/>
        <v>-14.6</v>
      </c>
      <c r="F37" s="69">
        <f t="shared" si="1"/>
        <v>95.6</v>
      </c>
    </row>
    <row r="38" spans="1:6" ht="31.5" x14ac:dyDescent="0.25">
      <c r="A38" s="9">
        <v>26</v>
      </c>
      <c r="B38" s="4" t="s">
        <v>24</v>
      </c>
      <c r="C38" s="69">
        <v>257.8</v>
      </c>
      <c r="D38" s="69">
        <v>219.2</v>
      </c>
      <c r="E38" s="69">
        <f t="shared" si="6"/>
        <v>-38.6</v>
      </c>
      <c r="F38" s="69">
        <f t="shared" si="1"/>
        <v>85</v>
      </c>
    </row>
    <row r="39" spans="1:6" ht="15.75" x14ac:dyDescent="0.25">
      <c r="A39" s="9">
        <v>27</v>
      </c>
      <c r="B39" s="4" t="s">
        <v>25</v>
      </c>
      <c r="C39" s="69">
        <v>3263.7</v>
      </c>
      <c r="D39" s="69">
        <v>3196.8</v>
      </c>
      <c r="E39" s="69">
        <f t="shared" si="6"/>
        <v>-66.900000000000006</v>
      </c>
      <c r="F39" s="69">
        <f t="shared" si="1"/>
        <v>98</v>
      </c>
    </row>
    <row r="40" spans="1:6" ht="15.75" x14ac:dyDescent="0.25">
      <c r="A40" s="9">
        <v>28</v>
      </c>
      <c r="B40" s="4" t="s">
        <v>26</v>
      </c>
      <c r="C40" s="69">
        <v>693.6</v>
      </c>
      <c r="D40" s="69">
        <v>644.1</v>
      </c>
      <c r="E40" s="69">
        <f t="shared" si="6"/>
        <v>-49.5</v>
      </c>
      <c r="F40" s="69">
        <f t="shared" si="1"/>
        <v>92.9</v>
      </c>
    </row>
    <row r="41" spans="1:6" ht="15.75" x14ac:dyDescent="0.25">
      <c r="A41" s="9">
        <v>29</v>
      </c>
      <c r="B41" s="4" t="s">
        <v>27</v>
      </c>
      <c r="C41" s="69">
        <v>373.9</v>
      </c>
      <c r="D41" s="69">
        <v>331.2</v>
      </c>
      <c r="E41" s="69">
        <f t="shared" si="6"/>
        <v>-42.7</v>
      </c>
      <c r="F41" s="69">
        <f t="shared" si="1"/>
        <v>88.6</v>
      </c>
    </row>
    <row r="42" spans="1:6" ht="31.5" x14ac:dyDescent="0.25">
      <c r="A42" s="9">
        <v>30</v>
      </c>
      <c r="B42" s="4" t="s">
        <v>105</v>
      </c>
      <c r="C42" s="69">
        <v>25</v>
      </c>
      <c r="D42" s="69">
        <v>20</v>
      </c>
      <c r="E42" s="69">
        <f t="shared" si="6"/>
        <v>-5</v>
      </c>
      <c r="F42" s="69">
        <f t="shared" si="1"/>
        <v>80</v>
      </c>
    </row>
    <row r="43" spans="1:6" ht="15.75" x14ac:dyDescent="0.25">
      <c r="A43" s="9">
        <v>31</v>
      </c>
      <c r="B43" s="4" t="s">
        <v>28</v>
      </c>
      <c r="C43" s="69">
        <v>351.6</v>
      </c>
      <c r="D43" s="69">
        <v>351.6</v>
      </c>
      <c r="E43" s="69">
        <f t="shared" si="6"/>
        <v>0</v>
      </c>
      <c r="F43" s="69">
        <f t="shared" si="1"/>
        <v>100</v>
      </c>
    </row>
    <row r="44" spans="1:6" ht="15.75" x14ac:dyDescent="0.25">
      <c r="A44" s="9">
        <v>32</v>
      </c>
      <c r="B44" s="4" t="s">
        <v>29</v>
      </c>
      <c r="C44" s="69">
        <v>182.4</v>
      </c>
      <c r="D44" s="69">
        <v>182.2</v>
      </c>
      <c r="E44" s="69">
        <f t="shared" si="6"/>
        <v>-0.2</v>
      </c>
      <c r="F44" s="69">
        <f t="shared" si="1"/>
        <v>99.9</v>
      </c>
    </row>
    <row r="45" spans="1:6" ht="15.75" x14ac:dyDescent="0.25">
      <c r="A45" s="9">
        <v>33</v>
      </c>
      <c r="B45" s="4" t="s">
        <v>144</v>
      </c>
      <c r="C45" s="69">
        <v>4.7</v>
      </c>
      <c r="D45" s="69">
        <v>4.5</v>
      </c>
      <c r="E45" s="69">
        <f t="shared" si="6"/>
        <v>-0.2</v>
      </c>
      <c r="F45" s="69">
        <f t="shared" si="1"/>
        <v>95.7</v>
      </c>
    </row>
    <row r="46" spans="1:6" ht="15.75" x14ac:dyDescent="0.25">
      <c r="A46" s="9">
        <v>34</v>
      </c>
      <c r="B46" s="8" t="s">
        <v>125</v>
      </c>
      <c r="C46" s="69">
        <v>34031.800000000003</v>
      </c>
      <c r="D46" s="69">
        <v>34026.1</v>
      </c>
      <c r="E46" s="69">
        <f t="shared" si="6"/>
        <v>-5.7</v>
      </c>
      <c r="F46" s="69">
        <f t="shared" si="1"/>
        <v>100</v>
      </c>
    </row>
    <row r="47" spans="1:6" ht="15.75" x14ac:dyDescent="0.25">
      <c r="A47" s="9">
        <v>35</v>
      </c>
      <c r="B47" s="8" t="s">
        <v>168</v>
      </c>
      <c r="C47" s="69">
        <f>+C48+C49</f>
        <v>1166.3</v>
      </c>
      <c r="D47" s="69">
        <f t="shared" ref="D47:E47" si="7">+D48+D49</f>
        <v>1161.3</v>
      </c>
      <c r="E47" s="69">
        <f t="shared" si="7"/>
        <v>-5</v>
      </c>
      <c r="F47" s="69">
        <f t="shared" si="1"/>
        <v>99.6</v>
      </c>
    </row>
    <row r="48" spans="1:6" ht="15.75" x14ac:dyDescent="0.25">
      <c r="A48" s="9">
        <v>36</v>
      </c>
      <c r="B48" s="8" t="s">
        <v>30</v>
      </c>
      <c r="C48" s="69">
        <v>833.3</v>
      </c>
      <c r="D48" s="69">
        <v>832.1</v>
      </c>
      <c r="E48" s="69">
        <f>+D48-C48</f>
        <v>-1.2</v>
      </c>
      <c r="F48" s="69">
        <f t="shared" si="1"/>
        <v>99.9</v>
      </c>
    </row>
    <row r="49" spans="1:6" ht="15.75" x14ac:dyDescent="0.25">
      <c r="A49" s="9">
        <v>37</v>
      </c>
      <c r="B49" s="8" t="s">
        <v>31</v>
      </c>
      <c r="C49" s="69">
        <v>333</v>
      </c>
      <c r="D49" s="69">
        <v>329.2</v>
      </c>
      <c r="E49" s="69">
        <f>+D49-C49</f>
        <v>-3.8</v>
      </c>
      <c r="F49" s="69">
        <f t="shared" si="1"/>
        <v>98.9</v>
      </c>
    </row>
    <row r="50" spans="1:6" ht="31.5" x14ac:dyDescent="0.25">
      <c r="A50" s="9">
        <v>38</v>
      </c>
      <c r="B50" s="8" t="s">
        <v>32</v>
      </c>
      <c r="C50" s="69">
        <v>1.4</v>
      </c>
      <c r="D50" s="69">
        <v>1.4</v>
      </c>
      <c r="E50" s="69">
        <f>+D50-C50</f>
        <v>0</v>
      </c>
      <c r="F50" s="69">
        <f t="shared" si="1"/>
        <v>100</v>
      </c>
    </row>
    <row r="51" spans="1:6" ht="31.5" x14ac:dyDescent="0.25">
      <c r="A51" s="9">
        <v>39</v>
      </c>
      <c r="B51" s="8" t="s">
        <v>172</v>
      </c>
      <c r="C51" s="69">
        <v>1545</v>
      </c>
      <c r="D51" s="69">
        <v>1505.3</v>
      </c>
      <c r="E51" s="69">
        <f>+D51-C51</f>
        <v>-39.700000000000003</v>
      </c>
      <c r="F51" s="69">
        <f t="shared" si="1"/>
        <v>97.4</v>
      </c>
    </row>
    <row r="52" spans="1:6" ht="31.5" x14ac:dyDescent="0.25">
      <c r="A52" s="9">
        <v>40</v>
      </c>
      <c r="B52" s="8" t="s">
        <v>205</v>
      </c>
      <c r="C52" s="69">
        <f>SUM(C53:C61)</f>
        <v>3344.7</v>
      </c>
      <c r="D52" s="69">
        <f t="shared" ref="D52:E52" si="8">SUM(D53:D61)</f>
        <v>2853</v>
      </c>
      <c r="E52" s="69">
        <f t="shared" si="8"/>
        <v>-491.7</v>
      </c>
      <c r="F52" s="69">
        <f t="shared" si="1"/>
        <v>85.3</v>
      </c>
    </row>
    <row r="53" spans="1:6" ht="31.5" x14ac:dyDescent="0.25">
      <c r="A53" s="9">
        <v>41</v>
      </c>
      <c r="B53" s="8" t="s">
        <v>171</v>
      </c>
      <c r="C53" s="69">
        <f>252-4</f>
        <v>248</v>
      </c>
      <c r="D53" s="69">
        <v>247.1</v>
      </c>
      <c r="E53" s="69">
        <f>+D53-C53</f>
        <v>-0.9</v>
      </c>
      <c r="F53" s="69">
        <f t="shared" si="1"/>
        <v>99.6</v>
      </c>
    </row>
    <row r="54" spans="1:6" ht="31.5" x14ac:dyDescent="0.25">
      <c r="A54" s="9">
        <v>42</v>
      </c>
      <c r="B54" s="8" t="s">
        <v>183</v>
      </c>
      <c r="C54" s="69">
        <v>340</v>
      </c>
      <c r="D54" s="69">
        <v>339</v>
      </c>
      <c r="E54" s="69">
        <f t="shared" ref="E54:E61" si="9">+D54-C54</f>
        <v>-1</v>
      </c>
      <c r="F54" s="69">
        <f t="shared" si="1"/>
        <v>99.7</v>
      </c>
    </row>
    <row r="55" spans="1:6" ht="31.5" x14ac:dyDescent="0.25">
      <c r="A55" s="9">
        <v>43</v>
      </c>
      <c r="B55" s="8" t="s">
        <v>173</v>
      </c>
      <c r="C55" s="69">
        <v>50</v>
      </c>
      <c r="D55" s="69">
        <v>50</v>
      </c>
      <c r="E55" s="69">
        <f t="shared" si="9"/>
        <v>0</v>
      </c>
      <c r="F55" s="69">
        <f t="shared" si="1"/>
        <v>100</v>
      </c>
    </row>
    <row r="56" spans="1:6" ht="31.5" x14ac:dyDescent="0.25">
      <c r="A56" s="9">
        <v>44</v>
      </c>
      <c r="B56" s="8" t="s">
        <v>187</v>
      </c>
      <c r="C56" s="69">
        <v>80</v>
      </c>
      <c r="D56" s="69">
        <v>80</v>
      </c>
      <c r="E56" s="69">
        <f t="shared" si="9"/>
        <v>0</v>
      </c>
      <c r="F56" s="69">
        <f t="shared" si="1"/>
        <v>100</v>
      </c>
    </row>
    <row r="57" spans="1:6" ht="31.5" x14ac:dyDescent="0.25">
      <c r="A57" s="9">
        <v>45</v>
      </c>
      <c r="B57" s="8" t="s">
        <v>188</v>
      </c>
      <c r="C57" s="69">
        <v>80</v>
      </c>
      <c r="D57" s="69"/>
      <c r="E57" s="69">
        <f t="shared" si="9"/>
        <v>-80</v>
      </c>
      <c r="F57" s="69">
        <f t="shared" si="1"/>
        <v>0</v>
      </c>
    </row>
    <row r="58" spans="1:6" ht="31.5" x14ac:dyDescent="0.25">
      <c r="A58" s="9">
        <v>46</v>
      </c>
      <c r="B58" s="8" t="s">
        <v>191</v>
      </c>
      <c r="C58" s="69">
        <v>76.599999999999994</v>
      </c>
      <c r="D58" s="69">
        <v>76.599999999999994</v>
      </c>
      <c r="E58" s="69">
        <f t="shared" si="9"/>
        <v>0</v>
      </c>
      <c r="F58" s="69">
        <f t="shared" si="1"/>
        <v>100</v>
      </c>
    </row>
    <row r="59" spans="1:6" ht="31.5" x14ac:dyDescent="0.25">
      <c r="A59" s="9">
        <v>47</v>
      </c>
      <c r="B59" s="8" t="s">
        <v>192</v>
      </c>
      <c r="C59" s="69">
        <v>76.599999999999994</v>
      </c>
      <c r="D59" s="69"/>
      <c r="E59" s="69">
        <f t="shared" si="9"/>
        <v>-76.599999999999994</v>
      </c>
      <c r="F59" s="69">
        <f t="shared" si="1"/>
        <v>0</v>
      </c>
    </row>
    <row r="60" spans="1:6" ht="31.5" x14ac:dyDescent="0.25">
      <c r="A60" s="9">
        <v>48</v>
      </c>
      <c r="B60" s="8" t="s">
        <v>213</v>
      </c>
      <c r="C60" s="69">
        <v>104</v>
      </c>
      <c r="D60" s="69">
        <v>104</v>
      </c>
      <c r="E60" s="69">
        <f t="shared" si="9"/>
        <v>0</v>
      </c>
      <c r="F60" s="69">
        <f t="shared" si="1"/>
        <v>100</v>
      </c>
    </row>
    <row r="61" spans="1:6" ht="31.5" x14ac:dyDescent="0.25">
      <c r="A61" s="9">
        <v>49</v>
      </c>
      <c r="B61" s="8" t="s">
        <v>172</v>
      </c>
      <c r="C61" s="69">
        <v>2289.5</v>
      </c>
      <c r="D61" s="69">
        <v>1956.3</v>
      </c>
      <c r="E61" s="69">
        <f t="shared" si="9"/>
        <v>-333.2</v>
      </c>
      <c r="F61" s="69">
        <f t="shared" si="1"/>
        <v>85.4</v>
      </c>
    </row>
    <row r="62" spans="1:6" ht="15.75" x14ac:dyDescent="0.25">
      <c r="A62" s="9">
        <v>50</v>
      </c>
      <c r="B62" s="7" t="s">
        <v>204</v>
      </c>
      <c r="C62" s="59">
        <f>+C63+C64</f>
        <v>996</v>
      </c>
      <c r="D62" s="59">
        <f t="shared" ref="D62:E62" si="10">+D63+D64</f>
        <v>995.4</v>
      </c>
      <c r="E62" s="59">
        <f t="shared" si="10"/>
        <v>-0.6</v>
      </c>
      <c r="F62" s="59">
        <f t="shared" si="1"/>
        <v>99.9</v>
      </c>
    </row>
    <row r="63" spans="1:6" ht="15.75" x14ac:dyDescent="0.25">
      <c r="A63" s="9">
        <v>51</v>
      </c>
      <c r="B63" s="8" t="s">
        <v>145</v>
      </c>
      <c r="C63" s="69">
        <v>921</v>
      </c>
      <c r="D63" s="69">
        <v>920.6</v>
      </c>
      <c r="E63" s="69">
        <f>+D63-C63</f>
        <v>-0.4</v>
      </c>
      <c r="F63" s="69">
        <f t="shared" si="1"/>
        <v>100</v>
      </c>
    </row>
    <row r="64" spans="1:6" ht="31.5" x14ac:dyDescent="0.25">
      <c r="A64" s="9">
        <v>52</v>
      </c>
      <c r="B64" s="8" t="s">
        <v>146</v>
      </c>
      <c r="C64" s="69">
        <v>75</v>
      </c>
      <c r="D64" s="69">
        <v>74.8</v>
      </c>
      <c r="E64" s="69">
        <f>+D64-C64</f>
        <v>-0.2</v>
      </c>
      <c r="F64" s="69">
        <f t="shared" si="1"/>
        <v>99.7</v>
      </c>
    </row>
    <row r="65" spans="1:6" ht="15.75" x14ac:dyDescent="0.25">
      <c r="A65" s="9">
        <v>53</v>
      </c>
      <c r="B65" s="23" t="s">
        <v>206</v>
      </c>
      <c r="C65" s="59">
        <f>SUM(C66:C70)</f>
        <v>2133.9</v>
      </c>
      <c r="D65" s="59">
        <f t="shared" ref="D65:E65" si="11">SUM(D66:D70)</f>
        <v>2108.5</v>
      </c>
      <c r="E65" s="59">
        <f t="shared" si="11"/>
        <v>-25.4</v>
      </c>
      <c r="F65" s="59">
        <f t="shared" si="1"/>
        <v>98.8</v>
      </c>
    </row>
    <row r="66" spans="1:6" ht="31.5" x14ac:dyDescent="0.25">
      <c r="A66" s="9">
        <v>54</v>
      </c>
      <c r="B66" s="21" t="s">
        <v>126</v>
      </c>
      <c r="C66" s="69">
        <v>60</v>
      </c>
      <c r="D66" s="69">
        <v>50</v>
      </c>
      <c r="E66" s="69">
        <f>+D66-C66</f>
        <v>-10</v>
      </c>
      <c r="F66" s="69">
        <f t="shared" si="1"/>
        <v>83.3</v>
      </c>
    </row>
    <row r="67" spans="1:6" ht="15.75" x14ac:dyDescent="0.25">
      <c r="A67" s="9">
        <v>55</v>
      </c>
      <c r="B67" s="21" t="s">
        <v>155</v>
      </c>
      <c r="C67" s="69">
        <v>497.6</v>
      </c>
      <c r="D67" s="69">
        <v>495.5</v>
      </c>
      <c r="E67" s="69">
        <f t="shared" ref="E67:E70" si="12">+D67-C67</f>
        <v>-2.1</v>
      </c>
      <c r="F67" s="69">
        <f t="shared" si="1"/>
        <v>99.6</v>
      </c>
    </row>
    <row r="68" spans="1:6" ht="31.5" x14ac:dyDescent="0.25">
      <c r="A68" s="9">
        <v>56</v>
      </c>
      <c r="B68" s="21" t="s">
        <v>184</v>
      </c>
      <c r="C68" s="69">
        <v>219.8</v>
      </c>
      <c r="D68" s="69">
        <v>206.7</v>
      </c>
      <c r="E68" s="69">
        <f t="shared" si="12"/>
        <v>-13.1</v>
      </c>
      <c r="F68" s="69">
        <f t="shared" si="1"/>
        <v>94</v>
      </c>
    </row>
    <row r="69" spans="1:6" ht="31.5" x14ac:dyDescent="0.25">
      <c r="A69" s="9">
        <v>57</v>
      </c>
      <c r="B69" s="21" t="s">
        <v>174</v>
      </c>
      <c r="C69" s="69">
        <v>863.2</v>
      </c>
      <c r="D69" s="69">
        <v>863.2</v>
      </c>
      <c r="E69" s="69">
        <f t="shared" si="12"/>
        <v>0</v>
      </c>
      <c r="F69" s="69">
        <f t="shared" si="1"/>
        <v>100</v>
      </c>
    </row>
    <row r="70" spans="1:6" ht="31.5" x14ac:dyDescent="0.25">
      <c r="A70" s="9">
        <v>58</v>
      </c>
      <c r="B70" s="21" t="s">
        <v>196</v>
      </c>
      <c r="C70" s="69">
        <v>493.3</v>
      </c>
      <c r="D70" s="69">
        <v>493.1</v>
      </c>
      <c r="E70" s="69">
        <f t="shared" si="12"/>
        <v>-0.2</v>
      </c>
      <c r="F70" s="69">
        <f t="shared" si="1"/>
        <v>100</v>
      </c>
    </row>
    <row r="71" spans="1:6" ht="15.75" x14ac:dyDescent="0.25">
      <c r="A71" s="9">
        <v>59</v>
      </c>
      <c r="B71" s="7" t="s">
        <v>207</v>
      </c>
      <c r="C71" s="59">
        <f>SUM(C72:C81)</f>
        <v>11195.3</v>
      </c>
      <c r="D71" s="59">
        <f t="shared" ref="D71:E71" si="13">SUM(D72:D81)</f>
        <v>11486.9</v>
      </c>
      <c r="E71" s="59">
        <f t="shared" si="13"/>
        <v>291.60000000000002</v>
      </c>
      <c r="F71" s="59">
        <f t="shared" si="1"/>
        <v>102.6</v>
      </c>
    </row>
    <row r="72" spans="1:6" ht="15.75" x14ac:dyDescent="0.25">
      <c r="A72" s="9">
        <v>60</v>
      </c>
      <c r="B72" s="8" t="s">
        <v>33</v>
      </c>
      <c r="C72" s="69">
        <v>10</v>
      </c>
      <c r="D72" s="69">
        <v>33.700000000000003</v>
      </c>
      <c r="E72" s="69">
        <f>+D72-C72</f>
        <v>23.7</v>
      </c>
      <c r="F72" s="70" t="s">
        <v>264</v>
      </c>
    </row>
    <row r="73" spans="1:6" ht="15.75" x14ac:dyDescent="0.25">
      <c r="A73" s="9">
        <v>61</v>
      </c>
      <c r="B73" s="8" t="s">
        <v>34</v>
      </c>
      <c r="C73" s="69">
        <v>505.7</v>
      </c>
      <c r="D73" s="69">
        <v>505.7</v>
      </c>
      <c r="E73" s="69">
        <f t="shared" ref="E73:E81" si="14">+D73-C73</f>
        <v>0</v>
      </c>
      <c r="F73" s="69">
        <f t="shared" si="1"/>
        <v>100</v>
      </c>
    </row>
    <row r="74" spans="1:6" ht="15.75" x14ac:dyDescent="0.25">
      <c r="A74" s="9">
        <v>62</v>
      </c>
      <c r="B74" s="8" t="s">
        <v>138</v>
      </c>
      <c r="C74" s="69">
        <v>2056</v>
      </c>
      <c r="D74" s="69">
        <v>2043.5</v>
      </c>
      <c r="E74" s="69">
        <f t="shared" si="14"/>
        <v>-12.5</v>
      </c>
      <c r="F74" s="69">
        <f t="shared" si="1"/>
        <v>99.4</v>
      </c>
    </row>
    <row r="75" spans="1:6" ht="15.75" x14ac:dyDescent="0.25">
      <c r="A75" s="9">
        <v>63</v>
      </c>
      <c r="B75" s="8" t="s">
        <v>35</v>
      </c>
      <c r="C75" s="69">
        <v>120</v>
      </c>
      <c r="D75" s="69">
        <v>124.9</v>
      </c>
      <c r="E75" s="69">
        <f t="shared" si="14"/>
        <v>4.9000000000000004</v>
      </c>
      <c r="F75" s="69">
        <f t="shared" si="1"/>
        <v>104.1</v>
      </c>
    </row>
    <row r="76" spans="1:6" ht="15.75" x14ac:dyDescent="0.25">
      <c r="A76" s="9">
        <v>64</v>
      </c>
      <c r="B76" s="8" t="s">
        <v>36</v>
      </c>
      <c r="C76" s="69">
        <v>1465.1</v>
      </c>
      <c r="D76" s="69">
        <v>1467.3</v>
      </c>
      <c r="E76" s="69">
        <f t="shared" si="14"/>
        <v>2.2000000000000002</v>
      </c>
      <c r="F76" s="69">
        <f t="shared" si="1"/>
        <v>100.2</v>
      </c>
    </row>
    <row r="77" spans="1:6" ht="15.75" x14ac:dyDescent="0.25">
      <c r="A77" s="9">
        <v>65</v>
      </c>
      <c r="B77" s="8" t="s">
        <v>37</v>
      </c>
      <c r="C77" s="69">
        <v>1377.4</v>
      </c>
      <c r="D77" s="69">
        <v>1328.9</v>
      </c>
      <c r="E77" s="69">
        <f t="shared" si="14"/>
        <v>-48.5</v>
      </c>
      <c r="F77" s="69">
        <f t="shared" si="1"/>
        <v>96.5</v>
      </c>
    </row>
    <row r="78" spans="1:6" ht="15.75" x14ac:dyDescent="0.25">
      <c r="A78" s="9">
        <v>66</v>
      </c>
      <c r="B78" s="8" t="s">
        <v>38</v>
      </c>
      <c r="C78" s="69">
        <v>5283.1</v>
      </c>
      <c r="D78" s="69">
        <v>5175</v>
      </c>
      <c r="E78" s="69">
        <f t="shared" si="14"/>
        <v>-108.1</v>
      </c>
      <c r="F78" s="69">
        <f t="shared" ref="F78:F87" si="15">+D78/C78*100</f>
        <v>98</v>
      </c>
    </row>
    <row r="79" spans="1:6" ht="15.75" x14ac:dyDescent="0.25">
      <c r="A79" s="9">
        <v>67</v>
      </c>
      <c r="B79" s="8" t="s">
        <v>39</v>
      </c>
      <c r="C79" s="69">
        <v>250</v>
      </c>
      <c r="D79" s="69">
        <v>429.6</v>
      </c>
      <c r="E79" s="69">
        <f t="shared" si="14"/>
        <v>179.6</v>
      </c>
      <c r="F79" s="69">
        <f t="shared" si="15"/>
        <v>171.8</v>
      </c>
    </row>
    <row r="80" spans="1:6" ht="15.75" x14ac:dyDescent="0.25">
      <c r="A80" s="9">
        <v>68</v>
      </c>
      <c r="B80" s="8" t="s">
        <v>40</v>
      </c>
      <c r="C80" s="69">
        <v>20</v>
      </c>
      <c r="D80" s="69">
        <v>102.1</v>
      </c>
      <c r="E80" s="69">
        <f t="shared" si="14"/>
        <v>82.1</v>
      </c>
      <c r="F80" s="70" t="s">
        <v>261</v>
      </c>
    </row>
    <row r="81" spans="1:6" ht="15.75" x14ac:dyDescent="0.25">
      <c r="A81" s="9">
        <v>69</v>
      </c>
      <c r="B81" s="8" t="s">
        <v>143</v>
      </c>
      <c r="C81" s="69">
        <v>108</v>
      </c>
      <c r="D81" s="69">
        <v>276.2</v>
      </c>
      <c r="E81" s="69">
        <f t="shared" si="14"/>
        <v>168.2</v>
      </c>
      <c r="F81" s="70" t="s">
        <v>262</v>
      </c>
    </row>
    <row r="82" spans="1:6" ht="31.5" x14ac:dyDescent="0.25">
      <c r="A82" s="9">
        <v>70</v>
      </c>
      <c r="B82" s="7" t="s">
        <v>208</v>
      </c>
      <c r="C82" s="59">
        <f>+C83</f>
        <v>1843.5</v>
      </c>
      <c r="D82" s="59">
        <f t="shared" ref="D82:E82" si="16">+D83</f>
        <v>2738</v>
      </c>
      <c r="E82" s="59">
        <f t="shared" si="16"/>
        <v>894.5</v>
      </c>
      <c r="F82" s="59">
        <f t="shared" si="15"/>
        <v>148.5</v>
      </c>
    </row>
    <row r="83" spans="1:6" ht="15.75" x14ac:dyDescent="0.25">
      <c r="A83" s="9">
        <v>71</v>
      </c>
      <c r="B83" s="7" t="s">
        <v>266</v>
      </c>
      <c r="C83" s="59">
        <f>+C84+C85+C86</f>
        <v>1843.5</v>
      </c>
      <c r="D83" s="59">
        <f t="shared" ref="D83:E83" si="17">+D84+D85+D86</f>
        <v>2738</v>
      </c>
      <c r="E83" s="59">
        <f t="shared" si="17"/>
        <v>894.5</v>
      </c>
      <c r="F83" s="59">
        <f t="shared" si="15"/>
        <v>148.5</v>
      </c>
    </row>
    <row r="84" spans="1:6" ht="15.75" x14ac:dyDescent="0.25">
      <c r="A84" s="9">
        <v>72</v>
      </c>
      <c r="B84" s="8" t="s">
        <v>41</v>
      </c>
      <c r="C84" s="69">
        <v>1000</v>
      </c>
      <c r="D84" s="69">
        <v>645</v>
      </c>
      <c r="E84" s="69">
        <f>+D84-C84</f>
        <v>-355</v>
      </c>
      <c r="F84" s="69">
        <f t="shared" si="15"/>
        <v>64.5</v>
      </c>
    </row>
    <row r="85" spans="1:6" ht="15.75" x14ac:dyDescent="0.25">
      <c r="A85" s="9">
        <v>73</v>
      </c>
      <c r="B85" s="8" t="s">
        <v>42</v>
      </c>
      <c r="C85" s="69">
        <v>843.5</v>
      </c>
      <c r="D85" s="69">
        <v>2091.1999999999998</v>
      </c>
      <c r="E85" s="69">
        <f>+D85-C85</f>
        <v>1247.7</v>
      </c>
      <c r="F85" s="70" t="s">
        <v>263</v>
      </c>
    </row>
    <row r="86" spans="1:6" ht="15.75" x14ac:dyDescent="0.25">
      <c r="A86" s="9">
        <v>74</v>
      </c>
      <c r="B86" s="8" t="s">
        <v>260</v>
      </c>
      <c r="C86" s="69"/>
      <c r="D86" s="69">
        <f>0.9+0.9</f>
        <v>1.8</v>
      </c>
      <c r="E86" s="69">
        <f>+D86-C86</f>
        <v>1.8</v>
      </c>
      <c r="F86" s="69"/>
    </row>
    <row r="87" spans="1:6" ht="15.75" x14ac:dyDescent="0.25">
      <c r="A87" s="9">
        <v>75</v>
      </c>
      <c r="B87" s="7" t="s">
        <v>209</v>
      </c>
      <c r="C87" s="59">
        <f>+C13+C21+C71+C82</f>
        <v>167421</v>
      </c>
      <c r="D87" s="59">
        <f t="shared" ref="D87:E87" si="18">+D13+D21+D71+D82</f>
        <v>172254.5</v>
      </c>
      <c r="E87" s="59">
        <f t="shared" si="18"/>
        <v>4833.5</v>
      </c>
      <c r="F87" s="59">
        <f t="shared" si="15"/>
        <v>102.9</v>
      </c>
    </row>
    <row r="89" spans="1:6" x14ac:dyDescent="0.2">
      <c r="C89" s="29"/>
    </row>
  </sheetData>
  <mergeCells count="5">
    <mergeCell ref="A8:F8"/>
    <mergeCell ref="E2:F2"/>
    <mergeCell ref="E3:F3"/>
    <mergeCell ref="E4:F4"/>
    <mergeCell ref="E5:F5"/>
  </mergeCells>
  <pageMargins left="0.9055118110236221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5"/>
  <sheetViews>
    <sheetView showZeros="0" zoomScaleNormal="100" workbookViewId="0">
      <pane xSplit="2" ySplit="7" topLeftCell="C20" activePane="bottomRight" state="frozen"/>
      <selection pane="topRight" activeCell="G1" sqref="G1"/>
      <selection pane="bottomLeft" activeCell="A7" sqref="A7"/>
      <selection pane="bottomRight" activeCell="C183" sqref="C183:L183"/>
    </sheetView>
  </sheetViews>
  <sheetFormatPr defaultColWidth="10.140625" defaultRowHeight="15" x14ac:dyDescent="0.2"/>
  <cols>
    <col min="1" max="1" width="6" style="13" customWidth="1"/>
    <col min="2" max="2" width="44" style="2" customWidth="1"/>
    <col min="3" max="3" width="10.7109375" style="2" customWidth="1"/>
    <col min="4" max="4" width="9.7109375" style="2" customWidth="1"/>
    <col min="5" max="5" width="12.28515625" style="2" customWidth="1"/>
    <col min="6" max="6" width="10.28515625" style="2" bestFit="1" customWidth="1"/>
    <col min="7" max="7" width="10.85546875" style="2" customWidth="1"/>
    <col min="8" max="8" width="9.85546875" style="2" customWidth="1"/>
    <col min="9" max="9" width="11.42578125" style="2" customWidth="1"/>
    <col min="10" max="10" width="10.28515625" style="2" bestFit="1" customWidth="1"/>
    <col min="11" max="11" width="11.140625" style="2" customWidth="1"/>
    <col min="12" max="12" width="9.5703125" style="2" customWidth="1"/>
    <col min="13" max="250" width="10.140625" style="2"/>
    <col min="251" max="251" width="6" style="2" customWidth="1"/>
    <col min="252" max="252" width="44" style="2" customWidth="1"/>
    <col min="253" max="253" width="10.7109375" style="2" customWidth="1"/>
    <col min="254" max="254" width="10.140625" style="2" customWidth="1"/>
    <col min="255" max="255" width="10.7109375" style="2" customWidth="1"/>
    <col min="256" max="256" width="11.85546875" style="2" customWidth="1"/>
    <col min="257" max="506" width="10.140625" style="2"/>
    <col min="507" max="507" width="6" style="2" customWidth="1"/>
    <col min="508" max="508" width="44" style="2" customWidth="1"/>
    <col min="509" max="509" width="10.7109375" style="2" customWidth="1"/>
    <col min="510" max="510" width="10.140625" style="2" customWidth="1"/>
    <col min="511" max="511" width="10.7109375" style="2" customWidth="1"/>
    <col min="512" max="512" width="11.85546875" style="2" customWidth="1"/>
    <col min="513" max="762" width="10.140625" style="2"/>
    <col min="763" max="763" width="6" style="2" customWidth="1"/>
    <col min="764" max="764" width="44" style="2" customWidth="1"/>
    <col min="765" max="765" width="10.7109375" style="2" customWidth="1"/>
    <col min="766" max="766" width="10.140625" style="2" customWidth="1"/>
    <col min="767" max="767" width="10.7109375" style="2" customWidth="1"/>
    <col min="768" max="768" width="11.85546875" style="2" customWidth="1"/>
    <col min="769" max="1018" width="10.140625" style="2"/>
    <col min="1019" max="1019" width="6" style="2" customWidth="1"/>
    <col min="1020" max="1020" width="44" style="2" customWidth="1"/>
    <col min="1021" max="1021" width="10.7109375" style="2" customWidth="1"/>
    <col min="1022" max="1022" width="10.140625" style="2" customWidth="1"/>
    <col min="1023" max="1023" width="10.7109375" style="2" customWidth="1"/>
    <col min="1024" max="1024" width="11.85546875" style="2" customWidth="1"/>
    <col min="1025" max="1274" width="10.140625" style="2"/>
    <col min="1275" max="1275" width="6" style="2" customWidth="1"/>
    <col min="1276" max="1276" width="44" style="2" customWidth="1"/>
    <col min="1277" max="1277" width="10.7109375" style="2" customWidth="1"/>
    <col min="1278" max="1278" width="10.140625" style="2" customWidth="1"/>
    <col min="1279" max="1279" width="10.7109375" style="2" customWidth="1"/>
    <col min="1280" max="1280" width="11.85546875" style="2" customWidth="1"/>
    <col min="1281" max="1530" width="10.140625" style="2"/>
    <col min="1531" max="1531" width="6" style="2" customWidth="1"/>
    <col min="1532" max="1532" width="44" style="2" customWidth="1"/>
    <col min="1533" max="1533" width="10.7109375" style="2" customWidth="1"/>
    <col min="1534" max="1534" width="10.140625" style="2" customWidth="1"/>
    <col min="1535" max="1535" width="10.7109375" style="2" customWidth="1"/>
    <col min="1536" max="1536" width="11.85546875" style="2" customWidth="1"/>
    <col min="1537" max="1786" width="10.140625" style="2"/>
    <col min="1787" max="1787" width="6" style="2" customWidth="1"/>
    <col min="1788" max="1788" width="44" style="2" customWidth="1"/>
    <col min="1789" max="1789" width="10.7109375" style="2" customWidth="1"/>
    <col min="1790" max="1790" width="10.140625" style="2" customWidth="1"/>
    <col min="1791" max="1791" width="10.7109375" style="2" customWidth="1"/>
    <col min="1792" max="1792" width="11.85546875" style="2" customWidth="1"/>
    <col min="1793" max="2042" width="10.140625" style="2"/>
    <col min="2043" max="2043" width="6" style="2" customWidth="1"/>
    <col min="2044" max="2044" width="44" style="2" customWidth="1"/>
    <col min="2045" max="2045" width="10.7109375" style="2" customWidth="1"/>
    <col min="2046" max="2046" width="10.140625" style="2" customWidth="1"/>
    <col min="2047" max="2047" width="10.7109375" style="2" customWidth="1"/>
    <col min="2048" max="2048" width="11.85546875" style="2" customWidth="1"/>
    <col min="2049" max="2298" width="10.140625" style="2"/>
    <col min="2299" max="2299" width="6" style="2" customWidth="1"/>
    <col min="2300" max="2300" width="44" style="2" customWidth="1"/>
    <col min="2301" max="2301" width="10.7109375" style="2" customWidth="1"/>
    <col min="2302" max="2302" width="10.140625" style="2" customWidth="1"/>
    <col min="2303" max="2303" width="10.7109375" style="2" customWidth="1"/>
    <col min="2304" max="2304" width="11.85546875" style="2" customWidth="1"/>
    <col min="2305" max="2554" width="10.140625" style="2"/>
    <col min="2555" max="2555" width="6" style="2" customWidth="1"/>
    <col min="2556" max="2556" width="44" style="2" customWidth="1"/>
    <col min="2557" max="2557" width="10.7109375" style="2" customWidth="1"/>
    <col min="2558" max="2558" width="10.140625" style="2" customWidth="1"/>
    <col min="2559" max="2559" width="10.7109375" style="2" customWidth="1"/>
    <col min="2560" max="2560" width="11.85546875" style="2" customWidth="1"/>
    <col min="2561" max="2810" width="10.140625" style="2"/>
    <col min="2811" max="2811" width="6" style="2" customWidth="1"/>
    <col min="2812" max="2812" width="44" style="2" customWidth="1"/>
    <col min="2813" max="2813" width="10.7109375" style="2" customWidth="1"/>
    <col min="2814" max="2814" width="10.140625" style="2" customWidth="1"/>
    <col min="2815" max="2815" width="10.7109375" style="2" customWidth="1"/>
    <col min="2816" max="2816" width="11.85546875" style="2" customWidth="1"/>
    <col min="2817" max="3066" width="10.140625" style="2"/>
    <col min="3067" max="3067" width="6" style="2" customWidth="1"/>
    <col min="3068" max="3068" width="44" style="2" customWidth="1"/>
    <col min="3069" max="3069" width="10.7109375" style="2" customWidth="1"/>
    <col min="3070" max="3070" width="10.140625" style="2" customWidth="1"/>
    <col min="3071" max="3071" width="10.7109375" style="2" customWidth="1"/>
    <col min="3072" max="3072" width="11.85546875" style="2" customWidth="1"/>
    <col min="3073" max="3322" width="10.140625" style="2"/>
    <col min="3323" max="3323" width="6" style="2" customWidth="1"/>
    <col min="3324" max="3324" width="44" style="2" customWidth="1"/>
    <col min="3325" max="3325" width="10.7109375" style="2" customWidth="1"/>
    <col min="3326" max="3326" width="10.140625" style="2" customWidth="1"/>
    <col min="3327" max="3327" width="10.7109375" style="2" customWidth="1"/>
    <col min="3328" max="3328" width="11.85546875" style="2" customWidth="1"/>
    <col min="3329" max="3578" width="10.140625" style="2"/>
    <col min="3579" max="3579" width="6" style="2" customWidth="1"/>
    <col min="3580" max="3580" width="44" style="2" customWidth="1"/>
    <col min="3581" max="3581" width="10.7109375" style="2" customWidth="1"/>
    <col min="3582" max="3582" width="10.140625" style="2" customWidth="1"/>
    <col min="3583" max="3583" width="10.7109375" style="2" customWidth="1"/>
    <col min="3584" max="3584" width="11.85546875" style="2" customWidth="1"/>
    <col min="3585" max="3834" width="10.140625" style="2"/>
    <col min="3835" max="3835" width="6" style="2" customWidth="1"/>
    <col min="3836" max="3836" width="44" style="2" customWidth="1"/>
    <col min="3837" max="3837" width="10.7109375" style="2" customWidth="1"/>
    <col min="3838" max="3838" width="10.140625" style="2" customWidth="1"/>
    <col min="3839" max="3839" width="10.7109375" style="2" customWidth="1"/>
    <col min="3840" max="3840" width="11.85546875" style="2" customWidth="1"/>
    <col min="3841" max="4090" width="10.140625" style="2"/>
    <col min="4091" max="4091" width="6" style="2" customWidth="1"/>
    <col min="4092" max="4092" width="44" style="2" customWidth="1"/>
    <col min="4093" max="4093" width="10.7109375" style="2" customWidth="1"/>
    <col min="4094" max="4094" width="10.140625" style="2" customWidth="1"/>
    <col min="4095" max="4095" width="10.7109375" style="2" customWidth="1"/>
    <col min="4096" max="4096" width="11.85546875" style="2" customWidth="1"/>
    <col min="4097" max="4346" width="10.140625" style="2"/>
    <col min="4347" max="4347" width="6" style="2" customWidth="1"/>
    <col min="4348" max="4348" width="44" style="2" customWidth="1"/>
    <col min="4349" max="4349" width="10.7109375" style="2" customWidth="1"/>
    <col min="4350" max="4350" width="10.140625" style="2" customWidth="1"/>
    <col min="4351" max="4351" width="10.7109375" style="2" customWidth="1"/>
    <col min="4352" max="4352" width="11.85546875" style="2" customWidth="1"/>
    <col min="4353" max="4602" width="10.140625" style="2"/>
    <col min="4603" max="4603" width="6" style="2" customWidth="1"/>
    <col min="4604" max="4604" width="44" style="2" customWidth="1"/>
    <col min="4605" max="4605" width="10.7109375" style="2" customWidth="1"/>
    <col min="4606" max="4606" width="10.140625" style="2" customWidth="1"/>
    <col min="4607" max="4607" width="10.7109375" style="2" customWidth="1"/>
    <col min="4608" max="4608" width="11.85546875" style="2" customWidth="1"/>
    <col min="4609" max="4858" width="10.140625" style="2"/>
    <col min="4859" max="4859" width="6" style="2" customWidth="1"/>
    <col min="4860" max="4860" width="44" style="2" customWidth="1"/>
    <col min="4861" max="4861" width="10.7109375" style="2" customWidth="1"/>
    <col min="4862" max="4862" width="10.140625" style="2" customWidth="1"/>
    <col min="4863" max="4863" width="10.7109375" style="2" customWidth="1"/>
    <col min="4864" max="4864" width="11.85546875" style="2" customWidth="1"/>
    <col min="4865" max="5114" width="10.140625" style="2"/>
    <col min="5115" max="5115" width="6" style="2" customWidth="1"/>
    <col min="5116" max="5116" width="44" style="2" customWidth="1"/>
    <col min="5117" max="5117" width="10.7109375" style="2" customWidth="1"/>
    <col min="5118" max="5118" width="10.140625" style="2" customWidth="1"/>
    <col min="5119" max="5119" width="10.7109375" style="2" customWidth="1"/>
    <col min="5120" max="5120" width="11.85546875" style="2" customWidth="1"/>
    <col min="5121" max="5370" width="10.140625" style="2"/>
    <col min="5371" max="5371" width="6" style="2" customWidth="1"/>
    <col min="5372" max="5372" width="44" style="2" customWidth="1"/>
    <col min="5373" max="5373" width="10.7109375" style="2" customWidth="1"/>
    <col min="5374" max="5374" width="10.140625" style="2" customWidth="1"/>
    <col min="5375" max="5375" width="10.7109375" style="2" customWidth="1"/>
    <col min="5376" max="5376" width="11.85546875" style="2" customWidth="1"/>
    <col min="5377" max="5626" width="10.140625" style="2"/>
    <col min="5627" max="5627" width="6" style="2" customWidth="1"/>
    <col min="5628" max="5628" width="44" style="2" customWidth="1"/>
    <col min="5629" max="5629" width="10.7109375" style="2" customWidth="1"/>
    <col min="5630" max="5630" width="10.140625" style="2" customWidth="1"/>
    <col min="5631" max="5631" width="10.7109375" style="2" customWidth="1"/>
    <col min="5632" max="5632" width="11.85546875" style="2" customWidth="1"/>
    <col min="5633" max="5882" width="10.140625" style="2"/>
    <col min="5883" max="5883" width="6" style="2" customWidth="1"/>
    <col min="5884" max="5884" width="44" style="2" customWidth="1"/>
    <col min="5885" max="5885" width="10.7109375" style="2" customWidth="1"/>
    <col min="5886" max="5886" width="10.140625" style="2" customWidth="1"/>
    <col min="5887" max="5887" width="10.7109375" style="2" customWidth="1"/>
    <col min="5888" max="5888" width="11.85546875" style="2" customWidth="1"/>
    <col min="5889" max="6138" width="10.140625" style="2"/>
    <col min="6139" max="6139" width="6" style="2" customWidth="1"/>
    <col min="6140" max="6140" width="44" style="2" customWidth="1"/>
    <col min="6141" max="6141" width="10.7109375" style="2" customWidth="1"/>
    <col min="6142" max="6142" width="10.140625" style="2" customWidth="1"/>
    <col min="6143" max="6143" width="10.7109375" style="2" customWidth="1"/>
    <col min="6144" max="6144" width="11.85546875" style="2" customWidth="1"/>
    <col min="6145" max="6394" width="10.140625" style="2"/>
    <col min="6395" max="6395" width="6" style="2" customWidth="1"/>
    <col min="6396" max="6396" width="44" style="2" customWidth="1"/>
    <col min="6397" max="6397" width="10.7109375" style="2" customWidth="1"/>
    <col min="6398" max="6398" width="10.140625" style="2" customWidth="1"/>
    <col min="6399" max="6399" width="10.7109375" style="2" customWidth="1"/>
    <col min="6400" max="6400" width="11.85546875" style="2" customWidth="1"/>
    <col min="6401" max="6650" width="10.140625" style="2"/>
    <col min="6651" max="6651" width="6" style="2" customWidth="1"/>
    <col min="6652" max="6652" width="44" style="2" customWidth="1"/>
    <col min="6653" max="6653" width="10.7109375" style="2" customWidth="1"/>
    <col min="6654" max="6654" width="10.140625" style="2" customWidth="1"/>
    <col min="6655" max="6655" width="10.7109375" style="2" customWidth="1"/>
    <col min="6656" max="6656" width="11.85546875" style="2" customWidth="1"/>
    <col min="6657" max="6906" width="10.140625" style="2"/>
    <col min="6907" max="6907" width="6" style="2" customWidth="1"/>
    <col min="6908" max="6908" width="44" style="2" customWidth="1"/>
    <col min="6909" max="6909" width="10.7109375" style="2" customWidth="1"/>
    <col min="6910" max="6910" width="10.140625" style="2" customWidth="1"/>
    <col min="6911" max="6911" width="10.7109375" style="2" customWidth="1"/>
    <col min="6912" max="6912" width="11.85546875" style="2" customWidth="1"/>
    <col min="6913" max="7162" width="10.140625" style="2"/>
    <col min="7163" max="7163" width="6" style="2" customWidth="1"/>
    <col min="7164" max="7164" width="44" style="2" customWidth="1"/>
    <col min="7165" max="7165" width="10.7109375" style="2" customWidth="1"/>
    <col min="7166" max="7166" width="10.140625" style="2" customWidth="1"/>
    <col min="7167" max="7167" width="10.7109375" style="2" customWidth="1"/>
    <col min="7168" max="7168" width="11.85546875" style="2" customWidth="1"/>
    <col min="7169" max="7418" width="10.140625" style="2"/>
    <col min="7419" max="7419" width="6" style="2" customWidth="1"/>
    <col min="7420" max="7420" width="44" style="2" customWidth="1"/>
    <col min="7421" max="7421" width="10.7109375" style="2" customWidth="1"/>
    <col min="7422" max="7422" width="10.140625" style="2" customWidth="1"/>
    <col min="7423" max="7423" width="10.7109375" style="2" customWidth="1"/>
    <col min="7424" max="7424" width="11.85546875" style="2" customWidth="1"/>
    <col min="7425" max="7674" width="10.140625" style="2"/>
    <col min="7675" max="7675" width="6" style="2" customWidth="1"/>
    <col min="7676" max="7676" width="44" style="2" customWidth="1"/>
    <col min="7677" max="7677" width="10.7109375" style="2" customWidth="1"/>
    <col min="7678" max="7678" width="10.140625" style="2" customWidth="1"/>
    <col min="7679" max="7679" width="10.7109375" style="2" customWidth="1"/>
    <col min="7680" max="7680" width="11.85546875" style="2" customWidth="1"/>
    <col min="7681" max="7930" width="10.140625" style="2"/>
    <col min="7931" max="7931" width="6" style="2" customWidth="1"/>
    <col min="7932" max="7932" width="44" style="2" customWidth="1"/>
    <col min="7933" max="7933" width="10.7109375" style="2" customWidth="1"/>
    <col min="7934" max="7934" width="10.140625" style="2" customWidth="1"/>
    <col min="7935" max="7935" width="10.7109375" style="2" customWidth="1"/>
    <col min="7936" max="7936" width="11.85546875" style="2" customWidth="1"/>
    <col min="7937" max="8186" width="10.140625" style="2"/>
    <col min="8187" max="8187" width="6" style="2" customWidth="1"/>
    <col min="8188" max="8188" width="44" style="2" customWidth="1"/>
    <col min="8189" max="8189" width="10.7109375" style="2" customWidth="1"/>
    <col min="8190" max="8190" width="10.140625" style="2" customWidth="1"/>
    <col min="8191" max="8191" width="10.7109375" style="2" customWidth="1"/>
    <col min="8192" max="8192" width="11.85546875" style="2" customWidth="1"/>
    <col min="8193" max="8442" width="10.140625" style="2"/>
    <col min="8443" max="8443" width="6" style="2" customWidth="1"/>
    <col min="8444" max="8444" width="44" style="2" customWidth="1"/>
    <col min="8445" max="8445" width="10.7109375" style="2" customWidth="1"/>
    <col min="8446" max="8446" width="10.140625" style="2" customWidth="1"/>
    <col min="8447" max="8447" width="10.7109375" style="2" customWidth="1"/>
    <col min="8448" max="8448" width="11.85546875" style="2" customWidth="1"/>
    <col min="8449" max="8698" width="10.140625" style="2"/>
    <col min="8699" max="8699" width="6" style="2" customWidth="1"/>
    <col min="8700" max="8700" width="44" style="2" customWidth="1"/>
    <col min="8701" max="8701" width="10.7109375" style="2" customWidth="1"/>
    <col min="8702" max="8702" width="10.140625" style="2" customWidth="1"/>
    <col min="8703" max="8703" width="10.7109375" style="2" customWidth="1"/>
    <col min="8704" max="8704" width="11.85546875" style="2" customWidth="1"/>
    <col min="8705" max="8954" width="10.140625" style="2"/>
    <col min="8955" max="8955" width="6" style="2" customWidth="1"/>
    <col min="8956" max="8956" width="44" style="2" customWidth="1"/>
    <col min="8957" max="8957" width="10.7109375" style="2" customWidth="1"/>
    <col min="8958" max="8958" width="10.140625" style="2" customWidth="1"/>
    <col min="8959" max="8959" width="10.7109375" style="2" customWidth="1"/>
    <col min="8960" max="8960" width="11.85546875" style="2" customWidth="1"/>
    <col min="8961" max="9210" width="10.140625" style="2"/>
    <col min="9211" max="9211" width="6" style="2" customWidth="1"/>
    <col min="9212" max="9212" width="44" style="2" customWidth="1"/>
    <col min="9213" max="9213" width="10.7109375" style="2" customWidth="1"/>
    <col min="9214" max="9214" width="10.140625" style="2" customWidth="1"/>
    <col min="9215" max="9215" width="10.7109375" style="2" customWidth="1"/>
    <col min="9216" max="9216" width="11.85546875" style="2" customWidth="1"/>
    <col min="9217" max="9466" width="10.140625" style="2"/>
    <col min="9467" max="9467" width="6" style="2" customWidth="1"/>
    <col min="9468" max="9468" width="44" style="2" customWidth="1"/>
    <col min="9469" max="9469" width="10.7109375" style="2" customWidth="1"/>
    <col min="9470" max="9470" width="10.140625" style="2" customWidth="1"/>
    <col min="9471" max="9471" width="10.7109375" style="2" customWidth="1"/>
    <col min="9472" max="9472" width="11.85546875" style="2" customWidth="1"/>
    <col min="9473" max="9722" width="10.140625" style="2"/>
    <col min="9723" max="9723" width="6" style="2" customWidth="1"/>
    <col min="9724" max="9724" width="44" style="2" customWidth="1"/>
    <col min="9725" max="9725" width="10.7109375" style="2" customWidth="1"/>
    <col min="9726" max="9726" width="10.140625" style="2" customWidth="1"/>
    <col min="9727" max="9727" width="10.7109375" style="2" customWidth="1"/>
    <col min="9728" max="9728" width="11.85546875" style="2" customWidth="1"/>
    <col min="9729" max="9978" width="10.140625" style="2"/>
    <col min="9979" max="9979" width="6" style="2" customWidth="1"/>
    <col min="9980" max="9980" width="44" style="2" customWidth="1"/>
    <col min="9981" max="9981" width="10.7109375" style="2" customWidth="1"/>
    <col min="9982" max="9982" width="10.140625" style="2" customWidth="1"/>
    <col min="9983" max="9983" width="10.7109375" style="2" customWidth="1"/>
    <col min="9984" max="9984" width="11.85546875" style="2" customWidth="1"/>
    <col min="9985" max="10234" width="10.140625" style="2"/>
    <col min="10235" max="10235" width="6" style="2" customWidth="1"/>
    <col min="10236" max="10236" width="44" style="2" customWidth="1"/>
    <col min="10237" max="10237" width="10.7109375" style="2" customWidth="1"/>
    <col min="10238" max="10238" width="10.140625" style="2" customWidth="1"/>
    <col min="10239" max="10239" width="10.7109375" style="2" customWidth="1"/>
    <col min="10240" max="10240" width="11.85546875" style="2" customWidth="1"/>
    <col min="10241" max="10490" width="10.140625" style="2"/>
    <col min="10491" max="10491" width="6" style="2" customWidth="1"/>
    <col min="10492" max="10492" width="44" style="2" customWidth="1"/>
    <col min="10493" max="10493" width="10.7109375" style="2" customWidth="1"/>
    <col min="10494" max="10494" width="10.140625" style="2" customWidth="1"/>
    <col min="10495" max="10495" width="10.7109375" style="2" customWidth="1"/>
    <col min="10496" max="10496" width="11.85546875" style="2" customWidth="1"/>
    <col min="10497" max="10746" width="10.140625" style="2"/>
    <col min="10747" max="10747" width="6" style="2" customWidth="1"/>
    <col min="10748" max="10748" width="44" style="2" customWidth="1"/>
    <col min="10749" max="10749" width="10.7109375" style="2" customWidth="1"/>
    <col min="10750" max="10750" width="10.140625" style="2" customWidth="1"/>
    <col min="10751" max="10751" width="10.7109375" style="2" customWidth="1"/>
    <col min="10752" max="10752" width="11.85546875" style="2" customWidth="1"/>
    <col min="10753" max="11002" width="10.140625" style="2"/>
    <col min="11003" max="11003" width="6" style="2" customWidth="1"/>
    <col min="11004" max="11004" width="44" style="2" customWidth="1"/>
    <col min="11005" max="11005" width="10.7109375" style="2" customWidth="1"/>
    <col min="11006" max="11006" width="10.140625" style="2" customWidth="1"/>
    <col min="11007" max="11007" width="10.7109375" style="2" customWidth="1"/>
    <col min="11008" max="11008" width="11.85546875" style="2" customWidth="1"/>
    <col min="11009" max="11258" width="10.140625" style="2"/>
    <col min="11259" max="11259" width="6" style="2" customWidth="1"/>
    <col min="11260" max="11260" width="44" style="2" customWidth="1"/>
    <col min="11261" max="11261" width="10.7109375" style="2" customWidth="1"/>
    <col min="11262" max="11262" width="10.140625" style="2" customWidth="1"/>
    <col min="11263" max="11263" width="10.7109375" style="2" customWidth="1"/>
    <col min="11264" max="11264" width="11.85546875" style="2" customWidth="1"/>
    <col min="11265" max="11514" width="10.140625" style="2"/>
    <col min="11515" max="11515" width="6" style="2" customWidth="1"/>
    <col min="11516" max="11516" width="44" style="2" customWidth="1"/>
    <col min="11517" max="11517" width="10.7109375" style="2" customWidth="1"/>
    <col min="11518" max="11518" width="10.140625" style="2" customWidth="1"/>
    <col min="11519" max="11519" width="10.7109375" style="2" customWidth="1"/>
    <col min="11520" max="11520" width="11.85546875" style="2" customWidth="1"/>
    <col min="11521" max="11770" width="10.140625" style="2"/>
    <col min="11771" max="11771" width="6" style="2" customWidth="1"/>
    <col min="11772" max="11772" width="44" style="2" customWidth="1"/>
    <col min="11773" max="11773" width="10.7109375" style="2" customWidth="1"/>
    <col min="11774" max="11774" width="10.140625" style="2" customWidth="1"/>
    <col min="11775" max="11775" width="10.7109375" style="2" customWidth="1"/>
    <col min="11776" max="11776" width="11.85546875" style="2" customWidth="1"/>
    <col min="11777" max="12026" width="10.140625" style="2"/>
    <col min="12027" max="12027" width="6" style="2" customWidth="1"/>
    <col min="12028" max="12028" width="44" style="2" customWidth="1"/>
    <col min="12029" max="12029" width="10.7109375" style="2" customWidth="1"/>
    <col min="12030" max="12030" width="10.140625" style="2" customWidth="1"/>
    <col min="12031" max="12031" width="10.7109375" style="2" customWidth="1"/>
    <col min="12032" max="12032" width="11.85546875" style="2" customWidth="1"/>
    <col min="12033" max="12282" width="10.140625" style="2"/>
    <col min="12283" max="12283" width="6" style="2" customWidth="1"/>
    <col min="12284" max="12284" width="44" style="2" customWidth="1"/>
    <col min="12285" max="12285" width="10.7109375" style="2" customWidth="1"/>
    <col min="12286" max="12286" width="10.140625" style="2" customWidth="1"/>
    <col min="12287" max="12287" width="10.7109375" style="2" customWidth="1"/>
    <col min="12288" max="12288" width="11.85546875" style="2" customWidth="1"/>
    <col min="12289" max="12538" width="10.140625" style="2"/>
    <col min="12539" max="12539" width="6" style="2" customWidth="1"/>
    <col min="12540" max="12540" width="44" style="2" customWidth="1"/>
    <col min="12541" max="12541" width="10.7109375" style="2" customWidth="1"/>
    <col min="12542" max="12542" width="10.140625" style="2" customWidth="1"/>
    <col min="12543" max="12543" width="10.7109375" style="2" customWidth="1"/>
    <col min="12544" max="12544" width="11.85546875" style="2" customWidth="1"/>
    <col min="12545" max="12794" width="10.140625" style="2"/>
    <col min="12795" max="12795" width="6" style="2" customWidth="1"/>
    <col min="12796" max="12796" width="44" style="2" customWidth="1"/>
    <col min="12797" max="12797" width="10.7109375" style="2" customWidth="1"/>
    <col min="12798" max="12798" width="10.140625" style="2" customWidth="1"/>
    <col min="12799" max="12799" width="10.7109375" style="2" customWidth="1"/>
    <col min="12800" max="12800" width="11.85546875" style="2" customWidth="1"/>
    <col min="12801" max="13050" width="10.140625" style="2"/>
    <col min="13051" max="13051" width="6" style="2" customWidth="1"/>
    <col min="13052" max="13052" width="44" style="2" customWidth="1"/>
    <col min="13053" max="13053" width="10.7109375" style="2" customWidth="1"/>
    <col min="13054" max="13054" width="10.140625" style="2" customWidth="1"/>
    <col min="13055" max="13055" width="10.7109375" style="2" customWidth="1"/>
    <col min="13056" max="13056" width="11.85546875" style="2" customWidth="1"/>
    <col min="13057" max="13306" width="10.140625" style="2"/>
    <col min="13307" max="13307" width="6" style="2" customWidth="1"/>
    <col min="13308" max="13308" width="44" style="2" customWidth="1"/>
    <col min="13309" max="13309" width="10.7109375" style="2" customWidth="1"/>
    <col min="13310" max="13310" width="10.140625" style="2" customWidth="1"/>
    <col min="13311" max="13311" width="10.7109375" style="2" customWidth="1"/>
    <col min="13312" max="13312" width="11.85546875" style="2" customWidth="1"/>
    <col min="13313" max="13562" width="10.140625" style="2"/>
    <col min="13563" max="13563" width="6" style="2" customWidth="1"/>
    <col min="13564" max="13564" width="44" style="2" customWidth="1"/>
    <col min="13565" max="13565" width="10.7109375" style="2" customWidth="1"/>
    <col min="13566" max="13566" width="10.140625" style="2" customWidth="1"/>
    <col min="13567" max="13567" width="10.7109375" style="2" customWidth="1"/>
    <col min="13568" max="13568" width="11.85546875" style="2" customWidth="1"/>
    <col min="13569" max="13818" width="10.140625" style="2"/>
    <col min="13819" max="13819" width="6" style="2" customWidth="1"/>
    <col min="13820" max="13820" width="44" style="2" customWidth="1"/>
    <col min="13821" max="13821" width="10.7109375" style="2" customWidth="1"/>
    <col min="13822" max="13822" width="10.140625" style="2" customWidth="1"/>
    <col min="13823" max="13823" width="10.7109375" style="2" customWidth="1"/>
    <col min="13824" max="13824" width="11.85546875" style="2" customWidth="1"/>
    <col min="13825" max="14074" width="10.140625" style="2"/>
    <col min="14075" max="14075" width="6" style="2" customWidth="1"/>
    <col min="14076" max="14076" width="44" style="2" customWidth="1"/>
    <col min="14077" max="14077" width="10.7109375" style="2" customWidth="1"/>
    <col min="14078" max="14078" width="10.140625" style="2" customWidth="1"/>
    <col min="14079" max="14079" width="10.7109375" style="2" customWidth="1"/>
    <col min="14080" max="14080" width="11.85546875" style="2" customWidth="1"/>
    <col min="14081" max="14330" width="10.140625" style="2"/>
    <col min="14331" max="14331" width="6" style="2" customWidth="1"/>
    <col min="14332" max="14332" width="44" style="2" customWidth="1"/>
    <col min="14333" max="14333" width="10.7109375" style="2" customWidth="1"/>
    <col min="14334" max="14334" width="10.140625" style="2" customWidth="1"/>
    <col min="14335" max="14335" width="10.7109375" style="2" customWidth="1"/>
    <col min="14336" max="14336" width="11.85546875" style="2" customWidth="1"/>
    <col min="14337" max="14586" width="10.140625" style="2"/>
    <col min="14587" max="14587" width="6" style="2" customWidth="1"/>
    <col min="14588" max="14588" width="44" style="2" customWidth="1"/>
    <col min="14589" max="14589" width="10.7109375" style="2" customWidth="1"/>
    <col min="14590" max="14590" width="10.140625" style="2" customWidth="1"/>
    <col min="14591" max="14591" width="10.7109375" style="2" customWidth="1"/>
    <col min="14592" max="14592" width="11.85546875" style="2" customWidth="1"/>
    <col min="14593" max="14842" width="10.140625" style="2"/>
    <col min="14843" max="14843" width="6" style="2" customWidth="1"/>
    <col min="14844" max="14844" width="44" style="2" customWidth="1"/>
    <col min="14845" max="14845" width="10.7109375" style="2" customWidth="1"/>
    <col min="14846" max="14846" width="10.140625" style="2" customWidth="1"/>
    <col min="14847" max="14847" width="10.7109375" style="2" customWidth="1"/>
    <col min="14848" max="14848" width="11.85546875" style="2" customWidth="1"/>
    <col min="14849" max="15098" width="10.140625" style="2"/>
    <col min="15099" max="15099" width="6" style="2" customWidth="1"/>
    <col min="15100" max="15100" width="44" style="2" customWidth="1"/>
    <col min="15101" max="15101" width="10.7109375" style="2" customWidth="1"/>
    <col min="15102" max="15102" width="10.140625" style="2" customWidth="1"/>
    <col min="15103" max="15103" width="10.7109375" style="2" customWidth="1"/>
    <col min="15104" max="15104" width="11.85546875" style="2" customWidth="1"/>
    <col min="15105" max="15354" width="10.140625" style="2"/>
    <col min="15355" max="15355" width="6" style="2" customWidth="1"/>
    <col min="15356" max="15356" width="44" style="2" customWidth="1"/>
    <col min="15357" max="15357" width="10.7109375" style="2" customWidth="1"/>
    <col min="15358" max="15358" width="10.140625" style="2" customWidth="1"/>
    <col min="15359" max="15359" width="10.7109375" style="2" customWidth="1"/>
    <col min="15360" max="15360" width="11.85546875" style="2" customWidth="1"/>
    <col min="15361" max="15610" width="10.140625" style="2"/>
    <col min="15611" max="15611" width="6" style="2" customWidth="1"/>
    <col min="15612" max="15612" width="44" style="2" customWidth="1"/>
    <col min="15613" max="15613" width="10.7109375" style="2" customWidth="1"/>
    <col min="15614" max="15614" width="10.140625" style="2" customWidth="1"/>
    <col min="15615" max="15615" width="10.7109375" style="2" customWidth="1"/>
    <col min="15616" max="15616" width="11.85546875" style="2" customWidth="1"/>
    <col min="15617" max="15866" width="10.140625" style="2"/>
    <col min="15867" max="15867" width="6" style="2" customWidth="1"/>
    <col min="15868" max="15868" width="44" style="2" customWidth="1"/>
    <col min="15869" max="15869" width="10.7109375" style="2" customWidth="1"/>
    <col min="15870" max="15870" width="10.140625" style="2" customWidth="1"/>
    <col min="15871" max="15871" width="10.7109375" style="2" customWidth="1"/>
    <col min="15872" max="15872" width="11.85546875" style="2" customWidth="1"/>
    <col min="15873" max="16384" width="10.140625" style="2"/>
  </cols>
  <sheetData>
    <row r="2" spans="1:12" ht="15.75" x14ac:dyDescent="0.25">
      <c r="A2" s="26" t="s">
        <v>43</v>
      </c>
      <c r="B2" s="27"/>
      <c r="K2" s="5" t="s">
        <v>140</v>
      </c>
    </row>
    <row r="3" spans="1:12" ht="13.5" customHeight="1" x14ac:dyDescent="0.25">
      <c r="A3" s="109" t="s">
        <v>0</v>
      </c>
      <c r="B3" s="109" t="s">
        <v>44</v>
      </c>
      <c r="C3" s="110" t="s">
        <v>246</v>
      </c>
      <c r="D3" s="110" t="s">
        <v>247</v>
      </c>
      <c r="E3" s="110" t="s">
        <v>248</v>
      </c>
      <c r="F3" s="111" t="s">
        <v>249</v>
      </c>
      <c r="G3" s="112" t="s">
        <v>250</v>
      </c>
      <c r="H3" s="112"/>
      <c r="I3" s="112"/>
      <c r="J3" s="112"/>
      <c r="K3" s="112"/>
      <c r="L3" s="112"/>
    </row>
    <row r="4" spans="1:12" ht="15.75" customHeight="1" x14ac:dyDescent="0.25">
      <c r="A4" s="109"/>
      <c r="B4" s="109"/>
      <c r="C4" s="110"/>
      <c r="D4" s="110"/>
      <c r="E4" s="110"/>
      <c r="F4" s="111"/>
      <c r="G4" s="110" t="s">
        <v>45</v>
      </c>
      <c r="H4" s="110"/>
      <c r="I4" s="110"/>
      <c r="J4" s="110"/>
      <c r="K4" s="110" t="s">
        <v>46</v>
      </c>
      <c r="L4" s="110"/>
    </row>
    <row r="5" spans="1:12" ht="18.75" customHeight="1" x14ac:dyDescent="0.25">
      <c r="A5" s="109"/>
      <c r="B5" s="109"/>
      <c r="C5" s="110"/>
      <c r="D5" s="110"/>
      <c r="E5" s="110"/>
      <c r="F5" s="111"/>
      <c r="G5" s="110" t="s">
        <v>214</v>
      </c>
      <c r="H5" s="110" t="s">
        <v>247</v>
      </c>
      <c r="I5" s="110" t="s">
        <v>251</v>
      </c>
      <c r="J5" s="110"/>
      <c r="K5" s="110" t="s">
        <v>214</v>
      </c>
      <c r="L5" s="110" t="s">
        <v>247</v>
      </c>
    </row>
    <row r="6" spans="1:12" ht="31.5" x14ac:dyDescent="0.25">
      <c r="A6" s="109"/>
      <c r="B6" s="109"/>
      <c r="C6" s="110"/>
      <c r="D6" s="110"/>
      <c r="E6" s="110"/>
      <c r="F6" s="111"/>
      <c r="G6" s="110"/>
      <c r="H6" s="110"/>
      <c r="I6" s="21" t="s">
        <v>214</v>
      </c>
      <c r="J6" s="21" t="s">
        <v>247</v>
      </c>
      <c r="K6" s="110"/>
      <c r="L6" s="110"/>
    </row>
    <row r="7" spans="1:12" ht="15.75" x14ac:dyDescent="0.25">
      <c r="A7" s="64">
        <v>1</v>
      </c>
      <c r="B7" s="63">
        <v>2</v>
      </c>
      <c r="C7" s="64">
        <v>3</v>
      </c>
      <c r="D7" s="64">
        <v>4</v>
      </c>
      <c r="E7" s="64">
        <v>5</v>
      </c>
      <c r="F7" s="64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</row>
    <row r="8" spans="1:12" ht="15.75" x14ac:dyDescent="0.25">
      <c r="A8" s="9">
        <v>1</v>
      </c>
      <c r="B8" s="28" t="s">
        <v>47</v>
      </c>
      <c r="C8" s="59">
        <f>+C9</f>
        <v>160</v>
      </c>
      <c r="D8" s="59">
        <f t="shared" ref="D8:E8" si="0">+D9</f>
        <v>152.6</v>
      </c>
      <c r="E8" s="59">
        <f t="shared" si="0"/>
        <v>-7.4</v>
      </c>
      <c r="F8" s="59">
        <f>+D8/C8*100</f>
        <v>95.4</v>
      </c>
      <c r="G8" s="59">
        <f t="shared" ref="G8:L8" si="1">+G9</f>
        <v>157.30000000000001</v>
      </c>
      <c r="H8" s="59">
        <f t="shared" si="1"/>
        <v>150.1</v>
      </c>
      <c r="I8" s="59">
        <f t="shared" si="1"/>
        <v>115.2</v>
      </c>
      <c r="J8" s="59">
        <f t="shared" si="1"/>
        <v>108.4</v>
      </c>
      <c r="K8" s="59">
        <f t="shared" si="1"/>
        <v>2.7</v>
      </c>
      <c r="L8" s="59">
        <f t="shared" si="1"/>
        <v>2.5</v>
      </c>
    </row>
    <row r="9" spans="1:12" ht="15.75" x14ac:dyDescent="0.25">
      <c r="A9" s="9">
        <f>+A8+1</f>
        <v>2</v>
      </c>
      <c r="B9" s="28" t="s">
        <v>49</v>
      </c>
      <c r="C9" s="59">
        <f>+C11+C12</f>
        <v>160</v>
      </c>
      <c r="D9" s="59">
        <f t="shared" ref="D9:E9" si="2">+D11+D12</f>
        <v>152.6</v>
      </c>
      <c r="E9" s="59">
        <f t="shared" si="2"/>
        <v>-7.4</v>
      </c>
      <c r="F9" s="59">
        <f t="shared" ref="F9:F72" si="3">+D9/C9*100</f>
        <v>95.4</v>
      </c>
      <c r="G9" s="59">
        <f t="shared" ref="G9:L9" si="4">+G11+G12</f>
        <v>157.30000000000001</v>
      </c>
      <c r="H9" s="59">
        <f t="shared" si="4"/>
        <v>150.1</v>
      </c>
      <c r="I9" s="59">
        <f t="shared" si="4"/>
        <v>115.2</v>
      </c>
      <c r="J9" s="59">
        <f t="shared" si="4"/>
        <v>108.4</v>
      </c>
      <c r="K9" s="59">
        <f t="shared" si="4"/>
        <v>2.7</v>
      </c>
      <c r="L9" s="59">
        <f t="shared" si="4"/>
        <v>2.5</v>
      </c>
    </row>
    <row r="10" spans="1:12" ht="15.75" x14ac:dyDescent="0.25">
      <c r="A10" s="9">
        <f t="shared" ref="A10:A73" si="5">+A9+1</f>
        <v>3</v>
      </c>
      <c r="B10" s="63" t="s">
        <v>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 ht="31.5" x14ac:dyDescent="0.25">
      <c r="A11" s="9">
        <f t="shared" si="5"/>
        <v>4</v>
      </c>
      <c r="B11" s="4" t="s">
        <v>66</v>
      </c>
      <c r="C11" s="69">
        <f>+G11+K11</f>
        <v>157.5</v>
      </c>
      <c r="D11" s="69">
        <f>+H11+L11</f>
        <v>150.19999999999999</v>
      </c>
      <c r="E11" s="69">
        <f t="shared" ref="E11:E72" si="6">+D11-C11</f>
        <v>-7.3</v>
      </c>
      <c r="F11" s="69">
        <f t="shared" si="3"/>
        <v>95.4</v>
      </c>
      <c r="G11" s="69">
        <f>157.5-2.7</f>
        <v>154.80000000000001</v>
      </c>
      <c r="H11" s="69">
        <f>150.2-2.5</f>
        <v>147.69999999999999</v>
      </c>
      <c r="I11" s="69">
        <v>113.3</v>
      </c>
      <c r="J11" s="69">
        <v>106.5</v>
      </c>
      <c r="K11" s="69">
        <v>2.7</v>
      </c>
      <c r="L11" s="69">
        <v>2.5</v>
      </c>
    </row>
    <row r="12" spans="1:12" ht="63" x14ac:dyDescent="0.25">
      <c r="A12" s="9">
        <f t="shared" si="5"/>
        <v>5</v>
      </c>
      <c r="B12" s="4" t="s">
        <v>154</v>
      </c>
      <c r="C12" s="69">
        <f t="shared" ref="C12:C19" si="7">+G12+K12</f>
        <v>2.5</v>
      </c>
      <c r="D12" s="69">
        <f t="shared" ref="D12:D19" si="8">+H12+L12</f>
        <v>2.4</v>
      </c>
      <c r="E12" s="69">
        <f t="shared" si="6"/>
        <v>-0.1</v>
      </c>
      <c r="F12" s="69">
        <f t="shared" si="3"/>
        <v>96</v>
      </c>
      <c r="G12" s="69">
        <v>2.5</v>
      </c>
      <c r="H12" s="69">
        <v>2.4</v>
      </c>
      <c r="I12" s="69">
        <v>1.9</v>
      </c>
      <c r="J12" s="69">
        <v>1.9</v>
      </c>
      <c r="K12" s="69"/>
      <c r="L12" s="69"/>
    </row>
    <row r="13" spans="1:12" ht="15.75" x14ac:dyDescent="0.25">
      <c r="A13" s="9">
        <f t="shared" si="5"/>
        <v>6</v>
      </c>
      <c r="B13" s="28" t="s">
        <v>3</v>
      </c>
      <c r="C13" s="59">
        <f>+C14+C15+C47+C48+C49+C50+C51+C52+C56</f>
        <v>12839.7</v>
      </c>
      <c r="D13" s="59">
        <f t="shared" ref="D13:E13" si="9">+D14+D15+D47+D48+D49+D50+D51+D52+D56</f>
        <v>11325.4</v>
      </c>
      <c r="E13" s="59">
        <f t="shared" si="9"/>
        <v>-1514.3</v>
      </c>
      <c r="F13" s="59">
        <f t="shared" si="3"/>
        <v>88.2</v>
      </c>
      <c r="G13" s="59">
        <f t="shared" ref="G13" si="10">+G14+G15+G47+G48+G49+G50+G51+G52+G56</f>
        <v>9218</v>
      </c>
      <c r="H13" s="59">
        <f t="shared" ref="H13" si="11">+H14+H15+H47+H48+H49+H50+H51+H52+H56</f>
        <v>8537.5</v>
      </c>
      <c r="I13" s="59">
        <f t="shared" ref="I13" si="12">+I14+I15+I47+I48+I49+I50+I51+I52+I56</f>
        <v>5029.3999999999996</v>
      </c>
      <c r="J13" s="59">
        <f t="shared" ref="J13" si="13">+J14+J15+J47+J48+J49+J50+J51+J52+J56</f>
        <v>4981.2</v>
      </c>
      <c r="K13" s="59">
        <f t="shared" ref="K13" si="14">+K14+K15+K47+K48+K49+K50+K51+K52+K56</f>
        <v>3621.7</v>
      </c>
      <c r="L13" s="59">
        <f t="shared" ref="L13" si="15">+L14+L15+L47+L48+L49+L50+L51+L52+L56</f>
        <v>2787.9</v>
      </c>
    </row>
    <row r="14" spans="1:12" ht="31.5" x14ac:dyDescent="0.25">
      <c r="A14" s="9">
        <f t="shared" si="5"/>
        <v>7</v>
      </c>
      <c r="B14" s="28" t="s">
        <v>48</v>
      </c>
      <c r="C14" s="59">
        <f t="shared" si="7"/>
        <v>133.6</v>
      </c>
      <c r="D14" s="59">
        <f t="shared" si="8"/>
        <v>80.400000000000006</v>
      </c>
      <c r="E14" s="59">
        <f t="shared" si="6"/>
        <v>-53.2</v>
      </c>
      <c r="F14" s="59">
        <f t="shared" si="3"/>
        <v>60.2</v>
      </c>
      <c r="G14" s="59">
        <v>133.6</v>
      </c>
      <c r="H14" s="59">
        <v>80.400000000000006</v>
      </c>
      <c r="I14" s="59"/>
      <c r="J14" s="59"/>
      <c r="K14" s="59"/>
      <c r="L14" s="59"/>
    </row>
    <row r="15" spans="1:12" ht="15.75" x14ac:dyDescent="0.25">
      <c r="A15" s="9">
        <f t="shared" si="5"/>
        <v>8</v>
      </c>
      <c r="B15" s="28" t="s">
        <v>49</v>
      </c>
      <c r="C15" s="59">
        <f>+C17+C18+C19+C20+C21+C22+C23++C24+C25+C46</f>
        <v>9712.7999999999993</v>
      </c>
      <c r="D15" s="59">
        <f t="shared" ref="D15:L15" si="16">+D17+D18+D19+D20+D21+D22+D23++D24+D25+D46</f>
        <v>8688.9</v>
      </c>
      <c r="E15" s="59">
        <f t="shared" si="16"/>
        <v>-1023.9</v>
      </c>
      <c r="F15" s="59">
        <f t="shared" si="3"/>
        <v>89.5</v>
      </c>
      <c r="G15" s="59">
        <f t="shared" si="16"/>
        <v>8702</v>
      </c>
      <c r="H15" s="59">
        <f t="shared" si="16"/>
        <v>8110.4</v>
      </c>
      <c r="I15" s="59">
        <f t="shared" si="16"/>
        <v>5022.2</v>
      </c>
      <c r="J15" s="59">
        <f t="shared" si="16"/>
        <v>4974.1000000000004</v>
      </c>
      <c r="K15" s="59">
        <f t="shared" si="16"/>
        <v>1010.8</v>
      </c>
      <c r="L15" s="59">
        <f t="shared" si="16"/>
        <v>578.5</v>
      </c>
    </row>
    <row r="16" spans="1:12" ht="15.75" x14ac:dyDescent="0.25">
      <c r="A16" s="9">
        <f t="shared" si="5"/>
        <v>9</v>
      </c>
      <c r="B16" s="63" t="s">
        <v>2</v>
      </c>
      <c r="C16" s="69">
        <f t="shared" si="7"/>
        <v>0</v>
      </c>
      <c r="D16" s="69">
        <f t="shared" si="8"/>
        <v>0</v>
      </c>
      <c r="E16" s="69">
        <f t="shared" si="6"/>
        <v>0</v>
      </c>
      <c r="F16" s="69"/>
      <c r="G16" s="69"/>
      <c r="H16" s="69"/>
      <c r="I16" s="69"/>
      <c r="J16" s="69"/>
      <c r="K16" s="69"/>
      <c r="L16" s="69"/>
    </row>
    <row r="17" spans="1:12" ht="31.5" x14ac:dyDescent="0.25">
      <c r="A17" s="9">
        <f t="shared" si="5"/>
        <v>10</v>
      </c>
      <c r="B17" s="4" t="s">
        <v>50</v>
      </c>
      <c r="C17" s="69">
        <f t="shared" si="7"/>
        <v>347</v>
      </c>
      <c r="D17" s="69">
        <f t="shared" si="8"/>
        <v>272.3</v>
      </c>
      <c r="E17" s="69">
        <f t="shared" si="6"/>
        <v>-74.7</v>
      </c>
      <c r="F17" s="69">
        <f t="shared" si="3"/>
        <v>78.5</v>
      </c>
      <c r="G17" s="69">
        <v>347</v>
      </c>
      <c r="H17" s="69">
        <v>272.3</v>
      </c>
      <c r="I17" s="69">
        <v>121.5</v>
      </c>
      <c r="J17" s="69">
        <v>100</v>
      </c>
      <c r="K17" s="69"/>
      <c r="L17" s="69"/>
    </row>
    <row r="18" spans="1:12" ht="31.5" x14ac:dyDescent="0.25">
      <c r="A18" s="9">
        <f t="shared" si="5"/>
        <v>11</v>
      </c>
      <c r="B18" s="4" t="s">
        <v>51</v>
      </c>
      <c r="C18" s="69">
        <f t="shared" si="7"/>
        <v>176</v>
      </c>
      <c r="D18" s="69">
        <f t="shared" si="8"/>
        <v>169.5</v>
      </c>
      <c r="E18" s="69">
        <f t="shared" si="6"/>
        <v>-6.5</v>
      </c>
      <c r="F18" s="69">
        <f t="shared" si="3"/>
        <v>96.3</v>
      </c>
      <c r="G18" s="69">
        <v>171</v>
      </c>
      <c r="H18" s="69">
        <v>165.9</v>
      </c>
      <c r="I18" s="69">
        <v>115.6</v>
      </c>
      <c r="J18" s="69">
        <v>114.9</v>
      </c>
      <c r="K18" s="69">
        <v>5</v>
      </c>
      <c r="L18" s="69">
        <v>3.6</v>
      </c>
    </row>
    <row r="19" spans="1:12" ht="78.75" x14ac:dyDescent="0.25">
      <c r="A19" s="9">
        <f t="shared" si="5"/>
        <v>12</v>
      </c>
      <c r="B19" s="4" t="s">
        <v>197</v>
      </c>
      <c r="C19" s="69">
        <f t="shared" si="7"/>
        <v>0.1</v>
      </c>
      <c r="D19" s="69">
        <f t="shared" si="8"/>
        <v>0</v>
      </c>
      <c r="E19" s="69">
        <f t="shared" si="6"/>
        <v>-0.1</v>
      </c>
      <c r="F19" s="69">
        <f t="shared" si="3"/>
        <v>0</v>
      </c>
      <c r="G19" s="69">
        <v>0.1</v>
      </c>
      <c r="H19" s="69"/>
      <c r="I19" s="69">
        <v>0.1</v>
      </c>
      <c r="J19" s="69"/>
      <c r="K19" s="69"/>
      <c r="L19" s="69"/>
    </row>
    <row r="20" spans="1:12" ht="47.25" x14ac:dyDescent="0.25">
      <c r="A20" s="9">
        <f t="shared" si="5"/>
        <v>13</v>
      </c>
      <c r="B20" s="4" t="s">
        <v>52</v>
      </c>
      <c r="C20" s="69">
        <f t="shared" ref="C20:C56" si="17">+G20+K20</f>
        <v>8178.6</v>
      </c>
      <c r="D20" s="69">
        <f t="shared" ref="D20:D56" si="18">+H20+L20</f>
        <v>7381.6</v>
      </c>
      <c r="E20" s="69">
        <f t="shared" si="6"/>
        <v>-797</v>
      </c>
      <c r="F20" s="69">
        <f t="shared" si="3"/>
        <v>90.3</v>
      </c>
      <c r="G20" s="69">
        <f>24.3+8700.5-347-171-29-535.8-155-147.5-85-6.6+5.8</f>
        <v>7253.7</v>
      </c>
      <c r="H20" s="69">
        <f>24.2+7796.1-272.3-165.9-2.5-205.5-153.7-109-64.2-6.6+5.6</f>
        <v>6846.2</v>
      </c>
      <c r="I20" s="69">
        <f>4451.7-121.5-115.6+4.4+0.1</f>
        <v>4219.1000000000004</v>
      </c>
      <c r="J20" s="69">
        <f>4413.7-100-114.9+4.2+0.1</f>
        <v>4203.1000000000004</v>
      </c>
      <c r="K20" s="69">
        <f>535.8+155+147.5+85+6.6-5</f>
        <v>924.9</v>
      </c>
      <c r="L20" s="69">
        <f>205.5+153.7+109+64.2+6.6-3.6</f>
        <v>535.4</v>
      </c>
    </row>
    <row r="21" spans="1:12" ht="78.75" x14ac:dyDescent="0.25">
      <c r="A21" s="9">
        <f t="shared" si="5"/>
        <v>14</v>
      </c>
      <c r="B21" s="4" t="s">
        <v>198</v>
      </c>
      <c r="C21" s="69">
        <f t="shared" si="17"/>
        <v>4.3</v>
      </c>
      <c r="D21" s="69">
        <f t="shared" si="18"/>
        <v>4.2</v>
      </c>
      <c r="E21" s="69">
        <f t="shared" si="6"/>
        <v>-0.1</v>
      </c>
      <c r="F21" s="69">
        <f t="shared" si="3"/>
        <v>97.7</v>
      </c>
      <c r="G21" s="69">
        <v>4.3</v>
      </c>
      <c r="H21" s="69">
        <v>4.2</v>
      </c>
      <c r="I21" s="69">
        <v>3.3</v>
      </c>
      <c r="J21" s="69">
        <v>3.2</v>
      </c>
      <c r="K21" s="69"/>
      <c r="L21" s="69"/>
    </row>
    <row r="22" spans="1:12" ht="31.5" x14ac:dyDescent="0.25">
      <c r="A22" s="9">
        <f t="shared" si="5"/>
        <v>15</v>
      </c>
      <c r="B22" s="4" t="s">
        <v>53</v>
      </c>
      <c r="C22" s="69">
        <f t="shared" si="17"/>
        <v>29</v>
      </c>
      <c r="D22" s="69">
        <f t="shared" si="18"/>
        <v>2.5</v>
      </c>
      <c r="E22" s="69">
        <f t="shared" si="6"/>
        <v>-26.5</v>
      </c>
      <c r="F22" s="69">
        <f t="shared" si="3"/>
        <v>8.6</v>
      </c>
      <c r="G22" s="69">
        <v>29</v>
      </c>
      <c r="H22" s="69">
        <v>2.5</v>
      </c>
      <c r="I22" s="69"/>
      <c r="J22" s="69"/>
      <c r="K22" s="69"/>
      <c r="L22" s="69"/>
    </row>
    <row r="23" spans="1:12" ht="31.5" x14ac:dyDescent="0.25">
      <c r="A23" s="9">
        <f t="shared" si="5"/>
        <v>16</v>
      </c>
      <c r="B23" s="4" t="s">
        <v>54</v>
      </c>
      <c r="C23" s="69">
        <f t="shared" si="17"/>
        <v>133.80000000000001</v>
      </c>
      <c r="D23" s="69">
        <f t="shared" si="18"/>
        <v>77.3</v>
      </c>
      <c r="E23" s="69">
        <f t="shared" si="6"/>
        <v>-56.5</v>
      </c>
      <c r="F23" s="69">
        <f t="shared" si="3"/>
        <v>57.8</v>
      </c>
      <c r="G23" s="69">
        <f>133.8-79.6</f>
        <v>54.2</v>
      </c>
      <c r="H23" s="69">
        <f>77.3-38.4</f>
        <v>38.9</v>
      </c>
      <c r="I23" s="69"/>
      <c r="J23" s="69"/>
      <c r="K23" s="69">
        <v>79.599999999999994</v>
      </c>
      <c r="L23" s="69">
        <v>38.4</v>
      </c>
    </row>
    <row r="24" spans="1:12" ht="63" x14ac:dyDescent="0.25">
      <c r="A24" s="9">
        <f t="shared" si="5"/>
        <v>17</v>
      </c>
      <c r="B24" s="4" t="s">
        <v>154</v>
      </c>
      <c r="C24" s="69">
        <f t="shared" si="17"/>
        <v>72.5</v>
      </c>
      <c r="D24" s="69">
        <f t="shared" si="18"/>
        <v>72.400000000000006</v>
      </c>
      <c r="E24" s="69">
        <f t="shared" si="6"/>
        <v>-0.1</v>
      </c>
      <c r="F24" s="69">
        <f t="shared" si="3"/>
        <v>99.9</v>
      </c>
      <c r="G24" s="69">
        <v>72.5</v>
      </c>
      <c r="H24" s="69">
        <v>72.400000000000006</v>
      </c>
      <c r="I24" s="69">
        <v>55.4</v>
      </c>
      <c r="J24" s="69">
        <v>55.4</v>
      </c>
      <c r="K24" s="69"/>
      <c r="L24" s="69"/>
    </row>
    <row r="25" spans="1:12" ht="63" x14ac:dyDescent="0.25">
      <c r="A25" s="9">
        <f t="shared" si="5"/>
        <v>18</v>
      </c>
      <c r="B25" s="4" t="s">
        <v>55</v>
      </c>
      <c r="C25" s="69">
        <f>SUM(C27:C45)</f>
        <v>768.5</v>
      </c>
      <c r="D25" s="69">
        <f>SUM(D27:D45)</f>
        <v>706.2</v>
      </c>
      <c r="E25" s="69">
        <f t="shared" si="6"/>
        <v>-62.3</v>
      </c>
      <c r="F25" s="69">
        <f t="shared" si="3"/>
        <v>91.9</v>
      </c>
      <c r="G25" s="69">
        <f t="shared" ref="G25:L25" si="19">SUM(G27:G45)</f>
        <v>767.2</v>
      </c>
      <c r="H25" s="69">
        <f t="shared" si="19"/>
        <v>705.1</v>
      </c>
      <c r="I25" s="69">
        <f t="shared" si="19"/>
        <v>504.9</v>
      </c>
      <c r="J25" s="69">
        <f t="shared" si="19"/>
        <v>495.3</v>
      </c>
      <c r="K25" s="69">
        <f t="shared" si="19"/>
        <v>1.3</v>
      </c>
      <c r="L25" s="69">
        <f t="shared" si="19"/>
        <v>1.1000000000000001</v>
      </c>
    </row>
    <row r="26" spans="1:12" ht="15.75" x14ac:dyDescent="0.25">
      <c r="A26" s="9">
        <f t="shared" si="5"/>
        <v>19</v>
      </c>
      <c r="B26" s="63" t="s">
        <v>2</v>
      </c>
      <c r="C26" s="69">
        <f t="shared" si="17"/>
        <v>0</v>
      </c>
      <c r="D26" s="69">
        <f t="shared" si="18"/>
        <v>0</v>
      </c>
      <c r="E26" s="69">
        <f t="shared" si="6"/>
        <v>0</v>
      </c>
      <c r="F26" s="69"/>
      <c r="G26" s="69"/>
      <c r="H26" s="69"/>
      <c r="I26" s="69"/>
      <c r="J26" s="69"/>
      <c r="K26" s="69"/>
      <c r="L26" s="69"/>
    </row>
    <row r="27" spans="1:12" ht="31.5" x14ac:dyDescent="0.25">
      <c r="A27" s="9">
        <f t="shared" si="5"/>
        <v>20</v>
      </c>
      <c r="B27" s="4" t="s">
        <v>17</v>
      </c>
      <c r="C27" s="69">
        <f t="shared" si="17"/>
        <v>0.6</v>
      </c>
      <c r="D27" s="69">
        <f t="shared" si="18"/>
        <v>0.3</v>
      </c>
      <c r="E27" s="69">
        <f t="shared" si="6"/>
        <v>-0.3</v>
      </c>
      <c r="F27" s="69">
        <f t="shared" si="3"/>
        <v>50</v>
      </c>
      <c r="G27" s="69">
        <v>0.6</v>
      </c>
      <c r="H27" s="69">
        <v>0.3</v>
      </c>
      <c r="I27" s="69">
        <v>0.5</v>
      </c>
      <c r="J27" s="69">
        <v>0.2</v>
      </c>
      <c r="K27" s="69"/>
      <c r="L27" s="69"/>
    </row>
    <row r="28" spans="1:12" ht="15.75" x14ac:dyDescent="0.25">
      <c r="A28" s="9">
        <f t="shared" si="5"/>
        <v>21</v>
      </c>
      <c r="B28" s="4" t="s">
        <v>18</v>
      </c>
      <c r="C28" s="69">
        <f t="shared" si="17"/>
        <v>17.399999999999999</v>
      </c>
      <c r="D28" s="69">
        <f t="shared" si="18"/>
        <v>17.3</v>
      </c>
      <c r="E28" s="69">
        <f t="shared" si="6"/>
        <v>-0.1</v>
      </c>
      <c r="F28" s="69">
        <f t="shared" si="3"/>
        <v>99.4</v>
      </c>
      <c r="G28" s="69">
        <v>17.399999999999999</v>
      </c>
      <c r="H28" s="69">
        <v>17.3</v>
      </c>
      <c r="I28" s="69">
        <v>11.8</v>
      </c>
      <c r="J28" s="69">
        <v>11.8</v>
      </c>
      <c r="K28" s="69"/>
      <c r="L28" s="69"/>
    </row>
    <row r="29" spans="1:12" ht="31.5" x14ac:dyDescent="0.25">
      <c r="A29" s="9">
        <f t="shared" si="5"/>
        <v>22</v>
      </c>
      <c r="B29" s="4" t="s">
        <v>19</v>
      </c>
      <c r="C29" s="69">
        <f t="shared" si="17"/>
        <v>9.8000000000000007</v>
      </c>
      <c r="D29" s="69">
        <f t="shared" si="18"/>
        <v>9.8000000000000007</v>
      </c>
      <c r="E29" s="69">
        <f t="shared" si="6"/>
        <v>0</v>
      </c>
      <c r="F29" s="69">
        <f t="shared" si="3"/>
        <v>100</v>
      </c>
      <c r="G29" s="69">
        <v>9.8000000000000007</v>
      </c>
      <c r="H29" s="69">
        <v>9.8000000000000007</v>
      </c>
      <c r="I29" s="69">
        <v>7.5</v>
      </c>
      <c r="J29" s="69">
        <v>7.5</v>
      </c>
      <c r="K29" s="69"/>
      <c r="L29" s="69"/>
    </row>
    <row r="30" spans="1:12" ht="31.5" x14ac:dyDescent="0.25">
      <c r="A30" s="9">
        <f t="shared" si="5"/>
        <v>23</v>
      </c>
      <c r="B30" s="4" t="s">
        <v>132</v>
      </c>
      <c r="C30" s="69">
        <f t="shared" si="17"/>
        <v>69.8</v>
      </c>
      <c r="D30" s="69">
        <f t="shared" si="18"/>
        <v>69.7</v>
      </c>
      <c r="E30" s="69">
        <f t="shared" si="6"/>
        <v>-0.1</v>
      </c>
      <c r="F30" s="69">
        <f t="shared" si="3"/>
        <v>99.9</v>
      </c>
      <c r="G30" s="69">
        <v>69.8</v>
      </c>
      <c r="H30" s="69">
        <v>69.7</v>
      </c>
      <c r="I30" s="69">
        <v>41.8</v>
      </c>
      <c r="J30" s="69">
        <v>41.7</v>
      </c>
      <c r="K30" s="69"/>
      <c r="L30" s="69"/>
    </row>
    <row r="31" spans="1:12" ht="31.5" x14ac:dyDescent="0.25">
      <c r="A31" s="9">
        <f t="shared" si="5"/>
        <v>24</v>
      </c>
      <c r="B31" s="4" t="s">
        <v>133</v>
      </c>
      <c r="C31" s="69">
        <f t="shared" si="17"/>
        <v>31.4</v>
      </c>
      <c r="D31" s="69">
        <f t="shared" si="18"/>
        <v>29.6</v>
      </c>
      <c r="E31" s="69">
        <f t="shared" si="6"/>
        <v>-1.8</v>
      </c>
      <c r="F31" s="69">
        <f t="shared" si="3"/>
        <v>94.3</v>
      </c>
      <c r="G31" s="69">
        <v>31.4</v>
      </c>
      <c r="H31" s="69">
        <v>29.6</v>
      </c>
      <c r="I31" s="69">
        <v>20.7</v>
      </c>
      <c r="J31" s="69">
        <v>20.399999999999999</v>
      </c>
      <c r="K31" s="69"/>
      <c r="L31" s="69"/>
    </row>
    <row r="32" spans="1:12" ht="15.75" x14ac:dyDescent="0.25">
      <c r="A32" s="9">
        <f t="shared" si="5"/>
        <v>25</v>
      </c>
      <c r="B32" s="4" t="s">
        <v>20</v>
      </c>
      <c r="C32" s="69">
        <f t="shared" si="17"/>
        <v>86.1</v>
      </c>
      <c r="D32" s="69">
        <f t="shared" si="18"/>
        <v>85.9</v>
      </c>
      <c r="E32" s="69">
        <f t="shared" si="6"/>
        <v>-0.2</v>
      </c>
      <c r="F32" s="69">
        <f t="shared" si="3"/>
        <v>99.8</v>
      </c>
      <c r="G32" s="69">
        <v>86.1</v>
      </c>
      <c r="H32" s="69">
        <v>85.9</v>
      </c>
      <c r="I32" s="69">
        <v>65.7</v>
      </c>
      <c r="J32" s="69">
        <v>65.599999999999994</v>
      </c>
      <c r="K32" s="69"/>
      <c r="L32" s="69"/>
    </row>
    <row r="33" spans="1:12" ht="47.25" x14ac:dyDescent="0.25">
      <c r="A33" s="9">
        <f t="shared" si="5"/>
        <v>26</v>
      </c>
      <c r="B33" s="4" t="s">
        <v>124</v>
      </c>
      <c r="C33" s="69">
        <f t="shared" si="17"/>
        <v>22.3</v>
      </c>
      <c r="D33" s="69">
        <f t="shared" si="18"/>
        <v>22.2</v>
      </c>
      <c r="E33" s="69">
        <f t="shared" si="6"/>
        <v>-0.1</v>
      </c>
      <c r="F33" s="69">
        <f t="shared" si="3"/>
        <v>99.6</v>
      </c>
      <c r="G33" s="69">
        <v>22.3</v>
      </c>
      <c r="H33" s="69">
        <v>22.2</v>
      </c>
      <c r="I33" s="69">
        <v>17.100000000000001</v>
      </c>
      <c r="J33" s="69">
        <v>17</v>
      </c>
      <c r="K33" s="69"/>
      <c r="L33" s="69"/>
    </row>
    <row r="34" spans="1:12" ht="31.5" x14ac:dyDescent="0.25">
      <c r="A34" s="9">
        <f t="shared" si="5"/>
        <v>27</v>
      </c>
      <c r="B34" s="4" t="s">
        <v>22</v>
      </c>
      <c r="C34" s="69">
        <f t="shared" si="17"/>
        <v>2.7</v>
      </c>
      <c r="D34" s="69">
        <f t="shared" si="18"/>
        <v>2</v>
      </c>
      <c r="E34" s="69">
        <f t="shared" si="6"/>
        <v>-0.7</v>
      </c>
      <c r="F34" s="69">
        <f t="shared" si="3"/>
        <v>74.099999999999994</v>
      </c>
      <c r="G34" s="69">
        <v>2.7</v>
      </c>
      <c r="H34" s="69">
        <v>2</v>
      </c>
      <c r="I34" s="69"/>
      <c r="J34" s="69"/>
      <c r="K34" s="69"/>
      <c r="L34" s="69"/>
    </row>
    <row r="35" spans="1:12" ht="15.75" x14ac:dyDescent="0.25">
      <c r="A35" s="9">
        <f t="shared" si="5"/>
        <v>28</v>
      </c>
      <c r="B35" s="4" t="s">
        <v>21</v>
      </c>
      <c r="C35" s="69">
        <f t="shared" si="17"/>
        <v>60.8</v>
      </c>
      <c r="D35" s="69">
        <f t="shared" si="18"/>
        <v>60.7</v>
      </c>
      <c r="E35" s="69">
        <f t="shared" si="6"/>
        <v>-0.1</v>
      </c>
      <c r="F35" s="69">
        <f t="shared" si="3"/>
        <v>99.8</v>
      </c>
      <c r="G35" s="69">
        <v>60.8</v>
      </c>
      <c r="H35" s="69">
        <v>60.7</v>
      </c>
      <c r="I35" s="69">
        <v>33.6</v>
      </c>
      <c r="J35" s="69">
        <v>33.5</v>
      </c>
      <c r="K35" s="69"/>
      <c r="L35" s="69"/>
    </row>
    <row r="36" spans="1:12" ht="47.25" x14ac:dyDescent="0.25">
      <c r="A36" s="9">
        <f t="shared" si="5"/>
        <v>29</v>
      </c>
      <c r="B36" s="4" t="s">
        <v>134</v>
      </c>
      <c r="C36" s="69">
        <f t="shared" si="17"/>
        <v>0.4</v>
      </c>
      <c r="D36" s="69">
        <f t="shared" si="18"/>
        <v>0</v>
      </c>
      <c r="E36" s="69">
        <f t="shared" si="6"/>
        <v>-0.4</v>
      </c>
      <c r="F36" s="69">
        <f t="shared" si="3"/>
        <v>0</v>
      </c>
      <c r="G36" s="69">
        <v>0.4</v>
      </c>
      <c r="H36" s="69"/>
      <c r="I36" s="69">
        <v>0.3</v>
      </c>
      <c r="J36" s="69"/>
      <c r="K36" s="69"/>
      <c r="L36" s="69"/>
    </row>
    <row r="37" spans="1:12" ht="63" x14ac:dyDescent="0.25">
      <c r="A37" s="9">
        <f t="shared" si="5"/>
        <v>30</v>
      </c>
      <c r="B37" s="4" t="s">
        <v>104</v>
      </c>
      <c r="C37" s="69">
        <f t="shared" si="17"/>
        <v>0.7</v>
      </c>
      <c r="D37" s="69">
        <f t="shared" si="18"/>
        <v>0.6</v>
      </c>
      <c r="E37" s="69">
        <f t="shared" si="6"/>
        <v>-0.1</v>
      </c>
      <c r="F37" s="69">
        <f t="shared" si="3"/>
        <v>85.7</v>
      </c>
      <c r="G37" s="69">
        <v>0.7</v>
      </c>
      <c r="H37" s="69">
        <v>0.6</v>
      </c>
      <c r="I37" s="69">
        <v>0.5</v>
      </c>
      <c r="J37" s="69">
        <v>0.5</v>
      </c>
      <c r="K37" s="69"/>
      <c r="L37" s="69"/>
    </row>
    <row r="38" spans="1:12" ht="15.75" x14ac:dyDescent="0.25">
      <c r="A38" s="9">
        <f t="shared" si="5"/>
        <v>31</v>
      </c>
      <c r="B38" s="4" t="s">
        <v>56</v>
      </c>
      <c r="C38" s="69">
        <f t="shared" si="17"/>
        <v>318.7</v>
      </c>
      <c r="D38" s="69">
        <f t="shared" si="18"/>
        <v>304.3</v>
      </c>
      <c r="E38" s="69">
        <f t="shared" si="6"/>
        <v>-14.4</v>
      </c>
      <c r="F38" s="69">
        <f t="shared" si="3"/>
        <v>95.5</v>
      </c>
      <c r="G38" s="69">
        <f>318.7-1.3</f>
        <v>317.39999999999998</v>
      </c>
      <c r="H38" s="69">
        <f>304.4-1.1-0.1</f>
        <v>303.2</v>
      </c>
      <c r="I38" s="69">
        <v>220.9</v>
      </c>
      <c r="J38" s="69">
        <v>219.4</v>
      </c>
      <c r="K38" s="69">
        <v>1.3</v>
      </c>
      <c r="L38" s="69">
        <v>1.1000000000000001</v>
      </c>
    </row>
    <row r="39" spans="1:12" ht="15.75" x14ac:dyDescent="0.25">
      <c r="A39" s="9">
        <f t="shared" si="5"/>
        <v>32</v>
      </c>
      <c r="B39" s="8" t="s">
        <v>57</v>
      </c>
      <c r="C39" s="69">
        <f t="shared" si="17"/>
        <v>13.9</v>
      </c>
      <c r="D39" s="69">
        <f t="shared" si="18"/>
        <v>13.7</v>
      </c>
      <c r="E39" s="69">
        <f t="shared" si="6"/>
        <v>-0.2</v>
      </c>
      <c r="F39" s="69">
        <f t="shared" si="3"/>
        <v>98.6</v>
      </c>
      <c r="G39" s="69">
        <v>13.9</v>
      </c>
      <c r="H39" s="69">
        <v>13.7</v>
      </c>
      <c r="I39" s="69">
        <v>10.4</v>
      </c>
      <c r="J39" s="69">
        <v>10.199999999999999</v>
      </c>
      <c r="K39" s="69"/>
      <c r="L39" s="69"/>
    </row>
    <row r="40" spans="1:12" ht="47.25" x14ac:dyDescent="0.25">
      <c r="A40" s="9">
        <f t="shared" si="5"/>
        <v>33</v>
      </c>
      <c r="B40" s="4" t="s">
        <v>58</v>
      </c>
      <c r="C40" s="69">
        <f t="shared" si="17"/>
        <v>12.7</v>
      </c>
      <c r="D40" s="69">
        <f t="shared" si="18"/>
        <v>7.4</v>
      </c>
      <c r="E40" s="69">
        <f t="shared" si="6"/>
        <v>-5.3</v>
      </c>
      <c r="F40" s="69">
        <f t="shared" si="3"/>
        <v>58.3</v>
      </c>
      <c r="G40" s="69">
        <v>12.7</v>
      </c>
      <c r="H40" s="69">
        <f>7.3+0.1</f>
        <v>7.4</v>
      </c>
      <c r="I40" s="69">
        <v>9.6999999999999993</v>
      </c>
      <c r="J40" s="69">
        <v>5.6</v>
      </c>
      <c r="K40" s="69"/>
      <c r="L40" s="69"/>
    </row>
    <row r="41" spans="1:12" ht="15.75" x14ac:dyDescent="0.25">
      <c r="A41" s="9">
        <f t="shared" si="5"/>
        <v>34</v>
      </c>
      <c r="B41" s="4" t="s">
        <v>59</v>
      </c>
      <c r="C41" s="69">
        <f t="shared" si="17"/>
        <v>84.5</v>
      </c>
      <c r="D41" s="69">
        <f t="shared" si="18"/>
        <v>60.3</v>
      </c>
      <c r="E41" s="69">
        <f t="shared" si="6"/>
        <v>-24.2</v>
      </c>
      <c r="F41" s="69">
        <f t="shared" si="3"/>
        <v>71.400000000000006</v>
      </c>
      <c r="G41" s="69">
        <v>84.5</v>
      </c>
      <c r="H41" s="69">
        <v>60.3</v>
      </c>
      <c r="I41" s="69">
        <v>45</v>
      </c>
      <c r="J41" s="69">
        <v>44.9</v>
      </c>
      <c r="K41" s="69"/>
      <c r="L41" s="69"/>
    </row>
    <row r="42" spans="1:12" ht="31.5" x14ac:dyDescent="0.25">
      <c r="A42" s="9">
        <f t="shared" si="5"/>
        <v>35</v>
      </c>
      <c r="B42" s="4" t="s">
        <v>60</v>
      </c>
      <c r="C42" s="69">
        <f t="shared" si="17"/>
        <v>20.2</v>
      </c>
      <c r="D42" s="69">
        <f t="shared" si="18"/>
        <v>8.6</v>
      </c>
      <c r="E42" s="69">
        <f t="shared" si="6"/>
        <v>-11.6</v>
      </c>
      <c r="F42" s="69">
        <f t="shared" si="3"/>
        <v>42.6</v>
      </c>
      <c r="G42" s="69">
        <v>20.2</v>
      </c>
      <c r="H42" s="69">
        <v>8.6</v>
      </c>
      <c r="I42" s="69">
        <v>7</v>
      </c>
      <c r="J42" s="69">
        <v>6.4</v>
      </c>
      <c r="K42" s="69"/>
      <c r="L42" s="69"/>
    </row>
    <row r="43" spans="1:12" ht="15.75" x14ac:dyDescent="0.25">
      <c r="A43" s="9">
        <f t="shared" si="5"/>
        <v>36</v>
      </c>
      <c r="B43" s="4" t="s">
        <v>61</v>
      </c>
      <c r="C43" s="69">
        <f t="shared" si="17"/>
        <v>14.4</v>
      </c>
      <c r="D43" s="69">
        <f t="shared" si="18"/>
        <v>12.3</v>
      </c>
      <c r="E43" s="69">
        <f t="shared" si="6"/>
        <v>-2.1</v>
      </c>
      <c r="F43" s="69">
        <f t="shared" si="3"/>
        <v>85.4</v>
      </c>
      <c r="G43" s="69">
        <v>14.4</v>
      </c>
      <c r="H43" s="69">
        <v>12.3</v>
      </c>
      <c r="I43" s="69">
        <v>10.8</v>
      </c>
      <c r="J43" s="69">
        <v>9.4</v>
      </c>
      <c r="K43" s="69"/>
      <c r="L43" s="69"/>
    </row>
    <row r="44" spans="1:12" ht="31.5" x14ac:dyDescent="0.25">
      <c r="A44" s="9">
        <f t="shared" si="5"/>
        <v>37</v>
      </c>
      <c r="B44" s="4" t="s">
        <v>107</v>
      </c>
      <c r="C44" s="69">
        <f t="shared" si="17"/>
        <v>0.9</v>
      </c>
      <c r="D44" s="69">
        <f t="shared" si="18"/>
        <v>0.5</v>
      </c>
      <c r="E44" s="69">
        <f t="shared" si="6"/>
        <v>-0.4</v>
      </c>
      <c r="F44" s="69">
        <f t="shared" si="3"/>
        <v>55.6</v>
      </c>
      <c r="G44" s="69">
        <v>0.9</v>
      </c>
      <c r="H44" s="69">
        <v>0.5</v>
      </c>
      <c r="I44" s="69">
        <v>0.7</v>
      </c>
      <c r="J44" s="69">
        <v>0.4</v>
      </c>
      <c r="K44" s="69"/>
      <c r="L44" s="69"/>
    </row>
    <row r="45" spans="1:12" ht="15.75" x14ac:dyDescent="0.25">
      <c r="A45" s="9">
        <f t="shared" si="5"/>
        <v>38</v>
      </c>
      <c r="B45" s="4" t="s">
        <v>29</v>
      </c>
      <c r="C45" s="69">
        <f t="shared" si="17"/>
        <v>1.2</v>
      </c>
      <c r="D45" s="69">
        <f t="shared" si="18"/>
        <v>1</v>
      </c>
      <c r="E45" s="69">
        <f t="shared" si="6"/>
        <v>-0.2</v>
      </c>
      <c r="F45" s="69">
        <f t="shared" si="3"/>
        <v>83.3</v>
      </c>
      <c r="G45" s="69">
        <v>1.2</v>
      </c>
      <c r="H45" s="69">
        <v>1</v>
      </c>
      <c r="I45" s="69">
        <v>0.9</v>
      </c>
      <c r="J45" s="69">
        <v>0.8</v>
      </c>
      <c r="K45" s="69"/>
      <c r="L45" s="69"/>
    </row>
    <row r="46" spans="1:12" ht="47.25" x14ac:dyDescent="0.25">
      <c r="A46" s="9">
        <f t="shared" si="5"/>
        <v>39</v>
      </c>
      <c r="B46" s="10" t="s">
        <v>267</v>
      </c>
      <c r="C46" s="69">
        <f t="shared" si="17"/>
        <v>3</v>
      </c>
      <c r="D46" s="69">
        <f t="shared" si="18"/>
        <v>2.9</v>
      </c>
      <c r="E46" s="69">
        <f t="shared" si="6"/>
        <v>-0.1</v>
      </c>
      <c r="F46" s="69">
        <f t="shared" si="3"/>
        <v>96.7</v>
      </c>
      <c r="G46" s="69">
        <v>3</v>
      </c>
      <c r="H46" s="69">
        <v>2.9</v>
      </c>
      <c r="I46" s="69">
        <v>2.2999999999999998</v>
      </c>
      <c r="J46" s="69">
        <v>2.2000000000000002</v>
      </c>
      <c r="K46" s="69"/>
      <c r="L46" s="69"/>
    </row>
    <row r="47" spans="1:12" ht="31.5" x14ac:dyDescent="0.25">
      <c r="A47" s="9">
        <f t="shared" si="5"/>
        <v>40</v>
      </c>
      <c r="B47" s="4" t="s">
        <v>62</v>
      </c>
      <c r="C47" s="59">
        <f t="shared" si="17"/>
        <v>150</v>
      </c>
      <c r="D47" s="59">
        <f t="shared" si="18"/>
        <v>47.2</v>
      </c>
      <c r="E47" s="59">
        <f t="shared" si="6"/>
        <v>-102.8</v>
      </c>
      <c r="F47" s="59">
        <f t="shared" si="3"/>
        <v>31.5</v>
      </c>
      <c r="G47" s="59">
        <f>150-93</f>
        <v>57</v>
      </c>
      <c r="H47" s="59">
        <v>47.2</v>
      </c>
      <c r="I47" s="59"/>
      <c r="J47" s="59"/>
      <c r="K47" s="59">
        <v>93</v>
      </c>
      <c r="L47" s="59"/>
    </row>
    <row r="48" spans="1:12" ht="47.25" x14ac:dyDescent="0.25">
      <c r="A48" s="9">
        <f t="shared" si="5"/>
        <v>41</v>
      </c>
      <c r="B48" s="8" t="s">
        <v>63</v>
      </c>
      <c r="C48" s="59">
        <f t="shared" si="17"/>
        <v>768.6</v>
      </c>
      <c r="D48" s="59">
        <f t="shared" si="18"/>
        <v>652.6</v>
      </c>
      <c r="E48" s="59">
        <f t="shared" si="6"/>
        <v>-116</v>
      </c>
      <c r="F48" s="59">
        <f t="shared" si="3"/>
        <v>84.9</v>
      </c>
      <c r="G48" s="59">
        <f>768.6-567.6</f>
        <v>201</v>
      </c>
      <c r="H48" s="59">
        <f>652.6-457.6</f>
        <v>195</v>
      </c>
      <c r="I48" s="59"/>
      <c r="J48" s="59"/>
      <c r="K48" s="59">
        <f>110+457.6</f>
        <v>567.6</v>
      </c>
      <c r="L48" s="59">
        <v>457.6</v>
      </c>
    </row>
    <row r="49" spans="1:12" ht="31.5" x14ac:dyDescent="0.25">
      <c r="A49" s="9">
        <f t="shared" si="5"/>
        <v>42</v>
      </c>
      <c r="B49" s="15" t="s">
        <v>193</v>
      </c>
      <c r="C49" s="59">
        <f t="shared" si="17"/>
        <v>124.4</v>
      </c>
      <c r="D49" s="59">
        <f t="shared" si="18"/>
        <v>104.5</v>
      </c>
      <c r="E49" s="59">
        <f t="shared" si="6"/>
        <v>-19.899999999999999</v>
      </c>
      <c r="F49" s="59">
        <f t="shared" si="3"/>
        <v>84</v>
      </c>
      <c r="G49" s="59">
        <v>124.4</v>
      </c>
      <c r="H49" s="59">
        <v>104.5</v>
      </c>
      <c r="I49" s="59">
        <v>7.2</v>
      </c>
      <c r="J49" s="59">
        <v>7.1</v>
      </c>
      <c r="K49" s="59"/>
      <c r="L49" s="59"/>
    </row>
    <row r="50" spans="1:12" ht="31.5" x14ac:dyDescent="0.25">
      <c r="A50" s="9">
        <f t="shared" si="5"/>
        <v>43</v>
      </c>
      <c r="B50" s="28" t="s">
        <v>169</v>
      </c>
      <c r="C50" s="59">
        <f t="shared" si="17"/>
        <v>38.299999999999997</v>
      </c>
      <c r="D50" s="59">
        <f t="shared" si="18"/>
        <v>38.299999999999997</v>
      </c>
      <c r="E50" s="59">
        <f t="shared" si="6"/>
        <v>0</v>
      </c>
      <c r="F50" s="59">
        <f t="shared" si="3"/>
        <v>100</v>
      </c>
      <c r="G50" s="59"/>
      <c r="H50" s="59"/>
      <c r="I50" s="59"/>
      <c r="J50" s="59"/>
      <c r="K50" s="59">
        <v>38.299999999999997</v>
      </c>
      <c r="L50" s="59">
        <v>38.299999999999997</v>
      </c>
    </row>
    <row r="51" spans="1:12" ht="31.5" x14ac:dyDescent="0.25">
      <c r="A51" s="9">
        <f t="shared" si="5"/>
        <v>44</v>
      </c>
      <c r="B51" s="8" t="s">
        <v>189</v>
      </c>
      <c r="C51" s="59">
        <f t="shared" si="17"/>
        <v>12</v>
      </c>
      <c r="D51" s="59">
        <f t="shared" si="18"/>
        <v>12</v>
      </c>
      <c r="E51" s="59">
        <f t="shared" si="6"/>
        <v>0</v>
      </c>
      <c r="F51" s="59">
        <f t="shared" si="3"/>
        <v>100</v>
      </c>
      <c r="G51" s="59"/>
      <c r="H51" s="59"/>
      <c r="I51" s="59"/>
      <c r="J51" s="59"/>
      <c r="K51" s="59">
        <v>12</v>
      </c>
      <c r="L51" s="59">
        <v>12</v>
      </c>
    </row>
    <row r="52" spans="1:12" ht="15.75" x14ac:dyDescent="0.25">
      <c r="A52" s="9">
        <f t="shared" si="5"/>
        <v>45</v>
      </c>
      <c r="B52" s="7" t="s">
        <v>178</v>
      </c>
      <c r="C52" s="59">
        <f>+C54+C55</f>
        <v>1220</v>
      </c>
      <c r="D52" s="59">
        <f t="shared" ref="D52:L52" si="20">+D54+D55</f>
        <v>1021.5</v>
      </c>
      <c r="E52" s="59">
        <f t="shared" si="20"/>
        <v>-198.5</v>
      </c>
      <c r="F52" s="59">
        <f t="shared" si="3"/>
        <v>83.7</v>
      </c>
      <c r="G52" s="59">
        <f t="shared" si="20"/>
        <v>0</v>
      </c>
      <c r="H52" s="59">
        <f t="shared" si="20"/>
        <v>0</v>
      </c>
      <c r="I52" s="59">
        <f t="shared" si="20"/>
        <v>0</v>
      </c>
      <c r="J52" s="59">
        <f t="shared" si="20"/>
        <v>0</v>
      </c>
      <c r="K52" s="59">
        <f t="shared" si="20"/>
        <v>1220</v>
      </c>
      <c r="L52" s="59">
        <f t="shared" si="20"/>
        <v>1021.5</v>
      </c>
    </row>
    <row r="53" spans="1:12" ht="15.75" x14ac:dyDescent="0.25">
      <c r="A53" s="9">
        <f t="shared" si="5"/>
        <v>46</v>
      </c>
      <c r="B53" s="12" t="s">
        <v>2</v>
      </c>
      <c r="C53" s="69">
        <f t="shared" si="17"/>
        <v>0</v>
      </c>
      <c r="D53" s="69">
        <f t="shared" si="18"/>
        <v>0</v>
      </c>
      <c r="E53" s="69">
        <f t="shared" si="6"/>
        <v>0</v>
      </c>
      <c r="F53" s="69"/>
      <c r="G53" s="69"/>
      <c r="H53" s="69"/>
      <c r="I53" s="69"/>
      <c r="J53" s="69"/>
      <c r="K53" s="69"/>
      <c r="L53" s="69"/>
    </row>
    <row r="54" spans="1:12" ht="31.5" x14ac:dyDescent="0.25">
      <c r="A54" s="9">
        <f t="shared" si="5"/>
        <v>47</v>
      </c>
      <c r="B54" s="8" t="s">
        <v>76</v>
      </c>
      <c r="C54" s="69">
        <f t="shared" si="17"/>
        <v>1170</v>
      </c>
      <c r="D54" s="69">
        <f t="shared" si="18"/>
        <v>971.5</v>
      </c>
      <c r="E54" s="69">
        <f t="shared" si="6"/>
        <v>-198.5</v>
      </c>
      <c r="F54" s="69">
        <f t="shared" si="3"/>
        <v>83</v>
      </c>
      <c r="G54" s="69"/>
      <c r="H54" s="69"/>
      <c r="I54" s="69"/>
      <c r="J54" s="69"/>
      <c r="K54" s="69">
        <f>820+350</f>
        <v>1170</v>
      </c>
      <c r="L54" s="69">
        <f>621.5+350</f>
        <v>971.5</v>
      </c>
    </row>
    <row r="55" spans="1:12" ht="63" x14ac:dyDescent="0.25">
      <c r="A55" s="9">
        <f t="shared" si="5"/>
        <v>48</v>
      </c>
      <c r="B55" s="8" t="s">
        <v>179</v>
      </c>
      <c r="C55" s="69">
        <f t="shared" si="17"/>
        <v>50</v>
      </c>
      <c r="D55" s="69">
        <f t="shared" si="18"/>
        <v>50</v>
      </c>
      <c r="E55" s="69">
        <f t="shared" si="6"/>
        <v>0</v>
      </c>
      <c r="F55" s="69">
        <f t="shared" si="3"/>
        <v>100</v>
      </c>
      <c r="G55" s="69"/>
      <c r="H55" s="69"/>
      <c r="I55" s="69"/>
      <c r="J55" s="69"/>
      <c r="K55" s="69">
        <v>50</v>
      </c>
      <c r="L55" s="69">
        <v>50</v>
      </c>
    </row>
    <row r="56" spans="1:12" ht="31.5" x14ac:dyDescent="0.25">
      <c r="A56" s="9">
        <f t="shared" si="5"/>
        <v>49</v>
      </c>
      <c r="B56" s="28" t="s">
        <v>185</v>
      </c>
      <c r="C56" s="59">
        <f t="shared" si="17"/>
        <v>680</v>
      </c>
      <c r="D56" s="59">
        <f t="shared" si="18"/>
        <v>680</v>
      </c>
      <c r="E56" s="59">
        <f t="shared" si="6"/>
        <v>0</v>
      </c>
      <c r="F56" s="59">
        <f t="shared" si="3"/>
        <v>100</v>
      </c>
      <c r="G56" s="59"/>
      <c r="H56" s="59"/>
      <c r="I56" s="59"/>
      <c r="J56" s="59"/>
      <c r="K56" s="59">
        <v>680</v>
      </c>
      <c r="L56" s="59">
        <v>680</v>
      </c>
    </row>
    <row r="57" spans="1:12" ht="15.75" x14ac:dyDescent="0.25">
      <c r="A57" s="9">
        <f t="shared" si="5"/>
        <v>50</v>
      </c>
      <c r="B57" s="11" t="s">
        <v>65</v>
      </c>
      <c r="C57" s="59">
        <f>+C58+C59+C60+C67+C68+C73+C77+C81+C82+C86+C91+C95</f>
        <v>23647.200000000001</v>
      </c>
      <c r="D57" s="59">
        <f>+D58+D59+D60+D67+D68+D73+D77+D81+D82+D86+D91+D95</f>
        <v>19345.7</v>
      </c>
      <c r="E57" s="59">
        <f t="shared" si="6"/>
        <v>-4301.5</v>
      </c>
      <c r="F57" s="59">
        <f t="shared" si="3"/>
        <v>81.8</v>
      </c>
      <c r="G57" s="59">
        <f t="shared" ref="G57:L57" si="21">+G58+G59+G60+G67+G68+G73+G77+G81+G82+G86+G91+G95</f>
        <v>1221</v>
      </c>
      <c r="H57" s="59">
        <f t="shared" si="21"/>
        <v>771</v>
      </c>
      <c r="I57" s="59">
        <f t="shared" si="21"/>
        <v>1.1000000000000001</v>
      </c>
      <c r="J57" s="59">
        <f t="shared" si="21"/>
        <v>0.1</v>
      </c>
      <c r="K57" s="59">
        <f t="shared" si="21"/>
        <v>22426.2</v>
      </c>
      <c r="L57" s="59">
        <f t="shared" si="21"/>
        <v>18574.7</v>
      </c>
    </row>
    <row r="58" spans="1:12" ht="31.5" x14ac:dyDescent="0.25">
      <c r="A58" s="9">
        <f t="shared" si="5"/>
        <v>51</v>
      </c>
      <c r="B58" s="28" t="s">
        <v>48</v>
      </c>
      <c r="C58" s="59">
        <f t="shared" ref="C58" si="22">+G58+K58</f>
        <v>42.7</v>
      </c>
      <c r="D58" s="59">
        <f t="shared" ref="D58" si="23">+H58+L58</f>
        <v>32.1</v>
      </c>
      <c r="E58" s="59">
        <f t="shared" si="6"/>
        <v>-10.6</v>
      </c>
      <c r="F58" s="59">
        <f t="shared" si="3"/>
        <v>75.2</v>
      </c>
      <c r="G58" s="59">
        <v>42.7</v>
      </c>
      <c r="H58" s="59">
        <v>32.1</v>
      </c>
      <c r="I58" s="59"/>
      <c r="J58" s="59"/>
      <c r="K58" s="59"/>
      <c r="L58" s="59"/>
    </row>
    <row r="59" spans="1:12" ht="31.5" x14ac:dyDescent="0.25">
      <c r="A59" s="9">
        <f t="shared" si="5"/>
        <v>52</v>
      </c>
      <c r="B59" s="11" t="s">
        <v>212</v>
      </c>
      <c r="C59" s="59">
        <f t="shared" ref="C59" si="24">+G59+K59</f>
        <v>678.3</v>
      </c>
      <c r="D59" s="59">
        <f t="shared" ref="D59" si="25">+H59+L59</f>
        <v>523.29999999999995</v>
      </c>
      <c r="E59" s="59">
        <f t="shared" si="6"/>
        <v>-155</v>
      </c>
      <c r="F59" s="59">
        <f t="shared" si="3"/>
        <v>77.099999999999994</v>
      </c>
      <c r="G59" s="59">
        <f>678.3-451.1</f>
        <v>227.2</v>
      </c>
      <c r="H59" s="59">
        <f>523.3-357.1</f>
        <v>166.2</v>
      </c>
      <c r="I59" s="59"/>
      <c r="J59" s="59"/>
      <c r="K59" s="59">
        <v>451.1</v>
      </c>
      <c r="L59" s="59">
        <v>357.1</v>
      </c>
    </row>
    <row r="60" spans="1:12" ht="15.75" x14ac:dyDescent="0.25">
      <c r="A60" s="9">
        <f t="shared" si="5"/>
        <v>53</v>
      </c>
      <c r="B60" s="28" t="s">
        <v>147</v>
      </c>
      <c r="C60" s="59">
        <f>+C62+C63</f>
        <v>241.6</v>
      </c>
      <c r="D60" s="59">
        <f>+D62+D63</f>
        <v>211.9</v>
      </c>
      <c r="E60" s="59">
        <f t="shared" si="6"/>
        <v>-29.7</v>
      </c>
      <c r="F60" s="59">
        <f t="shared" si="3"/>
        <v>87.7</v>
      </c>
      <c r="G60" s="59">
        <f t="shared" ref="G60:L60" si="26">+G62+G63</f>
        <v>241.6</v>
      </c>
      <c r="H60" s="59">
        <f t="shared" si="26"/>
        <v>211.9</v>
      </c>
      <c r="I60" s="59">
        <f t="shared" si="26"/>
        <v>0</v>
      </c>
      <c r="J60" s="59">
        <f t="shared" si="26"/>
        <v>0</v>
      </c>
      <c r="K60" s="59">
        <f t="shared" si="26"/>
        <v>0</v>
      </c>
      <c r="L60" s="59">
        <f t="shared" si="26"/>
        <v>0</v>
      </c>
    </row>
    <row r="61" spans="1:12" ht="15.75" x14ac:dyDescent="0.25">
      <c r="A61" s="9">
        <f t="shared" si="5"/>
        <v>54</v>
      </c>
      <c r="B61" s="12" t="s">
        <v>2</v>
      </c>
      <c r="C61" s="69">
        <f t="shared" ref="C61:C123" si="27">+G61+K61</f>
        <v>0</v>
      </c>
      <c r="D61" s="69">
        <f t="shared" ref="D61:D123" si="28">+H61+L61</f>
        <v>0</v>
      </c>
      <c r="E61" s="69">
        <f t="shared" si="6"/>
        <v>0</v>
      </c>
      <c r="F61" s="69"/>
      <c r="G61" s="69"/>
      <c r="H61" s="69"/>
      <c r="I61" s="69"/>
      <c r="J61" s="69"/>
      <c r="K61" s="69"/>
      <c r="L61" s="69"/>
    </row>
    <row r="62" spans="1:12" ht="31.5" x14ac:dyDescent="0.25">
      <c r="A62" s="9">
        <f t="shared" si="5"/>
        <v>55</v>
      </c>
      <c r="B62" s="4" t="s">
        <v>66</v>
      </c>
      <c r="C62" s="69">
        <f t="shared" si="27"/>
        <v>157.80000000000001</v>
      </c>
      <c r="D62" s="69">
        <f t="shared" si="28"/>
        <v>128.1</v>
      </c>
      <c r="E62" s="69">
        <f t="shared" si="6"/>
        <v>-29.7</v>
      </c>
      <c r="F62" s="69">
        <f t="shared" si="3"/>
        <v>81.2</v>
      </c>
      <c r="G62" s="69">
        <v>157.80000000000001</v>
      </c>
      <c r="H62" s="69">
        <v>128.1</v>
      </c>
      <c r="I62" s="69"/>
      <c r="J62" s="69"/>
      <c r="K62" s="69"/>
      <c r="L62" s="69"/>
    </row>
    <row r="63" spans="1:12" ht="63" x14ac:dyDescent="0.25">
      <c r="A63" s="9">
        <f t="shared" si="5"/>
        <v>56</v>
      </c>
      <c r="B63" s="28" t="s">
        <v>67</v>
      </c>
      <c r="C63" s="69">
        <f>+C65+C66</f>
        <v>83.8</v>
      </c>
      <c r="D63" s="69">
        <f>+D65+D66</f>
        <v>83.8</v>
      </c>
      <c r="E63" s="69">
        <f t="shared" si="6"/>
        <v>0</v>
      </c>
      <c r="F63" s="69">
        <f t="shared" si="3"/>
        <v>100</v>
      </c>
      <c r="G63" s="69">
        <f t="shared" ref="G63:L63" si="29">+G65+G66</f>
        <v>83.8</v>
      </c>
      <c r="H63" s="69">
        <f t="shared" si="29"/>
        <v>83.8</v>
      </c>
      <c r="I63" s="69">
        <f t="shared" si="29"/>
        <v>0</v>
      </c>
      <c r="J63" s="69">
        <f t="shared" si="29"/>
        <v>0</v>
      </c>
      <c r="K63" s="69">
        <f t="shared" si="29"/>
        <v>0</v>
      </c>
      <c r="L63" s="69">
        <f t="shared" si="29"/>
        <v>0</v>
      </c>
    </row>
    <row r="64" spans="1:12" ht="15.75" x14ac:dyDescent="0.25">
      <c r="A64" s="9">
        <f t="shared" si="5"/>
        <v>57</v>
      </c>
      <c r="B64" s="12" t="s">
        <v>2</v>
      </c>
      <c r="C64" s="69">
        <f t="shared" si="27"/>
        <v>0</v>
      </c>
      <c r="D64" s="69">
        <f t="shared" si="28"/>
        <v>0</v>
      </c>
      <c r="E64" s="69">
        <f t="shared" si="6"/>
        <v>0</v>
      </c>
      <c r="F64" s="69"/>
      <c r="G64" s="69"/>
      <c r="H64" s="69"/>
      <c r="I64" s="69"/>
      <c r="J64" s="69"/>
      <c r="K64" s="69"/>
      <c r="L64" s="69"/>
    </row>
    <row r="65" spans="1:12" ht="31.5" x14ac:dyDescent="0.25">
      <c r="A65" s="9">
        <f t="shared" si="5"/>
        <v>58</v>
      </c>
      <c r="B65" s="4" t="s">
        <v>24</v>
      </c>
      <c r="C65" s="69">
        <f t="shared" si="27"/>
        <v>79</v>
      </c>
      <c r="D65" s="69">
        <f t="shared" si="28"/>
        <v>79</v>
      </c>
      <c r="E65" s="69">
        <f t="shared" si="6"/>
        <v>0</v>
      </c>
      <c r="F65" s="69">
        <f t="shared" si="3"/>
        <v>100</v>
      </c>
      <c r="G65" s="69">
        <v>79</v>
      </c>
      <c r="H65" s="69">
        <v>79</v>
      </c>
      <c r="I65" s="69"/>
      <c r="J65" s="69"/>
      <c r="K65" s="69"/>
      <c r="L65" s="69"/>
    </row>
    <row r="66" spans="1:12" ht="15.75" x14ac:dyDescent="0.25">
      <c r="A66" s="9">
        <f t="shared" si="5"/>
        <v>59</v>
      </c>
      <c r="B66" s="4" t="s">
        <v>135</v>
      </c>
      <c r="C66" s="69">
        <f t="shared" si="27"/>
        <v>4.8</v>
      </c>
      <c r="D66" s="69">
        <f t="shared" si="28"/>
        <v>4.8</v>
      </c>
      <c r="E66" s="69">
        <f t="shared" si="6"/>
        <v>0</v>
      </c>
      <c r="F66" s="69">
        <f t="shared" si="3"/>
        <v>100</v>
      </c>
      <c r="G66" s="69">
        <v>4.8</v>
      </c>
      <c r="H66" s="69">
        <v>4.8</v>
      </c>
      <c r="I66" s="69"/>
      <c r="J66" s="69"/>
      <c r="K66" s="69"/>
      <c r="L66" s="69"/>
    </row>
    <row r="67" spans="1:12" ht="31.5" x14ac:dyDescent="0.25">
      <c r="A67" s="9">
        <f t="shared" si="5"/>
        <v>60</v>
      </c>
      <c r="B67" s="28" t="s">
        <v>194</v>
      </c>
      <c r="C67" s="59">
        <f t="shared" si="27"/>
        <v>445.8</v>
      </c>
      <c r="D67" s="59">
        <f t="shared" si="28"/>
        <v>288.2</v>
      </c>
      <c r="E67" s="59">
        <f t="shared" si="6"/>
        <v>-157.6</v>
      </c>
      <c r="F67" s="59">
        <f t="shared" si="3"/>
        <v>64.599999999999994</v>
      </c>
      <c r="G67" s="59">
        <f>445.8-103.6</f>
        <v>342.2</v>
      </c>
      <c r="H67" s="59">
        <f>288.2-14.7</f>
        <v>273.5</v>
      </c>
      <c r="I67" s="59"/>
      <c r="J67" s="59"/>
      <c r="K67" s="59">
        <v>103.6</v>
      </c>
      <c r="L67" s="59">
        <v>14.7</v>
      </c>
    </row>
    <row r="68" spans="1:12" ht="15.75" x14ac:dyDescent="0.25">
      <c r="A68" s="9">
        <f t="shared" si="5"/>
        <v>61</v>
      </c>
      <c r="B68" s="7" t="s">
        <v>68</v>
      </c>
      <c r="C68" s="59">
        <f>+C70+C71+C72</f>
        <v>205.6</v>
      </c>
      <c r="D68" s="59">
        <f>+D70+D71+D72</f>
        <v>36.200000000000003</v>
      </c>
      <c r="E68" s="59">
        <f t="shared" si="6"/>
        <v>-169.4</v>
      </c>
      <c r="F68" s="59">
        <f t="shared" si="3"/>
        <v>17.600000000000001</v>
      </c>
      <c r="G68" s="59">
        <f t="shared" ref="G68:L68" si="30">+G70+G71+G72</f>
        <v>34.799999999999997</v>
      </c>
      <c r="H68" s="59">
        <f t="shared" si="30"/>
        <v>17.100000000000001</v>
      </c>
      <c r="I68" s="59">
        <f t="shared" si="30"/>
        <v>0</v>
      </c>
      <c r="J68" s="59">
        <f t="shared" si="30"/>
        <v>0</v>
      </c>
      <c r="K68" s="59">
        <f t="shared" si="30"/>
        <v>170.8</v>
      </c>
      <c r="L68" s="59">
        <f t="shared" si="30"/>
        <v>19.100000000000001</v>
      </c>
    </row>
    <row r="69" spans="1:12" ht="15.75" x14ac:dyDescent="0.25">
      <c r="A69" s="9">
        <f t="shared" si="5"/>
        <v>62</v>
      </c>
      <c r="B69" s="63" t="s">
        <v>2</v>
      </c>
      <c r="C69" s="69">
        <f t="shared" si="27"/>
        <v>0</v>
      </c>
      <c r="D69" s="69">
        <f t="shared" si="28"/>
        <v>0</v>
      </c>
      <c r="E69" s="69">
        <f t="shared" si="6"/>
        <v>0</v>
      </c>
      <c r="F69" s="69"/>
      <c r="G69" s="69"/>
      <c r="H69" s="69"/>
      <c r="I69" s="69"/>
      <c r="J69" s="69"/>
      <c r="K69" s="69"/>
      <c r="L69" s="69"/>
    </row>
    <row r="70" spans="1:12" ht="31.5" x14ac:dyDescent="0.25">
      <c r="A70" s="9">
        <f t="shared" si="5"/>
        <v>63</v>
      </c>
      <c r="B70" s="8" t="s">
        <v>128</v>
      </c>
      <c r="C70" s="69">
        <f t="shared" si="27"/>
        <v>125.1</v>
      </c>
      <c r="D70" s="69">
        <f t="shared" si="28"/>
        <v>4.7</v>
      </c>
      <c r="E70" s="69">
        <f t="shared" si="6"/>
        <v>-120.4</v>
      </c>
      <c r="F70" s="69">
        <f t="shared" si="3"/>
        <v>3.8</v>
      </c>
      <c r="G70" s="69">
        <f>125.1-108.6</f>
        <v>16.5</v>
      </c>
      <c r="H70" s="69">
        <f>4.7-2.1</f>
        <v>2.6</v>
      </c>
      <c r="I70" s="69"/>
      <c r="J70" s="69"/>
      <c r="K70" s="69">
        <v>108.6</v>
      </c>
      <c r="L70" s="69">
        <v>2.1</v>
      </c>
    </row>
    <row r="71" spans="1:12" ht="31.5" x14ac:dyDescent="0.25">
      <c r="A71" s="9">
        <f t="shared" si="5"/>
        <v>64</v>
      </c>
      <c r="B71" s="8" t="s">
        <v>159</v>
      </c>
      <c r="C71" s="69">
        <f t="shared" si="27"/>
        <v>48.3</v>
      </c>
      <c r="D71" s="69">
        <f t="shared" si="28"/>
        <v>14.5</v>
      </c>
      <c r="E71" s="69">
        <f t="shared" si="6"/>
        <v>-33.799999999999997</v>
      </c>
      <c r="F71" s="69">
        <f t="shared" si="3"/>
        <v>30</v>
      </c>
      <c r="G71" s="69">
        <f>48.3-30</f>
        <v>18.3</v>
      </c>
      <c r="H71" s="69">
        <v>14.5</v>
      </c>
      <c r="I71" s="69"/>
      <c r="J71" s="69"/>
      <c r="K71" s="69">
        <v>30</v>
      </c>
      <c r="L71" s="69"/>
    </row>
    <row r="72" spans="1:12" ht="15.75" x14ac:dyDescent="0.25">
      <c r="A72" s="9">
        <f t="shared" si="5"/>
        <v>65</v>
      </c>
      <c r="B72" s="4" t="s">
        <v>70</v>
      </c>
      <c r="C72" s="69">
        <f t="shared" si="27"/>
        <v>32.200000000000003</v>
      </c>
      <c r="D72" s="69">
        <f t="shared" si="28"/>
        <v>17</v>
      </c>
      <c r="E72" s="69">
        <f t="shared" si="6"/>
        <v>-15.2</v>
      </c>
      <c r="F72" s="69">
        <f t="shared" si="3"/>
        <v>52.8</v>
      </c>
      <c r="G72" s="69"/>
      <c r="H72" s="69"/>
      <c r="I72" s="69"/>
      <c r="J72" s="69"/>
      <c r="K72" s="69">
        <v>32.200000000000003</v>
      </c>
      <c r="L72" s="69">
        <v>17</v>
      </c>
    </row>
    <row r="73" spans="1:12" ht="31.5" x14ac:dyDescent="0.25">
      <c r="A73" s="9">
        <f t="shared" si="5"/>
        <v>66</v>
      </c>
      <c r="B73" s="28" t="s">
        <v>161</v>
      </c>
      <c r="C73" s="59">
        <f>+C75+C76</f>
        <v>3448.2</v>
      </c>
      <c r="D73" s="59">
        <f>+D75+D76</f>
        <v>1581.9</v>
      </c>
      <c r="E73" s="59">
        <f t="shared" ref="E73:E136" si="31">+D73-C73</f>
        <v>-1866.3</v>
      </c>
      <c r="F73" s="59">
        <f t="shared" ref="F73:F136" si="32">+D73/C73*100</f>
        <v>45.9</v>
      </c>
      <c r="G73" s="59">
        <f t="shared" ref="G73:L73" si="33">+G75+G76</f>
        <v>34.5</v>
      </c>
      <c r="H73" s="59">
        <f t="shared" si="33"/>
        <v>27.6</v>
      </c>
      <c r="I73" s="59">
        <f t="shared" si="33"/>
        <v>1.1000000000000001</v>
      </c>
      <c r="J73" s="59">
        <f t="shared" si="33"/>
        <v>0.1</v>
      </c>
      <c r="K73" s="59">
        <f t="shared" si="33"/>
        <v>3413.7</v>
      </c>
      <c r="L73" s="59">
        <f t="shared" si="33"/>
        <v>1554.3</v>
      </c>
    </row>
    <row r="74" spans="1:12" ht="15.75" x14ac:dyDescent="0.25">
      <c r="A74" s="9">
        <f t="shared" ref="A74:A137" si="34">+A73+1</f>
        <v>67</v>
      </c>
      <c r="B74" s="63" t="s">
        <v>2</v>
      </c>
      <c r="C74" s="69">
        <f t="shared" si="27"/>
        <v>0</v>
      </c>
      <c r="D74" s="69">
        <f t="shared" si="28"/>
        <v>0</v>
      </c>
      <c r="E74" s="69">
        <f t="shared" si="31"/>
        <v>0</v>
      </c>
      <c r="F74" s="69"/>
      <c r="G74" s="69"/>
      <c r="H74" s="69"/>
      <c r="I74" s="69"/>
      <c r="J74" s="69"/>
      <c r="K74" s="69"/>
      <c r="L74" s="69"/>
    </row>
    <row r="75" spans="1:12" ht="31.5" x14ac:dyDescent="0.25">
      <c r="A75" s="9">
        <f t="shared" si="34"/>
        <v>68</v>
      </c>
      <c r="B75" s="4" t="s">
        <v>160</v>
      </c>
      <c r="C75" s="69">
        <f t="shared" si="27"/>
        <v>1616</v>
      </c>
      <c r="D75" s="69">
        <f t="shared" si="28"/>
        <v>82.9</v>
      </c>
      <c r="E75" s="69">
        <f t="shared" si="31"/>
        <v>-1533.1</v>
      </c>
      <c r="F75" s="69">
        <f t="shared" si="32"/>
        <v>5.0999999999999996</v>
      </c>
      <c r="G75" s="69">
        <f>1583.7-1549.2</f>
        <v>34.5</v>
      </c>
      <c r="H75" s="69">
        <f>73.9-46.3</f>
        <v>27.6</v>
      </c>
      <c r="I75" s="69">
        <v>1.1000000000000001</v>
      </c>
      <c r="J75" s="69">
        <v>0.1</v>
      </c>
      <c r="K75" s="69">
        <f>1549.2+15+17.3</f>
        <v>1581.5</v>
      </c>
      <c r="L75" s="69">
        <f>46.3+9.1-0.1</f>
        <v>55.3</v>
      </c>
    </row>
    <row r="76" spans="1:12" ht="78.75" x14ac:dyDescent="0.25">
      <c r="A76" s="9">
        <f t="shared" si="34"/>
        <v>69</v>
      </c>
      <c r="B76" s="4" t="s">
        <v>180</v>
      </c>
      <c r="C76" s="69">
        <f t="shared" si="27"/>
        <v>1832.2</v>
      </c>
      <c r="D76" s="69">
        <f t="shared" si="28"/>
        <v>1499</v>
      </c>
      <c r="E76" s="69">
        <f t="shared" si="31"/>
        <v>-333.2</v>
      </c>
      <c r="F76" s="69">
        <f t="shared" si="32"/>
        <v>81.8</v>
      </c>
      <c r="G76" s="69"/>
      <c r="H76" s="69"/>
      <c r="I76" s="69"/>
      <c r="J76" s="69"/>
      <c r="K76" s="69">
        <v>1832.2</v>
      </c>
      <c r="L76" s="69">
        <f>1498.9+0.1</f>
        <v>1499</v>
      </c>
    </row>
    <row r="77" spans="1:12" ht="31.5" x14ac:dyDescent="0.25">
      <c r="A77" s="9">
        <f t="shared" si="34"/>
        <v>70</v>
      </c>
      <c r="B77" s="28" t="s">
        <v>142</v>
      </c>
      <c r="C77" s="59">
        <f>+C79+C80</f>
        <v>688.7</v>
      </c>
      <c r="D77" s="59">
        <f>+D79+D80</f>
        <v>500.4</v>
      </c>
      <c r="E77" s="59">
        <f t="shared" si="31"/>
        <v>-188.3</v>
      </c>
      <c r="F77" s="59">
        <f t="shared" si="32"/>
        <v>72.7</v>
      </c>
      <c r="G77" s="59">
        <f t="shared" ref="G77:L77" si="35">+G79+G80</f>
        <v>0</v>
      </c>
      <c r="H77" s="59">
        <f t="shared" si="35"/>
        <v>0</v>
      </c>
      <c r="I77" s="59">
        <f t="shared" si="35"/>
        <v>0</v>
      </c>
      <c r="J77" s="59">
        <f t="shared" si="35"/>
        <v>0</v>
      </c>
      <c r="K77" s="59">
        <f t="shared" si="35"/>
        <v>688.7</v>
      </c>
      <c r="L77" s="59">
        <f t="shared" si="35"/>
        <v>500.4</v>
      </c>
    </row>
    <row r="78" spans="1:12" ht="15.75" x14ac:dyDescent="0.25">
      <c r="A78" s="9">
        <f t="shared" si="34"/>
        <v>71</v>
      </c>
      <c r="B78" s="63" t="s">
        <v>2</v>
      </c>
      <c r="C78" s="69">
        <f t="shared" si="27"/>
        <v>0</v>
      </c>
      <c r="D78" s="69">
        <f t="shared" si="28"/>
        <v>0</v>
      </c>
      <c r="E78" s="69">
        <f t="shared" si="31"/>
        <v>0</v>
      </c>
      <c r="F78" s="69"/>
      <c r="G78" s="69"/>
      <c r="H78" s="69"/>
      <c r="I78" s="69"/>
      <c r="J78" s="69"/>
      <c r="K78" s="69"/>
      <c r="L78" s="69"/>
    </row>
    <row r="79" spans="1:12" ht="47.25" x14ac:dyDescent="0.25">
      <c r="A79" s="9">
        <f t="shared" si="34"/>
        <v>72</v>
      </c>
      <c r="B79" s="4" t="s">
        <v>71</v>
      </c>
      <c r="C79" s="69">
        <f t="shared" si="27"/>
        <v>231.4</v>
      </c>
      <c r="D79" s="69">
        <f t="shared" si="28"/>
        <v>43.1</v>
      </c>
      <c r="E79" s="69">
        <f t="shared" si="31"/>
        <v>-188.3</v>
      </c>
      <c r="F79" s="69">
        <f t="shared" si="32"/>
        <v>18.600000000000001</v>
      </c>
      <c r="G79" s="69"/>
      <c r="H79" s="69"/>
      <c r="I79" s="69"/>
      <c r="J79" s="69"/>
      <c r="K79" s="69">
        <v>231.4</v>
      </c>
      <c r="L79" s="69">
        <v>43.1</v>
      </c>
    </row>
    <row r="80" spans="1:12" ht="78.75" x14ac:dyDescent="0.25">
      <c r="A80" s="9">
        <f t="shared" si="34"/>
        <v>73</v>
      </c>
      <c r="B80" s="4" t="s">
        <v>181</v>
      </c>
      <c r="C80" s="69">
        <f t="shared" si="27"/>
        <v>457.3</v>
      </c>
      <c r="D80" s="69">
        <f t="shared" si="28"/>
        <v>457.3</v>
      </c>
      <c r="E80" s="69">
        <f t="shared" si="31"/>
        <v>0</v>
      </c>
      <c r="F80" s="69">
        <f t="shared" si="32"/>
        <v>100</v>
      </c>
      <c r="G80" s="69"/>
      <c r="H80" s="69"/>
      <c r="I80" s="69"/>
      <c r="J80" s="69"/>
      <c r="K80" s="69">
        <v>457.3</v>
      </c>
      <c r="L80" s="69">
        <v>457.3</v>
      </c>
    </row>
    <row r="81" spans="1:12" ht="31.5" x14ac:dyDescent="0.25">
      <c r="A81" s="9">
        <f t="shared" si="34"/>
        <v>74</v>
      </c>
      <c r="B81" s="28" t="s">
        <v>148</v>
      </c>
      <c r="C81" s="59">
        <f t="shared" si="27"/>
        <v>177.4</v>
      </c>
      <c r="D81" s="59">
        <f t="shared" si="28"/>
        <v>33.6</v>
      </c>
      <c r="E81" s="59">
        <f t="shared" si="31"/>
        <v>-143.80000000000001</v>
      </c>
      <c r="F81" s="59">
        <f t="shared" si="32"/>
        <v>18.899999999999999</v>
      </c>
      <c r="G81" s="59">
        <v>155.4</v>
      </c>
      <c r="H81" s="59">
        <v>13.5</v>
      </c>
      <c r="I81" s="59"/>
      <c r="J81" s="59"/>
      <c r="K81" s="59">
        <v>22</v>
      </c>
      <c r="L81" s="59">
        <v>20.100000000000001</v>
      </c>
    </row>
    <row r="82" spans="1:12" ht="15.75" x14ac:dyDescent="0.25">
      <c r="A82" s="9">
        <f t="shared" si="34"/>
        <v>75</v>
      </c>
      <c r="B82" s="28" t="s">
        <v>72</v>
      </c>
      <c r="C82" s="59">
        <f>+C84+C85</f>
        <v>576.70000000000005</v>
      </c>
      <c r="D82" s="59">
        <f>+D84+D85</f>
        <v>381</v>
      </c>
      <c r="E82" s="59">
        <f t="shared" si="31"/>
        <v>-195.7</v>
      </c>
      <c r="F82" s="59">
        <f t="shared" si="32"/>
        <v>66.099999999999994</v>
      </c>
      <c r="G82" s="59">
        <f t="shared" ref="G82:L82" si="36">+G84+G85</f>
        <v>0</v>
      </c>
      <c r="H82" s="59">
        <f t="shared" si="36"/>
        <v>0</v>
      </c>
      <c r="I82" s="59">
        <f t="shared" si="36"/>
        <v>0</v>
      </c>
      <c r="J82" s="59">
        <f t="shared" si="36"/>
        <v>0</v>
      </c>
      <c r="K82" s="59">
        <f t="shared" si="36"/>
        <v>576.70000000000005</v>
      </c>
      <c r="L82" s="59">
        <f t="shared" si="36"/>
        <v>381</v>
      </c>
    </row>
    <row r="83" spans="1:12" ht="15.75" x14ac:dyDescent="0.25">
      <c r="A83" s="9">
        <f t="shared" si="34"/>
        <v>76</v>
      </c>
      <c r="B83" s="63" t="s">
        <v>2</v>
      </c>
      <c r="C83" s="69">
        <f t="shared" si="27"/>
        <v>0</v>
      </c>
      <c r="D83" s="69">
        <f t="shared" si="28"/>
        <v>0</v>
      </c>
      <c r="E83" s="69">
        <f t="shared" si="31"/>
        <v>0</v>
      </c>
      <c r="F83" s="69"/>
      <c r="G83" s="69"/>
      <c r="H83" s="69"/>
      <c r="I83" s="69"/>
      <c r="J83" s="69"/>
      <c r="K83" s="69"/>
      <c r="L83" s="69"/>
    </row>
    <row r="84" spans="1:12" ht="31.5" x14ac:dyDescent="0.25">
      <c r="A84" s="9">
        <f t="shared" si="34"/>
        <v>77</v>
      </c>
      <c r="B84" s="4" t="s">
        <v>73</v>
      </c>
      <c r="C84" s="69">
        <f t="shared" si="27"/>
        <v>472.7</v>
      </c>
      <c r="D84" s="69">
        <f t="shared" si="28"/>
        <v>277</v>
      </c>
      <c r="E84" s="69">
        <f t="shared" si="31"/>
        <v>-195.7</v>
      </c>
      <c r="F84" s="69">
        <f t="shared" si="32"/>
        <v>58.6</v>
      </c>
      <c r="G84" s="69"/>
      <c r="H84" s="69"/>
      <c r="I84" s="69"/>
      <c r="J84" s="69"/>
      <c r="K84" s="69">
        <v>472.7</v>
      </c>
      <c r="L84" s="69">
        <v>277</v>
      </c>
    </row>
    <row r="85" spans="1:12" ht="63" x14ac:dyDescent="0.25">
      <c r="A85" s="9">
        <f t="shared" si="34"/>
        <v>78</v>
      </c>
      <c r="B85" s="4" t="s">
        <v>211</v>
      </c>
      <c r="C85" s="69">
        <f t="shared" si="27"/>
        <v>104</v>
      </c>
      <c r="D85" s="69">
        <f t="shared" si="28"/>
        <v>104</v>
      </c>
      <c r="E85" s="69">
        <f t="shared" si="31"/>
        <v>0</v>
      </c>
      <c r="F85" s="69">
        <f t="shared" si="32"/>
        <v>100</v>
      </c>
      <c r="G85" s="69"/>
      <c r="H85" s="69"/>
      <c r="I85" s="69"/>
      <c r="J85" s="69"/>
      <c r="K85" s="69">
        <v>104</v>
      </c>
      <c r="L85" s="69">
        <v>104</v>
      </c>
    </row>
    <row r="86" spans="1:12" ht="15.75" x14ac:dyDescent="0.25">
      <c r="A86" s="9">
        <f t="shared" si="34"/>
        <v>79</v>
      </c>
      <c r="B86" s="7" t="s">
        <v>74</v>
      </c>
      <c r="C86" s="59">
        <f>+C88+C89+C90</f>
        <v>15421.4</v>
      </c>
      <c r="D86" s="59">
        <f>+D88+D89+D90</f>
        <v>14642</v>
      </c>
      <c r="E86" s="59">
        <f t="shared" si="31"/>
        <v>-779.4</v>
      </c>
      <c r="F86" s="59">
        <f t="shared" si="32"/>
        <v>94.9</v>
      </c>
      <c r="G86" s="59">
        <f t="shared" ref="G86:L86" si="37">+G88+G89+G90</f>
        <v>16</v>
      </c>
      <c r="H86" s="59">
        <f t="shared" si="37"/>
        <v>14</v>
      </c>
      <c r="I86" s="59">
        <f t="shared" si="37"/>
        <v>0</v>
      </c>
      <c r="J86" s="59">
        <f t="shared" si="37"/>
        <v>0</v>
      </c>
      <c r="K86" s="59">
        <f t="shared" si="37"/>
        <v>15405.4</v>
      </c>
      <c r="L86" s="59">
        <f t="shared" si="37"/>
        <v>14628</v>
      </c>
    </row>
    <row r="87" spans="1:12" ht="15.75" x14ac:dyDescent="0.25">
      <c r="A87" s="9">
        <f t="shared" si="34"/>
        <v>80</v>
      </c>
      <c r="B87" s="63" t="s">
        <v>2</v>
      </c>
      <c r="C87" s="69">
        <f t="shared" si="27"/>
        <v>0</v>
      </c>
      <c r="D87" s="69">
        <f t="shared" si="28"/>
        <v>0</v>
      </c>
      <c r="E87" s="69">
        <f t="shared" si="31"/>
        <v>0</v>
      </c>
      <c r="F87" s="69"/>
      <c r="G87" s="69"/>
      <c r="H87" s="69"/>
      <c r="I87" s="69"/>
      <c r="J87" s="69"/>
      <c r="K87" s="69"/>
      <c r="L87" s="69"/>
    </row>
    <row r="88" spans="1:12" ht="31.5" x14ac:dyDescent="0.25">
      <c r="A88" s="9">
        <f t="shared" si="34"/>
        <v>81</v>
      </c>
      <c r="B88" s="8" t="s">
        <v>75</v>
      </c>
      <c r="C88" s="69">
        <f t="shared" si="27"/>
        <v>2759.8</v>
      </c>
      <c r="D88" s="69">
        <f t="shared" si="28"/>
        <v>2643.5</v>
      </c>
      <c r="E88" s="69">
        <f t="shared" si="31"/>
        <v>-116.3</v>
      </c>
      <c r="F88" s="69">
        <f t="shared" si="32"/>
        <v>95.8</v>
      </c>
      <c r="G88" s="69">
        <f>2759.8-60-2683.8</f>
        <v>16</v>
      </c>
      <c r="H88" s="69">
        <v>14</v>
      </c>
      <c r="I88" s="69"/>
      <c r="J88" s="69"/>
      <c r="K88" s="69">
        <f>60+2683.8</f>
        <v>2743.8</v>
      </c>
      <c r="L88" s="69">
        <f>9.7+2619.8</f>
        <v>2629.5</v>
      </c>
    </row>
    <row r="89" spans="1:12" ht="63" x14ac:dyDescent="0.25">
      <c r="A89" s="9">
        <f t="shared" si="34"/>
        <v>82</v>
      </c>
      <c r="B89" s="8" t="s">
        <v>195</v>
      </c>
      <c r="C89" s="69">
        <f t="shared" si="27"/>
        <v>76.599999999999994</v>
      </c>
      <c r="D89" s="69">
        <f t="shared" si="28"/>
        <v>76.599999999999994</v>
      </c>
      <c r="E89" s="69">
        <f t="shared" si="31"/>
        <v>0</v>
      </c>
      <c r="F89" s="69">
        <f t="shared" si="32"/>
        <v>100</v>
      </c>
      <c r="G89" s="69"/>
      <c r="H89" s="69"/>
      <c r="I89" s="69"/>
      <c r="J89" s="69"/>
      <c r="K89" s="69">
        <v>76.599999999999994</v>
      </c>
      <c r="L89" s="69">
        <v>76.599999999999994</v>
      </c>
    </row>
    <row r="90" spans="1:12" ht="31.5" x14ac:dyDescent="0.25">
      <c r="A90" s="9">
        <f t="shared" si="34"/>
        <v>83</v>
      </c>
      <c r="B90" s="8" t="s">
        <v>164</v>
      </c>
      <c r="C90" s="69">
        <f t="shared" si="27"/>
        <v>12585</v>
      </c>
      <c r="D90" s="69">
        <f t="shared" si="28"/>
        <v>11921.9</v>
      </c>
      <c r="E90" s="69">
        <f t="shared" si="31"/>
        <v>-663.1</v>
      </c>
      <c r="F90" s="69">
        <f t="shared" si="32"/>
        <v>94.7</v>
      </c>
      <c r="G90" s="69"/>
      <c r="H90" s="69"/>
      <c r="I90" s="69"/>
      <c r="J90" s="69"/>
      <c r="K90" s="69">
        <f>11564.6+1020.4</f>
        <v>12585</v>
      </c>
      <c r="L90" s="69">
        <f>10955.3+966.6</f>
        <v>11921.9</v>
      </c>
    </row>
    <row r="91" spans="1:12" ht="15.75" x14ac:dyDescent="0.25">
      <c r="A91" s="9">
        <f t="shared" si="34"/>
        <v>84</v>
      </c>
      <c r="B91" s="7" t="s">
        <v>165</v>
      </c>
      <c r="C91" s="59">
        <f>+C93+C94</f>
        <v>662.8</v>
      </c>
      <c r="D91" s="59">
        <f>+D93+D94</f>
        <v>509</v>
      </c>
      <c r="E91" s="59">
        <f t="shared" si="31"/>
        <v>-153.80000000000001</v>
      </c>
      <c r="F91" s="59">
        <f t="shared" si="32"/>
        <v>76.8</v>
      </c>
      <c r="G91" s="59">
        <f t="shared" ref="G91:L91" si="38">+G93+G94</f>
        <v>126.6</v>
      </c>
      <c r="H91" s="59">
        <f t="shared" si="38"/>
        <v>15.1</v>
      </c>
      <c r="I91" s="59">
        <f t="shared" si="38"/>
        <v>0</v>
      </c>
      <c r="J91" s="59">
        <f t="shared" si="38"/>
        <v>0</v>
      </c>
      <c r="K91" s="59">
        <f t="shared" si="38"/>
        <v>536.20000000000005</v>
      </c>
      <c r="L91" s="59">
        <f t="shared" si="38"/>
        <v>493.9</v>
      </c>
    </row>
    <row r="92" spans="1:12" ht="15.75" x14ac:dyDescent="0.25">
      <c r="A92" s="9">
        <f t="shared" si="34"/>
        <v>85</v>
      </c>
      <c r="B92" s="63" t="s">
        <v>2</v>
      </c>
      <c r="C92" s="69">
        <f t="shared" si="27"/>
        <v>0</v>
      </c>
      <c r="D92" s="69">
        <f t="shared" si="28"/>
        <v>0</v>
      </c>
      <c r="E92" s="69">
        <f t="shared" si="31"/>
        <v>0</v>
      </c>
      <c r="F92" s="69"/>
      <c r="G92" s="69"/>
      <c r="H92" s="69"/>
      <c r="I92" s="69"/>
      <c r="J92" s="69"/>
      <c r="K92" s="69"/>
      <c r="L92" s="69"/>
    </row>
    <row r="93" spans="1:12" ht="31.5" x14ac:dyDescent="0.25">
      <c r="A93" s="9">
        <f t="shared" si="34"/>
        <v>86</v>
      </c>
      <c r="B93" s="8" t="s">
        <v>76</v>
      </c>
      <c r="C93" s="69">
        <f t="shared" si="27"/>
        <v>334.9</v>
      </c>
      <c r="D93" s="69">
        <f t="shared" si="28"/>
        <v>181.2</v>
      </c>
      <c r="E93" s="69">
        <f t="shared" si="31"/>
        <v>-153.69999999999999</v>
      </c>
      <c r="F93" s="69">
        <f t="shared" si="32"/>
        <v>54.1</v>
      </c>
      <c r="G93" s="69">
        <f>174.9-48.3</f>
        <v>126.6</v>
      </c>
      <c r="H93" s="69">
        <f>34.8-19.6-0.1</f>
        <v>15.1</v>
      </c>
      <c r="I93" s="69"/>
      <c r="J93" s="69"/>
      <c r="K93" s="69">
        <f>48.3+160</f>
        <v>208.3</v>
      </c>
      <c r="L93" s="69">
        <f>19.6+146.4+0.1</f>
        <v>166.1</v>
      </c>
    </row>
    <row r="94" spans="1:12" ht="31.5" x14ac:dyDescent="0.25">
      <c r="A94" s="9">
        <f t="shared" si="34"/>
        <v>87</v>
      </c>
      <c r="B94" s="8" t="s">
        <v>158</v>
      </c>
      <c r="C94" s="69">
        <f t="shared" si="27"/>
        <v>327.9</v>
      </c>
      <c r="D94" s="69">
        <f t="shared" si="28"/>
        <v>327.8</v>
      </c>
      <c r="E94" s="69">
        <f t="shared" si="31"/>
        <v>-0.1</v>
      </c>
      <c r="F94" s="69">
        <f t="shared" si="32"/>
        <v>100</v>
      </c>
      <c r="G94" s="69"/>
      <c r="H94" s="69"/>
      <c r="I94" s="69"/>
      <c r="J94" s="69"/>
      <c r="K94" s="69">
        <v>327.9</v>
      </c>
      <c r="L94" s="69">
        <v>327.8</v>
      </c>
    </row>
    <row r="95" spans="1:12" ht="15.75" x14ac:dyDescent="0.25">
      <c r="A95" s="9">
        <f t="shared" si="34"/>
        <v>88</v>
      </c>
      <c r="B95" s="7" t="s">
        <v>95</v>
      </c>
      <c r="C95" s="59">
        <f>+C97+C98</f>
        <v>1058</v>
      </c>
      <c r="D95" s="59">
        <f>+D97+D98</f>
        <v>606.1</v>
      </c>
      <c r="E95" s="59">
        <f t="shared" si="31"/>
        <v>-451.9</v>
      </c>
      <c r="F95" s="59">
        <f t="shared" si="32"/>
        <v>57.3</v>
      </c>
      <c r="G95" s="59">
        <f t="shared" ref="G95:L95" si="39">+G97+G98</f>
        <v>0</v>
      </c>
      <c r="H95" s="59">
        <f t="shared" si="39"/>
        <v>0</v>
      </c>
      <c r="I95" s="59">
        <f t="shared" si="39"/>
        <v>0</v>
      </c>
      <c r="J95" s="59">
        <f t="shared" si="39"/>
        <v>0</v>
      </c>
      <c r="K95" s="59">
        <f t="shared" si="39"/>
        <v>1058</v>
      </c>
      <c r="L95" s="59">
        <f t="shared" si="39"/>
        <v>606.1</v>
      </c>
    </row>
    <row r="96" spans="1:12" ht="15.75" x14ac:dyDescent="0.25">
      <c r="A96" s="9">
        <f t="shared" si="34"/>
        <v>89</v>
      </c>
      <c r="B96" s="63" t="s">
        <v>2</v>
      </c>
      <c r="C96" s="69">
        <f t="shared" si="27"/>
        <v>0</v>
      </c>
      <c r="D96" s="69">
        <f t="shared" si="28"/>
        <v>0</v>
      </c>
      <c r="E96" s="69">
        <f t="shared" si="31"/>
        <v>0</v>
      </c>
      <c r="F96" s="69"/>
      <c r="G96" s="69"/>
      <c r="H96" s="69"/>
      <c r="I96" s="69"/>
      <c r="J96" s="69"/>
      <c r="K96" s="69"/>
      <c r="L96" s="69"/>
    </row>
    <row r="97" spans="1:12" ht="31.5" x14ac:dyDescent="0.25">
      <c r="A97" s="9">
        <f t="shared" si="34"/>
        <v>90</v>
      </c>
      <c r="B97" s="8" t="s">
        <v>176</v>
      </c>
      <c r="C97" s="69">
        <f t="shared" si="27"/>
        <v>470</v>
      </c>
      <c r="D97" s="69">
        <f t="shared" si="28"/>
        <v>20</v>
      </c>
      <c r="E97" s="69">
        <f t="shared" si="31"/>
        <v>-450</v>
      </c>
      <c r="F97" s="69">
        <f t="shared" si="32"/>
        <v>4.3</v>
      </c>
      <c r="G97" s="69"/>
      <c r="H97" s="69"/>
      <c r="I97" s="69"/>
      <c r="J97" s="69"/>
      <c r="K97" s="69">
        <v>470</v>
      </c>
      <c r="L97" s="69">
        <v>20</v>
      </c>
    </row>
    <row r="98" spans="1:12" ht="63" x14ac:dyDescent="0.25">
      <c r="A98" s="9">
        <f t="shared" si="34"/>
        <v>91</v>
      </c>
      <c r="B98" s="8" t="s">
        <v>177</v>
      </c>
      <c r="C98" s="69">
        <f t="shared" si="27"/>
        <v>588</v>
      </c>
      <c r="D98" s="69">
        <f t="shared" si="28"/>
        <v>586.1</v>
      </c>
      <c r="E98" s="69">
        <f t="shared" si="31"/>
        <v>-1.9</v>
      </c>
      <c r="F98" s="69">
        <f t="shared" si="32"/>
        <v>99.7</v>
      </c>
      <c r="G98" s="69"/>
      <c r="H98" s="69"/>
      <c r="I98" s="69"/>
      <c r="J98" s="69"/>
      <c r="K98" s="69">
        <v>588</v>
      </c>
      <c r="L98" s="69">
        <v>586.1</v>
      </c>
    </row>
    <row r="99" spans="1:12" ht="15.75" x14ac:dyDescent="0.25">
      <c r="A99" s="9">
        <f t="shared" si="34"/>
        <v>92</v>
      </c>
      <c r="B99" s="28" t="s">
        <v>77</v>
      </c>
      <c r="C99" s="59">
        <f>+C100+C104+C107</f>
        <v>1324</v>
      </c>
      <c r="D99" s="59">
        <f t="shared" ref="D99:E99" si="40">+D100+D104+D107</f>
        <v>710.6</v>
      </c>
      <c r="E99" s="59">
        <f t="shared" si="40"/>
        <v>-613.4</v>
      </c>
      <c r="F99" s="59">
        <f t="shared" si="32"/>
        <v>53.7</v>
      </c>
      <c r="G99" s="59">
        <f t="shared" ref="G99" si="41">+G100+G104+G107</f>
        <v>286.8</v>
      </c>
      <c r="H99" s="59">
        <f t="shared" ref="H99" si="42">+H100+H104+H107</f>
        <v>204.5</v>
      </c>
      <c r="I99" s="59">
        <f t="shared" ref="I99" si="43">+I100+I104+I107</f>
        <v>0</v>
      </c>
      <c r="J99" s="59">
        <f t="shared" ref="J99" si="44">+J100+J104+J107</f>
        <v>0</v>
      </c>
      <c r="K99" s="59">
        <f t="shared" ref="K99" si="45">+K100+K104+K107</f>
        <v>1037.2</v>
      </c>
      <c r="L99" s="59">
        <f t="shared" ref="L99" si="46">+L100+L104+L107</f>
        <v>506.1</v>
      </c>
    </row>
    <row r="100" spans="1:12" ht="15.75" x14ac:dyDescent="0.25">
      <c r="A100" s="9">
        <f t="shared" si="34"/>
        <v>93</v>
      </c>
      <c r="B100" s="28" t="s">
        <v>141</v>
      </c>
      <c r="C100" s="59">
        <f>+C102+C103</f>
        <v>1237</v>
      </c>
      <c r="D100" s="59">
        <f t="shared" ref="D100:L100" si="47">+D102+D103</f>
        <v>710.6</v>
      </c>
      <c r="E100" s="59">
        <f t="shared" si="47"/>
        <v>-526.4</v>
      </c>
      <c r="F100" s="59">
        <f t="shared" si="32"/>
        <v>57.4</v>
      </c>
      <c r="G100" s="59">
        <f t="shared" si="47"/>
        <v>249.8</v>
      </c>
      <c r="H100" s="59">
        <f t="shared" si="47"/>
        <v>204.5</v>
      </c>
      <c r="I100" s="59">
        <f t="shared" si="47"/>
        <v>0</v>
      </c>
      <c r="J100" s="59">
        <f t="shared" si="47"/>
        <v>0</v>
      </c>
      <c r="K100" s="59">
        <f t="shared" si="47"/>
        <v>987.2</v>
      </c>
      <c r="L100" s="59">
        <f t="shared" si="47"/>
        <v>506.1</v>
      </c>
    </row>
    <row r="101" spans="1:12" ht="15.75" x14ac:dyDescent="0.25">
      <c r="A101" s="9">
        <f t="shared" si="34"/>
        <v>94</v>
      </c>
      <c r="B101" s="63" t="s">
        <v>2</v>
      </c>
      <c r="C101" s="69">
        <f t="shared" si="27"/>
        <v>0</v>
      </c>
      <c r="D101" s="69">
        <f t="shared" si="28"/>
        <v>0</v>
      </c>
      <c r="E101" s="69">
        <f t="shared" si="31"/>
        <v>0</v>
      </c>
      <c r="F101" s="69"/>
      <c r="G101" s="69"/>
      <c r="H101" s="69"/>
      <c r="I101" s="69"/>
      <c r="J101" s="69"/>
      <c r="K101" s="69"/>
      <c r="L101" s="69"/>
    </row>
    <row r="102" spans="1:12" ht="31.5" x14ac:dyDescent="0.25">
      <c r="A102" s="9">
        <f t="shared" si="34"/>
        <v>95</v>
      </c>
      <c r="B102" s="4" t="s">
        <v>162</v>
      </c>
      <c r="C102" s="69">
        <f t="shared" si="27"/>
        <v>1165.3</v>
      </c>
      <c r="D102" s="69">
        <f t="shared" si="28"/>
        <v>660.4</v>
      </c>
      <c r="E102" s="69">
        <f t="shared" si="31"/>
        <v>-504.9</v>
      </c>
      <c r="F102" s="69">
        <f t="shared" si="32"/>
        <v>56.7</v>
      </c>
      <c r="G102" s="69">
        <f>182.6+982.7-987.2</f>
        <v>178.1</v>
      </c>
      <c r="H102" s="69">
        <f>116.9+543.5-506.1</f>
        <v>154.30000000000001</v>
      </c>
      <c r="I102" s="69"/>
      <c r="J102" s="69"/>
      <c r="K102" s="69">
        <f>66.7+706.7+213.8</f>
        <v>987.2</v>
      </c>
      <c r="L102" s="69">
        <v>506.1</v>
      </c>
    </row>
    <row r="103" spans="1:12" ht="31.5" x14ac:dyDescent="0.25">
      <c r="A103" s="9">
        <f t="shared" si="34"/>
        <v>96</v>
      </c>
      <c r="B103" s="4" t="s">
        <v>163</v>
      </c>
      <c r="C103" s="69">
        <f t="shared" si="27"/>
        <v>71.7</v>
      </c>
      <c r="D103" s="69">
        <f t="shared" si="28"/>
        <v>50.2</v>
      </c>
      <c r="E103" s="69">
        <f t="shared" si="31"/>
        <v>-21.5</v>
      </c>
      <c r="F103" s="69">
        <f t="shared" si="32"/>
        <v>70</v>
      </c>
      <c r="G103" s="69">
        <v>71.7</v>
      </c>
      <c r="H103" s="69">
        <v>50.2</v>
      </c>
      <c r="I103" s="69"/>
      <c r="J103" s="69"/>
      <c r="K103" s="69"/>
      <c r="L103" s="69"/>
    </row>
    <row r="104" spans="1:12" ht="15.75" x14ac:dyDescent="0.25">
      <c r="A104" s="9">
        <f t="shared" si="34"/>
        <v>97</v>
      </c>
      <c r="B104" s="7" t="s">
        <v>78</v>
      </c>
      <c r="C104" s="59">
        <f>+C106</f>
        <v>50</v>
      </c>
      <c r="D104" s="59">
        <f t="shared" ref="D104:L104" si="48">+D106</f>
        <v>0</v>
      </c>
      <c r="E104" s="59">
        <f t="shared" si="48"/>
        <v>-50</v>
      </c>
      <c r="F104" s="59">
        <f t="shared" si="32"/>
        <v>0</v>
      </c>
      <c r="G104" s="59">
        <f t="shared" si="48"/>
        <v>0</v>
      </c>
      <c r="H104" s="59">
        <f t="shared" si="48"/>
        <v>0</v>
      </c>
      <c r="I104" s="59">
        <f t="shared" si="48"/>
        <v>0</v>
      </c>
      <c r="J104" s="59">
        <f t="shared" si="48"/>
        <v>0</v>
      </c>
      <c r="K104" s="59">
        <f t="shared" si="48"/>
        <v>50</v>
      </c>
      <c r="L104" s="59">
        <f t="shared" si="48"/>
        <v>0</v>
      </c>
    </row>
    <row r="105" spans="1:12" ht="15.75" x14ac:dyDescent="0.25">
      <c r="A105" s="9">
        <f t="shared" si="34"/>
        <v>98</v>
      </c>
      <c r="B105" s="63" t="s">
        <v>2</v>
      </c>
      <c r="C105" s="69">
        <f t="shared" si="27"/>
        <v>0</v>
      </c>
      <c r="D105" s="69">
        <f t="shared" si="28"/>
        <v>0</v>
      </c>
      <c r="E105" s="69">
        <f t="shared" si="31"/>
        <v>0</v>
      </c>
      <c r="F105" s="69"/>
      <c r="G105" s="69"/>
      <c r="H105" s="69"/>
      <c r="I105" s="69"/>
      <c r="J105" s="69"/>
      <c r="K105" s="69"/>
      <c r="L105" s="69"/>
    </row>
    <row r="106" spans="1:12" ht="15.75" x14ac:dyDescent="0.25">
      <c r="A106" s="9">
        <f t="shared" si="34"/>
        <v>99</v>
      </c>
      <c r="B106" s="4" t="s">
        <v>70</v>
      </c>
      <c r="C106" s="69">
        <f t="shared" si="27"/>
        <v>50</v>
      </c>
      <c r="D106" s="69">
        <f t="shared" si="28"/>
        <v>0</v>
      </c>
      <c r="E106" s="69">
        <f t="shared" si="31"/>
        <v>-50</v>
      </c>
      <c r="F106" s="69">
        <f t="shared" si="32"/>
        <v>0</v>
      </c>
      <c r="G106" s="69"/>
      <c r="H106" s="69"/>
      <c r="I106" s="69"/>
      <c r="J106" s="69"/>
      <c r="K106" s="69">
        <v>50</v>
      </c>
      <c r="L106" s="69"/>
    </row>
    <row r="107" spans="1:12" ht="31.5" x14ac:dyDescent="0.25">
      <c r="A107" s="9">
        <f t="shared" si="34"/>
        <v>100</v>
      </c>
      <c r="B107" s="28" t="s">
        <v>148</v>
      </c>
      <c r="C107" s="59">
        <f t="shared" si="27"/>
        <v>37</v>
      </c>
      <c r="D107" s="59">
        <f t="shared" si="28"/>
        <v>0</v>
      </c>
      <c r="E107" s="59">
        <f t="shared" si="31"/>
        <v>-37</v>
      </c>
      <c r="F107" s="59">
        <f t="shared" si="32"/>
        <v>0</v>
      </c>
      <c r="G107" s="59">
        <v>37</v>
      </c>
      <c r="H107" s="59"/>
      <c r="I107" s="59"/>
      <c r="J107" s="59"/>
      <c r="K107" s="59"/>
      <c r="L107" s="59"/>
    </row>
    <row r="108" spans="1:12" ht="15.75" x14ac:dyDescent="0.25">
      <c r="A108" s="9">
        <f t="shared" si="34"/>
        <v>101</v>
      </c>
      <c r="B108" s="28" t="s">
        <v>4</v>
      </c>
      <c r="C108" s="59">
        <f>+C109+C114+C118+C123+C124+C129+C130+C131</f>
        <v>30783.200000000001</v>
      </c>
      <c r="D108" s="59">
        <f t="shared" ref="D108:G108" si="49">+D109+D114+D118+D123+D124+D129+D130+D131</f>
        <v>26027.1</v>
      </c>
      <c r="E108" s="59">
        <f t="shared" si="49"/>
        <v>-4756.1000000000004</v>
      </c>
      <c r="F108" s="59">
        <f t="shared" si="32"/>
        <v>84.5</v>
      </c>
      <c r="G108" s="59">
        <f t="shared" si="49"/>
        <v>24975.8</v>
      </c>
      <c r="H108" s="59">
        <f t="shared" ref="H108" si="50">+H109+H114+H118+H123+H124+H129+H130+H131</f>
        <v>23287.1</v>
      </c>
      <c r="I108" s="59">
        <f t="shared" ref="I108" si="51">+I109+I114+I118+I123+I124+I129+I130+I131</f>
        <v>347</v>
      </c>
      <c r="J108" s="59">
        <f t="shared" ref="J108" si="52">+J109+J114+J118+J123+J124+J129+J130+J131</f>
        <v>337.6</v>
      </c>
      <c r="K108" s="59">
        <f t="shared" ref="K108" si="53">+K109+K114+K118+K123+K124+K129+K130+K131</f>
        <v>5807.4</v>
      </c>
      <c r="L108" s="59">
        <f t="shared" ref="L108" si="54">+L109+L114+L118+L123+L124+L129+L130+L131</f>
        <v>2740</v>
      </c>
    </row>
    <row r="109" spans="1:12" ht="15.75" x14ac:dyDescent="0.25">
      <c r="A109" s="9">
        <f t="shared" si="34"/>
        <v>102</v>
      </c>
      <c r="B109" s="7" t="s">
        <v>78</v>
      </c>
      <c r="C109" s="59">
        <f>SUM(C111:C113)</f>
        <v>5125.3</v>
      </c>
      <c r="D109" s="59">
        <f t="shared" ref="D109:E109" si="55">SUM(D111:D113)</f>
        <v>5041.2</v>
      </c>
      <c r="E109" s="59">
        <f t="shared" si="55"/>
        <v>-84.1</v>
      </c>
      <c r="F109" s="59">
        <f t="shared" si="32"/>
        <v>98.4</v>
      </c>
      <c r="G109" s="59">
        <f t="shared" ref="G109:L109" si="56">SUM(G111:G113)</f>
        <v>5122.8</v>
      </c>
      <c r="H109" s="59">
        <f t="shared" si="56"/>
        <v>5041.2</v>
      </c>
      <c r="I109" s="59">
        <f t="shared" si="56"/>
        <v>6.6</v>
      </c>
      <c r="J109" s="59">
        <f t="shared" si="56"/>
        <v>0</v>
      </c>
      <c r="K109" s="59">
        <f t="shared" si="56"/>
        <v>2.5</v>
      </c>
      <c r="L109" s="59">
        <f t="shared" si="56"/>
        <v>0</v>
      </c>
    </row>
    <row r="110" spans="1:12" ht="15.75" x14ac:dyDescent="0.25">
      <c r="A110" s="9">
        <f t="shared" si="34"/>
        <v>103</v>
      </c>
      <c r="B110" s="63" t="s">
        <v>2</v>
      </c>
      <c r="C110" s="69">
        <f t="shared" si="27"/>
        <v>0</v>
      </c>
      <c r="D110" s="69">
        <f t="shared" si="28"/>
        <v>0</v>
      </c>
      <c r="E110" s="69">
        <f t="shared" si="31"/>
        <v>0</v>
      </c>
      <c r="F110" s="69"/>
      <c r="G110" s="69"/>
      <c r="H110" s="69"/>
      <c r="I110" s="69"/>
      <c r="J110" s="69"/>
      <c r="K110" s="69"/>
      <c r="L110" s="69"/>
    </row>
    <row r="111" spans="1:12" ht="31.5" x14ac:dyDescent="0.25">
      <c r="A111" s="9">
        <f t="shared" si="34"/>
        <v>104</v>
      </c>
      <c r="B111" s="8" t="s">
        <v>69</v>
      </c>
      <c r="C111" s="69">
        <f t="shared" si="27"/>
        <v>4711.1000000000004</v>
      </c>
      <c r="D111" s="69">
        <f t="shared" si="28"/>
        <v>4700</v>
      </c>
      <c r="E111" s="69">
        <f t="shared" si="31"/>
        <v>-11.1</v>
      </c>
      <c r="F111" s="69">
        <f t="shared" si="32"/>
        <v>99.8</v>
      </c>
      <c r="G111" s="69">
        <f>11.1+4700</f>
        <v>4711.1000000000004</v>
      </c>
      <c r="H111" s="69">
        <v>4700</v>
      </c>
      <c r="I111" s="69">
        <v>6.6</v>
      </c>
      <c r="J111" s="69"/>
      <c r="K111" s="69"/>
      <c r="L111" s="69"/>
    </row>
    <row r="112" spans="1:12" ht="63" x14ac:dyDescent="0.25">
      <c r="A112" s="9">
        <f t="shared" si="34"/>
        <v>105</v>
      </c>
      <c r="B112" s="8" t="s">
        <v>137</v>
      </c>
      <c r="C112" s="69">
        <f t="shared" si="27"/>
        <v>60</v>
      </c>
      <c r="D112" s="69">
        <f t="shared" si="28"/>
        <v>50</v>
      </c>
      <c r="E112" s="69">
        <f t="shared" si="31"/>
        <v>-10</v>
      </c>
      <c r="F112" s="69">
        <f t="shared" si="32"/>
        <v>83.3</v>
      </c>
      <c r="G112" s="69">
        <v>60</v>
      </c>
      <c r="H112" s="69">
        <v>50</v>
      </c>
      <c r="I112" s="69"/>
      <c r="J112" s="69"/>
      <c r="K112" s="69"/>
      <c r="L112" s="69"/>
    </row>
    <row r="113" spans="1:12" ht="15.75" x14ac:dyDescent="0.25">
      <c r="A113" s="9">
        <f t="shared" si="34"/>
        <v>106</v>
      </c>
      <c r="B113" s="4" t="s">
        <v>70</v>
      </c>
      <c r="C113" s="69">
        <f t="shared" si="27"/>
        <v>354.2</v>
      </c>
      <c r="D113" s="69">
        <f t="shared" si="28"/>
        <v>291.2</v>
      </c>
      <c r="E113" s="69">
        <f t="shared" si="31"/>
        <v>-63</v>
      </c>
      <c r="F113" s="69">
        <f t="shared" si="32"/>
        <v>82.2</v>
      </c>
      <c r="G113" s="69">
        <f>354.2-2.5</f>
        <v>351.7</v>
      </c>
      <c r="H113" s="69">
        <v>291.2</v>
      </c>
      <c r="I113" s="69"/>
      <c r="J113" s="69"/>
      <c r="K113" s="69">
        <v>2.5</v>
      </c>
      <c r="L113" s="69"/>
    </row>
    <row r="114" spans="1:12" ht="31.5" x14ac:dyDescent="0.25">
      <c r="A114" s="9">
        <f t="shared" si="34"/>
        <v>107</v>
      </c>
      <c r="B114" s="28" t="s">
        <v>103</v>
      </c>
      <c r="C114" s="59">
        <f>+C116+C117</f>
        <v>9528.5</v>
      </c>
      <c r="D114" s="59">
        <f t="shared" ref="D114:L114" si="57">+D116+D117</f>
        <v>8156.6</v>
      </c>
      <c r="E114" s="59">
        <f t="shared" si="57"/>
        <v>-1371.9</v>
      </c>
      <c r="F114" s="59">
        <f t="shared" si="32"/>
        <v>85.6</v>
      </c>
      <c r="G114" s="59">
        <f t="shared" si="57"/>
        <v>8769</v>
      </c>
      <c r="H114" s="59">
        <f t="shared" si="57"/>
        <v>7955.3</v>
      </c>
      <c r="I114" s="59">
        <f t="shared" si="57"/>
        <v>0</v>
      </c>
      <c r="J114" s="59">
        <f t="shared" si="57"/>
        <v>0</v>
      </c>
      <c r="K114" s="59">
        <f t="shared" si="57"/>
        <v>759.5</v>
      </c>
      <c r="L114" s="59">
        <f t="shared" si="57"/>
        <v>201.3</v>
      </c>
    </row>
    <row r="115" spans="1:12" ht="15.75" x14ac:dyDescent="0.25">
      <c r="A115" s="9">
        <f t="shared" si="34"/>
        <v>108</v>
      </c>
      <c r="B115" s="63" t="s">
        <v>2</v>
      </c>
      <c r="C115" s="69">
        <f t="shared" si="27"/>
        <v>0</v>
      </c>
      <c r="D115" s="69">
        <f t="shared" si="28"/>
        <v>0</v>
      </c>
      <c r="E115" s="69">
        <f t="shared" si="31"/>
        <v>0</v>
      </c>
      <c r="F115" s="69"/>
      <c r="G115" s="69"/>
      <c r="H115" s="69"/>
      <c r="I115" s="69"/>
      <c r="J115" s="69"/>
      <c r="K115" s="69"/>
      <c r="L115" s="69"/>
    </row>
    <row r="116" spans="1:12" ht="31.5" x14ac:dyDescent="0.25">
      <c r="A116" s="9">
        <f t="shared" si="34"/>
        <v>109</v>
      </c>
      <c r="B116" s="4" t="s">
        <v>160</v>
      </c>
      <c r="C116" s="69">
        <f t="shared" si="27"/>
        <v>7983.5</v>
      </c>
      <c r="D116" s="69">
        <f t="shared" si="28"/>
        <v>6651.3</v>
      </c>
      <c r="E116" s="69">
        <f t="shared" si="31"/>
        <v>-1332.2</v>
      </c>
      <c r="F116" s="69">
        <f t="shared" si="32"/>
        <v>83.3</v>
      </c>
      <c r="G116" s="69">
        <f>6733.9-337.8-26.5+1249.6-150-245.2</f>
        <v>7224</v>
      </c>
      <c r="H116" s="69">
        <f>5763.9-134.5+887.4-24.9-42+0.1</f>
        <v>6450</v>
      </c>
      <c r="I116" s="69"/>
      <c r="J116" s="69"/>
      <c r="K116" s="69">
        <f>337.8+26.5+150+245.2</f>
        <v>759.5</v>
      </c>
      <c r="L116" s="69">
        <f>134.5+24.9+42-0.1</f>
        <v>201.3</v>
      </c>
    </row>
    <row r="117" spans="1:12" ht="78.75" x14ac:dyDescent="0.25">
      <c r="A117" s="9">
        <f t="shared" si="34"/>
        <v>110</v>
      </c>
      <c r="B117" s="4" t="s">
        <v>180</v>
      </c>
      <c r="C117" s="69">
        <f t="shared" si="27"/>
        <v>1545</v>
      </c>
      <c r="D117" s="69">
        <f t="shared" si="28"/>
        <v>1505.3</v>
      </c>
      <c r="E117" s="69">
        <f t="shared" si="31"/>
        <v>-39.700000000000003</v>
      </c>
      <c r="F117" s="69">
        <f t="shared" si="32"/>
        <v>97.4</v>
      </c>
      <c r="G117" s="69">
        <v>1545</v>
      </c>
      <c r="H117" s="69">
        <v>1505.3</v>
      </c>
      <c r="I117" s="69"/>
      <c r="J117" s="69"/>
      <c r="K117" s="69"/>
      <c r="L117" s="69"/>
    </row>
    <row r="118" spans="1:12" ht="31.5" x14ac:dyDescent="0.25">
      <c r="A118" s="9">
        <f t="shared" si="34"/>
        <v>111</v>
      </c>
      <c r="B118" s="28" t="s">
        <v>79</v>
      </c>
      <c r="C118" s="59">
        <f>+C120+C121+C122</f>
        <v>9587.2000000000007</v>
      </c>
      <c r="D118" s="59">
        <f t="shared" ref="D118:L118" si="58">+D120+D121+D122</f>
        <v>7322.7</v>
      </c>
      <c r="E118" s="59">
        <f t="shared" si="58"/>
        <v>-2264.5</v>
      </c>
      <c r="F118" s="59">
        <f t="shared" si="32"/>
        <v>76.400000000000006</v>
      </c>
      <c r="G118" s="59">
        <f t="shared" si="58"/>
        <v>6399.8</v>
      </c>
      <c r="H118" s="59">
        <f t="shared" si="58"/>
        <v>6095.4</v>
      </c>
      <c r="I118" s="59">
        <f t="shared" si="58"/>
        <v>340.4</v>
      </c>
      <c r="J118" s="59">
        <f t="shared" si="58"/>
        <v>337.6</v>
      </c>
      <c r="K118" s="59">
        <f t="shared" si="58"/>
        <v>3187.4</v>
      </c>
      <c r="L118" s="59">
        <f t="shared" si="58"/>
        <v>1227.3</v>
      </c>
    </row>
    <row r="119" spans="1:12" ht="15.75" x14ac:dyDescent="0.25">
      <c r="A119" s="9">
        <f t="shared" si="34"/>
        <v>112</v>
      </c>
      <c r="B119" s="63" t="s">
        <v>2</v>
      </c>
      <c r="C119" s="69">
        <f t="shared" si="27"/>
        <v>0</v>
      </c>
      <c r="D119" s="69">
        <f t="shared" si="28"/>
        <v>0</v>
      </c>
      <c r="E119" s="69">
        <f t="shared" si="31"/>
        <v>0</v>
      </c>
      <c r="F119" s="69"/>
      <c r="G119" s="69"/>
      <c r="H119" s="69"/>
      <c r="I119" s="69"/>
      <c r="J119" s="69"/>
      <c r="K119" s="69"/>
      <c r="L119" s="69"/>
    </row>
    <row r="120" spans="1:12" ht="47.25" x14ac:dyDescent="0.25">
      <c r="A120" s="9">
        <f t="shared" si="34"/>
        <v>113</v>
      </c>
      <c r="B120" s="8" t="s">
        <v>71</v>
      </c>
      <c r="C120" s="69">
        <f t="shared" si="27"/>
        <v>9549.1</v>
      </c>
      <c r="D120" s="69">
        <f t="shared" si="28"/>
        <v>7287.4</v>
      </c>
      <c r="E120" s="69">
        <f t="shared" si="31"/>
        <v>-2261.6999999999998</v>
      </c>
      <c r="F120" s="69">
        <f t="shared" si="32"/>
        <v>76.3</v>
      </c>
      <c r="G120" s="69">
        <f>9464.6-2523.5-151.6-60-382.1+84.5-70.2</f>
        <v>6361.7</v>
      </c>
      <c r="H120" s="69">
        <f>7273.1-771.4-149.5-60-246.5+14.3+0.1</f>
        <v>6060.1</v>
      </c>
      <c r="I120" s="69">
        <v>324.39999999999998</v>
      </c>
      <c r="J120" s="69">
        <v>321.8</v>
      </c>
      <c r="K120" s="69">
        <f>2523.5+151.6+60+382.1+70.2</f>
        <v>3187.4</v>
      </c>
      <c r="L120" s="69">
        <f>771.4+149.5+60+246.5-0.1</f>
        <v>1227.3</v>
      </c>
    </row>
    <row r="121" spans="1:12" ht="78.75" x14ac:dyDescent="0.25">
      <c r="A121" s="9">
        <f t="shared" si="34"/>
        <v>114</v>
      </c>
      <c r="B121" s="8" t="s">
        <v>199</v>
      </c>
      <c r="C121" s="69">
        <f t="shared" si="27"/>
        <v>4.5999999999999996</v>
      </c>
      <c r="D121" s="69">
        <f t="shared" si="28"/>
        <v>4.5999999999999996</v>
      </c>
      <c r="E121" s="69">
        <f t="shared" si="31"/>
        <v>0</v>
      </c>
      <c r="F121" s="69">
        <f t="shared" si="32"/>
        <v>100</v>
      </c>
      <c r="G121" s="69">
        <v>4.5999999999999996</v>
      </c>
      <c r="H121" s="69">
        <v>4.5999999999999996</v>
      </c>
      <c r="I121" s="69">
        <v>3.5</v>
      </c>
      <c r="J121" s="69">
        <v>3.5</v>
      </c>
      <c r="K121" s="69"/>
      <c r="L121" s="69"/>
    </row>
    <row r="122" spans="1:12" ht="47.25" x14ac:dyDescent="0.25">
      <c r="A122" s="9">
        <f t="shared" si="34"/>
        <v>115</v>
      </c>
      <c r="B122" s="4" t="s">
        <v>80</v>
      </c>
      <c r="C122" s="69">
        <f t="shared" si="27"/>
        <v>33.5</v>
      </c>
      <c r="D122" s="69">
        <f t="shared" si="28"/>
        <v>30.7</v>
      </c>
      <c r="E122" s="69">
        <f t="shared" si="31"/>
        <v>-2.8</v>
      </c>
      <c r="F122" s="69">
        <f t="shared" si="32"/>
        <v>91.6</v>
      </c>
      <c r="G122" s="69">
        <f>7.7+25.8</f>
        <v>33.5</v>
      </c>
      <c r="H122" s="69">
        <f>5.8+24.9</f>
        <v>30.7</v>
      </c>
      <c r="I122" s="69">
        <v>12.5</v>
      </c>
      <c r="J122" s="69">
        <v>12.3</v>
      </c>
      <c r="K122" s="69"/>
      <c r="L122" s="69"/>
    </row>
    <row r="123" spans="1:12" ht="31.5" x14ac:dyDescent="0.25">
      <c r="A123" s="9">
        <f t="shared" si="34"/>
        <v>116</v>
      </c>
      <c r="B123" s="28" t="s">
        <v>148</v>
      </c>
      <c r="C123" s="59">
        <f t="shared" si="27"/>
        <v>136.5</v>
      </c>
      <c r="D123" s="59">
        <f t="shared" si="28"/>
        <v>109</v>
      </c>
      <c r="E123" s="59">
        <f t="shared" si="31"/>
        <v>-27.5</v>
      </c>
      <c r="F123" s="59">
        <f t="shared" si="32"/>
        <v>79.900000000000006</v>
      </c>
      <c r="G123" s="59">
        <v>136.5</v>
      </c>
      <c r="H123" s="59">
        <v>109</v>
      </c>
      <c r="I123" s="59"/>
      <c r="J123" s="59"/>
      <c r="K123" s="59"/>
      <c r="L123" s="69"/>
    </row>
    <row r="124" spans="1:12" ht="15.75" x14ac:dyDescent="0.25">
      <c r="A124" s="9">
        <f t="shared" si="34"/>
        <v>117</v>
      </c>
      <c r="B124" s="28" t="s">
        <v>72</v>
      </c>
      <c r="C124" s="59">
        <f>+C126+C127+C128</f>
        <v>5501.2</v>
      </c>
      <c r="D124" s="59">
        <f t="shared" ref="D124:L124" si="59">+D126+D127+D128</f>
        <v>4880.8</v>
      </c>
      <c r="E124" s="59">
        <f t="shared" si="59"/>
        <v>-620.4</v>
      </c>
      <c r="F124" s="59">
        <f t="shared" si="32"/>
        <v>88.7</v>
      </c>
      <c r="G124" s="59">
        <f t="shared" si="59"/>
        <v>4134.5</v>
      </c>
      <c r="H124" s="59">
        <f t="shared" si="59"/>
        <v>3758.8</v>
      </c>
      <c r="I124" s="59">
        <f t="shared" si="59"/>
        <v>0</v>
      </c>
      <c r="J124" s="59">
        <f t="shared" si="59"/>
        <v>0</v>
      </c>
      <c r="K124" s="59">
        <f t="shared" si="59"/>
        <v>1366.7</v>
      </c>
      <c r="L124" s="59">
        <f t="shared" si="59"/>
        <v>1122</v>
      </c>
    </row>
    <row r="125" spans="1:12" ht="15.75" x14ac:dyDescent="0.25">
      <c r="A125" s="9">
        <f t="shared" si="34"/>
        <v>118</v>
      </c>
      <c r="B125" s="63" t="s">
        <v>2</v>
      </c>
      <c r="C125" s="69">
        <f t="shared" ref="C125:C182" si="60">+G125+K125</f>
        <v>0</v>
      </c>
      <c r="D125" s="69">
        <f t="shared" ref="D125:D182" si="61">+H125+L125</f>
        <v>0</v>
      </c>
      <c r="E125" s="69">
        <f t="shared" si="31"/>
        <v>0</v>
      </c>
      <c r="F125" s="69"/>
      <c r="G125" s="69"/>
      <c r="H125" s="69"/>
      <c r="I125" s="69"/>
      <c r="J125" s="69"/>
      <c r="K125" s="69"/>
      <c r="L125" s="69"/>
    </row>
    <row r="126" spans="1:12" ht="31.5" x14ac:dyDescent="0.25">
      <c r="A126" s="9">
        <f t="shared" si="34"/>
        <v>119</v>
      </c>
      <c r="B126" s="4" t="s">
        <v>73</v>
      </c>
      <c r="C126" s="69">
        <f t="shared" si="60"/>
        <v>5257.2</v>
      </c>
      <c r="D126" s="69">
        <f t="shared" si="61"/>
        <v>4793.5</v>
      </c>
      <c r="E126" s="69">
        <f t="shared" si="31"/>
        <v>-463.7</v>
      </c>
      <c r="F126" s="69">
        <f t="shared" si="32"/>
        <v>91.2</v>
      </c>
      <c r="G126" s="69">
        <f>5257.2-102.8-957.3-70</f>
        <v>4127.1000000000004</v>
      </c>
      <c r="H126" s="69">
        <f>4793.5-89.3-952.7-0</f>
        <v>3751.5</v>
      </c>
      <c r="I126" s="69"/>
      <c r="J126" s="69"/>
      <c r="K126" s="69">
        <f>102.8+957.3+70</f>
        <v>1130.0999999999999</v>
      </c>
      <c r="L126" s="69">
        <f>89.3+952.7+0</f>
        <v>1042</v>
      </c>
    </row>
    <row r="127" spans="1:12" ht="63" x14ac:dyDescent="0.25">
      <c r="A127" s="9">
        <f t="shared" si="34"/>
        <v>120</v>
      </c>
      <c r="B127" s="4" t="s">
        <v>190</v>
      </c>
      <c r="C127" s="69">
        <f t="shared" si="60"/>
        <v>236.6</v>
      </c>
      <c r="D127" s="69">
        <f t="shared" si="61"/>
        <v>80</v>
      </c>
      <c r="E127" s="69">
        <f t="shared" si="31"/>
        <v>-156.6</v>
      </c>
      <c r="F127" s="69">
        <f t="shared" si="32"/>
        <v>33.799999999999997</v>
      </c>
      <c r="G127" s="69">
        <f>236.6-156.6-80</f>
        <v>0</v>
      </c>
      <c r="H127" s="69"/>
      <c r="I127" s="69"/>
      <c r="J127" s="69"/>
      <c r="K127" s="69">
        <v>236.6</v>
      </c>
      <c r="L127" s="69">
        <v>80</v>
      </c>
    </row>
    <row r="128" spans="1:12" ht="47.25" x14ac:dyDescent="0.25">
      <c r="A128" s="9">
        <f t="shared" si="34"/>
        <v>121</v>
      </c>
      <c r="B128" s="10" t="s">
        <v>81</v>
      </c>
      <c r="C128" s="69">
        <f t="shared" si="60"/>
        <v>7.4</v>
      </c>
      <c r="D128" s="69">
        <f t="shared" si="61"/>
        <v>7.3</v>
      </c>
      <c r="E128" s="69">
        <f t="shared" si="31"/>
        <v>-0.1</v>
      </c>
      <c r="F128" s="69">
        <f t="shared" si="32"/>
        <v>98.6</v>
      </c>
      <c r="G128" s="69">
        <v>7.4</v>
      </c>
      <c r="H128" s="69">
        <v>7.3</v>
      </c>
      <c r="I128" s="69"/>
      <c r="J128" s="69"/>
      <c r="K128" s="69"/>
      <c r="L128" s="69"/>
    </row>
    <row r="129" spans="1:12" ht="31.5" x14ac:dyDescent="0.25">
      <c r="A129" s="9">
        <f t="shared" si="34"/>
        <v>122</v>
      </c>
      <c r="B129" s="8" t="s">
        <v>129</v>
      </c>
      <c r="C129" s="59">
        <f t="shared" si="60"/>
        <v>157.30000000000001</v>
      </c>
      <c r="D129" s="59">
        <f t="shared" si="61"/>
        <v>138.5</v>
      </c>
      <c r="E129" s="59">
        <f t="shared" si="31"/>
        <v>-18.8</v>
      </c>
      <c r="F129" s="59">
        <f t="shared" si="32"/>
        <v>88</v>
      </c>
      <c r="G129" s="59">
        <v>157.30000000000001</v>
      </c>
      <c r="H129" s="59">
        <v>138.5</v>
      </c>
      <c r="I129" s="59"/>
      <c r="J129" s="59"/>
      <c r="K129" s="59"/>
      <c r="L129" s="59"/>
    </row>
    <row r="130" spans="1:12" ht="31.5" x14ac:dyDescent="0.25">
      <c r="A130" s="9">
        <f t="shared" si="34"/>
        <v>123</v>
      </c>
      <c r="B130" s="28" t="s">
        <v>64</v>
      </c>
      <c r="C130" s="59">
        <f t="shared" si="60"/>
        <v>570.6</v>
      </c>
      <c r="D130" s="59">
        <f t="shared" si="61"/>
        <v>278.3</v>
      </c>
      <c r="E130" s="59">
        <f t="shared" si="31"/>
        <v>-292.3</v>
      </c>
      <c r="F130" s="59">
        <f t="shared" si="32"/>
        <v>48.8</v>
      </c>
      <c r="G130" s="59">
        <f>570.6-176.3-160-18.4</f>
        <v>215.9</v>
      </c>
      <c r="H130" s="59">
        <f>278.3-107-5.2-17.2</f>
        <v>148.9</v>
      </c>
      <c r="I130" s="59"/>
      <c r="J130" s="59"/>
      <c r="K130" s="59">
        <f>176.3+160+18.4</f>
        <v>354.7</v>
      </c>
      <c r="L130" s="59">
        <f>107+5.2+17.2</f>
        <v>129.4</v>
      </c>
    </row>
    <row r="131" spans="1:12" ht="31.5" x14ac:dyDescent="0.25">
      <c r="A131" s="9">
        <f t="shared" si="34"/>
        <v>124</v>
      </c>
      <c r="B131" s="4" t="s">
        <v>152</v>
      </c>
      <c r="C131" s="59">
        <f t="shared" si="60"/>
        <v>176.6</v>
      </c>
      <c r="D131" s="59">
        <f t="shared" si="61"/>
        <v>100</v>
      </c>
      <c r="E131" s="59">
        <f t="shared" si="31"/>
        <v>-76.599999999999994</v>
      </c>
      <c r="F131" s="59">
        <f t="shared" si="32"/>
        <v>56.6</v>
      </c>
      <c r="G131" s="59">
        <f>176.6-56.6-80</f>
        <v>40</v>
      </c>
      <c r="H131" s="59">
        <f>100-60</f>
        <v>40</v>
      </c>
      <c r="I131" s="59"/>
      <c r="J131" s="59"/>
      <c r="K131" s="59">
        <f>56.6+80</f>
        <v>136.6</v>
      </c>
      <c r="L131" s="59">
        <f>40+20</f>
        <v>60</v>
      </c>
    </row>
    <row r="132" spans="1:12" ht="15.75" x14ac:dyDescent="0.25">
      <c r="A132" s="9">
        <f t="shared" si="34"/>
        <v>125</v>
      </c>
      <c r="B132" s="28" t="s">
        <v>5</v>
      </c>
      <c r="C132" s="59">
        <f>+C133+C138+C150</f>
        <v>82133.100000000006</v>
      </c>
      <c r="D132" s="59">
        <f t="shared" ref="D132:E132" si="62">+D133+D138+D150</f>
        <v>81018.399999999994</v>
      </c>
      <c r="E132" s="59">
        <f t="shared" si="62"/>
        <v>-1114.7</v>
      </c>
      <c r="F132" s="59">
        <f t="shared" si="32"/>
        <v>98.6</v>
      </c>
      <c r="G132" s="59">
        <f t="shared" ref="G132" si="63">+G133+G138+G150</f>
        <v>80800.100000000006</v>
      </c>
      <c r="H132" s="59">
        <f t="shared" ref="H132" si="64">+H133+H138+H150</f>
        <v>79774.7</v>
      </c>
      <c r="I132" s="59">
        <f t="shared" ref="I132" si="65">+I133+I138+I150</f>
        <v>48010</v>
      </c>
      <c r="J132" s="59">
        <f t="shared" ref="J132" si="66">+J133+J138+J150</f>
        <v>47929.8</v>
      </c>
      <c r="K132" s="59">
        <f t="shared" ref="K132" si="67">+K133+K138+K150</f>
        <v>1333</v>
      </c>
      <c r="L132" s="59">
        <f t="shared" ref="L132" si="68">+L133+L138+L150</f>
        <v>1243.7</v>
      </c>
    </row>
    <row r="133" spans="1:12" ht="15.75" x14ac:dyDescent="0.25">
      <c r="A133" s="9">
        <f t="shared" si="34"/>
        <v>126</v>
      </c>
      <c r="B133" s="28" t="s">
        <v>150</v>
      </c>
      <c r="C133" s="59">
        <f>SUM(C135:C137)</f>
        <v>7458.9</v>
      </c>
      <c r="D133" s="59">
        <f t="shared" ref="D133:E133" si="69">SUM(D135:D137)</f>
        <v>7369.3</v>
      </c>
      <c r="E133" s="59">
        <f t="shared" si="69"/>
        <v>-89.6</v>
      </c>
      <c r="F133" s="59">
        <f t="shared" si="32"/>
        <v>98.8</v>
      </c>
      <c r="G133" s="59">
        <f t="shared" ref="G133:L133" si="70">SUM(G135:G137)</f>
        <v>6996.9</v>
      </c>
      <c r="H133" s="59">
        <f t="shared" si="70"/>
        <v>6955.3</v>
      </c>
      <c r="I133" s="59">
        <f t="shared" si="70"/>
        <v>1982.4</v>
      </c>
      <c r="J133" s="59">
        <f t="shared" si="70"/>
        <v>1977.9</v>
      </c>
      <c r="K133" s="59">
        <f t="shared" si="70"/>
        <v>462</v>
      </c>
      <c r="L133" s="59">
        <f t="shared" si="70"/>
        <v>414</v>
      </c>
    </row>
    <row r="134" spans="1:12" ht="15.75" x14ac:dyDescent="0.25">
      <c r="A134" s="9">
        <f t="shared" si="34"/>
        <v>127</v>
      </c>
      <c r="B134" s="63" t="s">
        <v>2</v>
      </c>
      <c r="C134" s="69">
        <f t="shared" si="60"/>
        <v>0</v>
      </c>
      <c r="D134" s="69">
        <f t="shared" si="61"/>
        <v>0</v>
      </c>
      <c r="E134" s="69">
        <f t="shared" si="31"/>
        <v>0</v>
      </c>
      <c r="F134" s="69"/>
      <c r="G134" s="69"/>
      <c r="H134" s="69"/>
      <c r="I134" s="69"/>
      <c r="J134" s="69"/>
      <c r="K134" s="69"/>
      <c r="L134" s="69"/>
    </row>
    <row r="135" spans="1:12" ht="31.5" x14ac:dyDescent="0.25">
      <c r="A135" s="9">
        <f t="shared" si="34"/>
        <v>128</v>
      </c>
      <c r="B135" s="4" t="s">
        <v>149</v>
      </c>
      <c r="C135" s="69">
        <f t="shared" si="60"/>
        <v>6966.2</v>
      </c>
      <c r="D135" s="69">
        <f t="shared" si="61"/>
        <v>6906.1</v>
      </c>
      <c r="E135" s="69">
        <f t="shared" si="31"/>
        <v>-60.1</v>
      </c>
      <c r="F135" s="69">
        <f t="shared" si="32"/>
        <v>99.1</v>
      </c>
      <c r="G135" s="69">
        <f>6787.1-454.3+179.1</f>
        <v>6511.9</v>
      </c>
      <c r="H135" s="69">
        <f>6727-407.3+179.1</f>
        <v>6498.8</v>
      </c>
      <c r="I135" s="69">
        <v>1960.3</v>
      </c>
      <c r="J135" s="69">
        <v>1960.3</v>
      </c>
      <c r="K135" s="69">
        <f>397+1.5+1.7+8.4+45.7</f>
        <v>454.3</v>
      </c>
      <c r="L135" s="69">
        <f>395.8+1.5+1.7+8.4-0.1</f>
        <v>407.3</v>
      </c>
    </row>
    <row r="136" spans="1:12" ht="63" x14ac:dyDescent="0.25">
      <c r="A136" s="9">
        <f t="shared" si="34"/>
        <v>129</v>
      </c>
      <c r="B136" s="4" t="s">
        <v>200</v>
      </c>
      <c r="C136" s="69">
        <f t="shared" si="60"/>
        <v>14</v>
      </c>
      <c r="D136" s="69">
        <f t="shared" si="61"/>
        <v>14</v>
      </c>
      <c r="E136" s="69">
        <f t="shared" si="31"/>
        <v>0</v>
      </c>
      <c r="F136" s="69">
        <f t="shared" si="32"/>
        <v>100</v>
      </c>
      <c r="G136" s="69">
        <v>14</v>
      </c>
      <c r="H136" s="69">
        <v>14</v>
      </c>
      <c r="I136" s="69">
        <v>10.7</v>
      </c>
      <c r="J136" s="69">
        <v>10.7</v>
      </c>
      <c r="K136" s="69"/>
      <c r="L136" s="69"/>
    </row>
    <row r="137" spans="1:12" ht="31.5" x14ac:dyDescent="0.25">
      <c r="A137" s="9">
        <f t="shared" si="34"/>
        <v>130</v>
      </c>
      <c r="B137" s="4" t="s">
        <v>151</v>
      </c>
      <c r="C137" s="69">
        <f t="shared" si="60"/>
        <v>478.7</v>
      </c>
      <c r="D137" s="69">
        <f t="shared" si="61"/>
        <v>449.2</v>
      </c>
      <c r="E137" s="69">
        <f t="shared" ref="E137:E182" si="71">+D137-C137</f>
        <v>-29.5</v>
      </c>
      <c r="F137" s="69">
        <f t="shared" ref="F137:F183" si="72">+D137/C137*100</f>
        <v>93.8</v>
      </c>
      <c r="G137" s="69">
        <f>53.4+422+3.3-7.7</f>
        <v>471</v>
      </c>
      <c r="H137" s="69">
        <f>50.2+399-6.7</f>
        <v>442.5</v>
      </c>
      <c r="I137" s="69">
        <v>11.4</v>
      </c>
      <c r="J137" s="69">
        <v>6.9</v>
      </c>
      <c r="K137" s="69">
        <f>4.9+2.8</f>
        <v>7.7</v>
      </c>
      <c r="L137" s="69">
        <f>4+2.7</f>
        <v>6.7</v>
      </c>
    </row>
    <row r="138" spans="1:12" ht="15.75" x14ac:dyDescent="0.25">
      <c r="A138" s="9">
        <f t="shared" ref="A138:A183" si="73">+A137+1</f>
        <v>131</v>
      </c>
      <c r="B138" s="28" t="s">
        <v>82</v>
      </c>
      <c r="C138" s="59">
        <f>+C140+C141+C142+C143+C144+C145+C146+C147+C148+C149</f>
        <v>68039.3</v>
      </c>
      <c r="D138" s="59">
        <f t="shared" ref="D138:L138" si="74">+D140+D141+D142+D143+D144+D145+D146+D147+D148+D149</f>
        <v>67064</v>
      </c>
      <c r="E138" s="59">
        <f t="shared" si="74"/>
        <v>-975.3</v>
      </c>
      <c r="F138" s="59">
        <f t="shared" si="72"/>
        <v>98.6</v>
      </c>
      <c r="G138" s="59">
        <f t="shared" si="74"/>
        <v>67436.7</v>
      </c>
      <c r="H138" s="59">
        <f t="shared" si="74"/>
        <v>66502.7</v>
      </c>
      <c r="I138" s="59">
        <f t="shared" si="74"/>
        <v>43898.5</v>
      </c>
      <c r="J138" s="59">
        <f t="shared" si="74"/>
        <v>43823</v>
      </c>
      <c r="K138" s="59">
        <f t="shared" si="74"/>
        <v>602.6</v>
      </c>
      <c r="L138" s="59">
        <f t="shared" si="74"/>
        <v>561.29999999999995</v>
      </c>
    </row>
    <row r="139" spans="1:12" ht="15.75" x14ac:dyDescent="0.25">
      <c r="A139" s="9">
        <f t="shared" si="73"/>
        <v>132</v>
      </c>
      <c r="B139" s="63" t="s">
        <v>2</v>
      </c>
      <c r="C139" s="69">
        <f t="shared" si="60"/>
        <v>0</v>
      </c>
      <c r="D139" s="69">
        <f t="shared" si="61"/>
        <v>0</v>
      </c>
      <c r="E139" s="69">
        <f t="shared" si="71"/>
        <v>0</v>
      </c>
      <c r="F139" s="69"/>
      <c r="G139" s="69"/>
      <c r="H139" s="69"/>
      <c r="I139" s="69"/>
      <c r="J139" s="69"/>
      <c r="K139" s="69"/>
      <c r="L139" s="69"/>
    </row>
    <row r="140" spans="1:12" ht="31.5" x14ac:dyDescent="0.25">
      <c r="A140" s="9">
        <f t="shared" si="73"/>
        <v>133</v>
      </c>
      <c r="B140" s="8" t="s">
        <v>83</v>
      </c>
      <c r="C140" s="69">
        <f t="shared" si="60"/>
        <v>25493.599999999999</v>
      </c>
      <c r="D140" s="69">
        <f t="shared" si="61"/>
        <v>25357.1</v>
      </c>
      <c r="E140" s="69">
        <f t="shared" si="71"/>
        <v>-136.5</v>
      </c>
      <c r="F140" s="69">
        <f t="shared" si="72"/>
        <v>99.5</v>
      </c>
      <c r="G140" s="69">
        <f>25493.6-243.5</f>
        <v>25250.1</v>
      </c>
      <c r="H140" s="69">
        <f>25357-224.4+0.1</f>
        <v>25132.7</v>
      </c>
      <c r="I140" s="69">
        <v>16317.5</v>
      </c>
      <c r="J140" s="69">
        <v>16311.7</v>
      </c>
      <c r="K140" s="69">
        <f>65.6+155.8+22.1</f>
        <v>243.5</v>
      </c>
      <c r="L140" s="69">
        <f>65.6+155.3+3.5</f>
        <v>224.4</v>
      </c>
    </row>
    <row r="141" spans="1:12" ht="78.75" x14ac:dyDescent="0.25">
      <c r="A141" s="9">
        <f t="shared" si="73"/>
        <v>134</v>
      </c>
      <c r="B141" s="8" t="s">
        <v>201</v>
      </c>
      <c r="C141" s="69">
        <f t="shared" si="60"/>
        <v>420.4</v>
      </c>
      <c r="D141" s="69">
        <f t="shared" si="61"/>
        <v>420.4</v>
      </c>
      <c r="E141" s="69">
        <f t="shared" si="71"/>
        <v>0</v>
      </c>
      <c r="F141" s="69">
        <f t="shared" si="72"/>
        <v>100</v>
      </c>
      <c r="G141" s="69">
        <v>420.4</v>
      </c>
      <c r="H141" s="69">
        <v>420.4</v>
      </c>
      <c r="I141" s="69">
        <v>321.60000000000002</v>
      </c>
      <c r="J141" s="69">
        <v>321.60000000000002</v>
      </c>
      <c r="K141" s="69"/>
      <c r="L141" s="69"/>
    </row>
    <row r="142" spans="1:12" ht="31.5" x14ac:dyDescent="0.25">
      <c r="A142" s="9">
        <f t="shared" si="73"/>
        <v>135</v>
      </c>
      <c r="B142" s="4" t="s">
        <v>85</v>
      </c>
      <c r="C142" s="69">
        <f t="shared" si="60"/>
        <v>5464.2</v>
      </c>
      <c r="D142" s="69">
        <f t="shared" si="61"/>
        <v>4692.1000000000004</v>
      </c>
      <c r="E142" s="69">
        <f t="shared" si="71"/>
        <v>-772.1</v>
      </c>
      <c r="F142" s="69">
        <f t="shared" si="72"/>
        <v>85.9</v>
      </c>
      <c r="G142" s="69">
        <f>51.1+195.6+555.6+4036.1+625.8-59.8</f>
        <v>5404.4</v>
      </c>
      <c r="H142" s="69">
        <f>45.6+163.4+484.3+3471.7+527.1-37.9</f>
        <v>4654.2</v>
      </c>
      <c r="I142" s="69">
        <f>0.9+122.3+656.1+201.8+0.1</f>
        <v>981.2</v>
      </c>
      <c r="J142" s="69">
        <f>0.8+116.4+639.6+191.5+0.1</f>
        <v>948.4</v>
      </c>
      <c r="K142" s="69">
        <f>3.4+8.5+47.9</f>
        <v>59.8</v>
      </c>
      <c r="L142" s="69">
        <f>3.3+4.2+30.4</f>
        <v>37.9</v>
      </c>
    </row>
    <row r="143" spans="1:12" ht="47.25" x14ac:dyDescent="0.25">
      <c r="A143" s="9">
        <f t="shared" si="73"/>
        <v>136</v>
      </c>
      <c r="B143" s="4" t="s">
        <v>136</v>
      </c>
      <c r="C143" s="69">
        <f t="shared" si="60"/>
        <v>34031.800000000003</v>
      </c>
      <c r="D143" s="69">
        <f t="shared" si="61"/>
        <v>34026.1</v>
      </c>
      <c r="E143" s="69">
        <f t="shared" si="71"/>
        <v>-5.7</v>
      </c>
      <c r="F143" s="69">
        <f t="shared" si="72"/>
        <v>100</v>
      </c>
      <c r="G143" s="69">
        <f>34031.8-299.3</f>
        <v>33732.5</v>
      </c>
      <c r="H143" s="69">
        <f>34026.2-299-0.1</f>
        <v>33727.1</v>
      </c>
      <c r="I143" s="69">
        <v>24905.599999999999</v>
      </c>
      <c r="J143" s="69">
        <v>24904.9</v>
      </c>
      <c r="K143" s="69">
        <f>298.5+0.8</f>
        <v>299.3</v>
      </c>
      <c r="L143" s="69">
        <f>298.2+0.8</f>
        <v>299</v>
      </c>
    </row>
    <row r="144" spans="1:12" ht="47.25" x14ac:dyDescent="0.25">
      <c r="A144" s="9">
        <f t="shared" si="73"/>
        <v>137</v>
      </c>
      <c r="B144" s="4" t="s">
        <v>175</v>
      </c>
      <c r="C144" s="69">
        <f t="shared" si="60"/>
        <v>863.2</v>
      </c>
      <c r="D144" s="69">
        <f t="shared" si="61"/>
        <v>863.2</v>
      </c>
      <c r="E144" s="69">
        <f t="shared" si="71"/>
        <v>0</v>
      </c>
      <c r="F144" s="69">
        <f t="shared" si="72"/>
        <v>100</v>
      </c>
      <c r="G144" s="69">
        <v>863.2</v>
      </c>
      <c r="H144" s="69">
        <v>863.2</v>
      </c>
      <c r="I144" s="69">
        <v>659.2</v>
      </c>
      <c r="J144" s="69">
        <v>659.2</v>
      </c>
      <c r="K144" s="69"/>
      <c r="L144" s="69"/>
    </row>
    <row r="145" spans="1:12" ht="31.5" x14ac:dyDescent="0.25">
      <c r="A145" s="9">
        <f t="shared" si="73"/>
        <v>138</v>
      </c>
      <c r="B145" s="4" t="s">
        <v>157</v>
      </c>
      <c r="C145" s="69">
        <f t="shared" si="60"/>
        <v>224.4</v>
      </c>
      <c r="D145" s="69">
        <f t="shared" si="61"/>
        <v>179.6</v>
      </c>
      <c r="E145" s="69">
        <f t="shared" si="71"/>
        <v>-44.8</v>
      </c>
      <c r="F145" s="69">
        <f t="shared" si="72"/>
        <v>80</v>
      </c>
      <c r="G145" s="69">
        <f>218.3+6.1</f>
        <v>224.4</v>
      </c>
      <c r="H145" s="69">
        <v>179.6</v>
      </c>
      <c r="I145" s="69">
        <f>24.6+2.1</f>
        <v>26.7</v>
      </c>
      <c r="J145" s="69"/>
      <c r="K145" s="69"/>
      <c r="L145" s="69"/>
    </row>
    <row r="146" spans="1:12" ht="31.5" x14ac:dyDescent="0.25">
      <c r="A146" s="9">
        <f t="shared" si="73"/>
        <v>139</v>
      </c>
      <c r="B146" s="4" t="s">
        <v>156</v>
      </c>
      <c r="C146" s="69">
        <f t="shared" si="60"/>
        <v>497.6</v>
      </c>
      <c r="D146" s="69">
        <f t="shared" si="61"/>
        <v>495.5</v>
      </c>
      <c r="E146" s="69">
        <f t="shared" si="71"/>
        <v>-2.1</v>
      </c>
      <c r="F146" s="69">
        <f t="shared" si="72"/>
        <v>99.6</v>
      </c>
      <c r="G146" s="69">
        <v>497.6</v>
      </c>
      <c r="H146" s="69">
        <v>495.5</v>
      </c>
      <c r="I146" s="69"/>
      <c r="J146" s="69"/>
      <c r="K146" s="69"/>
      <c r="L146" s="69"/>
    </row>
    <row r="147" spans="1:12" ht="63" x14ac:dyDescent="0.25">
      <c r="A147" s="9">
        <f t="shared" si="73"/>
        <v>140</v>
      </c>
      <c r="B147" s="4" t="s">
        <v>186</v>
      </c>
      <c r="C147" s="69">
        <f t="shared" si="60"/>
        <v>219.8</v>
      </c>
      <c r="D147" s="69">
        <f t="shared" si="61"/>
        <v>206.7</v>
      </c>
      <c r="E147" s="69">
        <f t="shared" si="71"/>
        <v>-13.1</v>
      </c>
      <c r="F147" s="69">
        <f t="shared" si="72"/>
        <v>94</v>
      </c>
      <c r="G147" s="69">
        <v>219.8</v>
      </c>
      <c r="H147" s="69">
        <v>206.7</v>
      </c>
      <c r="I147" s="69">
        <v>167.9</v>
      </c>
      <c r="J147" s="69">
        <v>158.4</v>
      </c>
      <c r="K147" s="69"/>
      <c r="L147" s="69"/>
    </row>
    <row r="148" spans="1:12" ht="47.25" x14ac:dyDescent="0.25">
      <c r="A148" s="9">
        <f t="shared" si="73"/>
        <v>141</v>
      </c>
      <c r="B148" s="10" t="s">
        <v>81</v>
      </c>
      <c r="C148" s="69">
        <f t="shared" si="60"/>
        <v>822.9</v>
      </c>
      <c r="D148" s="69">
        <f t="shared" si="61"/>
        <v>821.9</v>
      </c>
      <c r="E148" s="69">
        <f t="shared" si="71"/>
        <v>-1</v>
      </c>
      <c r="F148" s="69">
        <f t="shared" si="72"/>
        <v>99.9</v>
      </c>
      <c r="G148" s="69">
        <f>824.3-1.4</f>
        <v>822.9</v>
      </c>
      <c r="H148" s="69">
        <f>823.3-1.4</f>
        <v>821.9</v>
      </c>
      <c r="I148" s="69">
        <v>518.79999999999995</v>
      </c>
      <c r="J148" s="69">
        <v>518.79999999999995</v>
      </c>
      <c r="K148" s="69"/>
      <c r="L148" s="69"/>
    </row>
    <row r="149" spans="1:12" ht="63" x14ac:dyDescent="0.25">
      <c r="A149" s="9">
        <f t="shared" si="73"/>
        <v>142</v>
      </c>
      <c r="B149" s="10" t="s">
        <v>84</v>
      </c>
      <c r="C149" s="69">
        <f t="shared" si="60"/>
        <v>1.4</v>
      </c>
      <c r="D149" s="69">
        <f t="shared" si="61"/>
        <v>1.4</v>
      </c>
      <c r="E149" s="69">
        <f t="shared" si="71"/>
        <v>0</v>
      </c>
      <c r="F149" s="69">
        <f t="shared" si="72"/>
        <v>100</v>
      </c>
      <c r="G149" s="69">
        <v>1.4</v>
      </c>
      <c r="H149" s="69">
        <v>1.4</v>
      </c>
      <c r="I149" s="69"/>
      <c r="J149" s="69"/>
      <c r="K149" s="69"/>
      <c r="L149" s="69"/>
    </row>
    <row r="150" spans="1:12" ht="15.75" x14ac:dyDescent="0.25">
      <c r="A150" s="9">
        <f t="shared" si="73"/>
        <v>143</v>
      </c>
      <c r="B150" s="7" t="s">
        <v>86</v>
      </c>
      <c r="C150" s="59">
        <f>+C152+C153+C154</f>
        <v>6634.9</v>
      </c>
      <c r="D150" s="59">
        <f t="shared" ref="D150:L150" si="75">+D152+D153+D154</f>
        <v>6585.1</v>
      </c>
      <c r="E150" s="59">
        <f t="shared" si="75"/>
        <v>-49.8</v>
      </c>
      <c r="F150" s="59">
        <f t="shared" si="72"/>
        <v>99.2</v>
      </c>
      <c r="G150" s="59">
        <f t="shared" si="75"/>
        <v>6366.5</v>
      </c>
      <c r="H150" s="59">
        <f t="shared" si="75"/>
        <v>6316.7</v>
      </c>
      <c r="I150" s="59">
        <f t="shared" si="75"/>
        <v>2129.1</v>
      </c>
      <c r="J150" s="59">
        <f t="shared" si="75"/>
        <v>2128.9</v>
      </c>
      <c r="K150" s="59">
        <f t="shared" si="75"/>
        <v>268.39999999999998</v>
      </c>
      <c r="L150" s="59">
        <f t="shared" si="75"/>
        <v>268.39999999999998</v>
      </c>
    </row>
    <row r="151" spans="1:12" ht="15.75" x14ac:dyDescent="0.25">
      <c r="A151" s="9">
        <f t="shared" si="73"/>
        <v>144</v>
      </c>
      <c r="B151" s="63" t="s">
        <v>2</v>
      </c>
      <c r="C151" s="69">
        <f t="shared" si="60"/>
        <v>0</v>
      </c>
      <c r="D151" s="69">
        <f t="shared" si="61"/>
        <v>0</v>
      </c>
      <c r="E151" s="69">
        <f t="shared" si="71"/>
        <v>0</v>
      </c>
      <c r="F151" s="69"/>
      <c r="G151" s="69"/>
      <c r="H151" s="69"/>
      <c r="I151" s="69"/>
      <c r="J151" s="69"/>
      <c r="K151" s="69"/>
      <c r="L151" s="69"/>
    </row>
    <row r="152" spans="1:12" ht="31.5" x14ac:dyDescent="0.25">
      <c r="A152" s="9">
        <f t="shared" si="73"/>
        <v>145</v>
      </c>
      <c r="B152" s="8" t="s">
        <v>87</v>
      </c>
      <c r="C152" s="69">
        <f t="shared" si="60"/>
        <v>6377</v>
      </c>
      <c r="D152" s="69">
        <f t="shared" si="61"/>
        <v>6359.4</v>
      </c>
      <c r="E152" s="69">
        <f t="shared" si="71"/>
        <v>-17.600000000000001</v>
      </c>
      <c r="F152" s="69">
        <f t="shared" si="72"/>
        <v>99.7</v>
      </c>
      <c r="G152" s="69">
        <f>6377-267.3</f>
        <v>6109.7</v>
      </c>
      <c r="H152" s="69">
        <f>6359.4-267.3</f>
        <v>6092.1</v>
      </c>
      <c r="I152" s="69">
        <v>2105.5</v>
      </c>
      <c r="J152" s="69">
        <v>2105.3000000000002</v>
      </c>
      <c r="K152" s="69">
        <f>40+81.1+146+0.2</f>
        <v>267.3</v>
      </c>
      <c r="L152" s="69">
        <f>40+81.1+146+0.2</f>
        <v>267.3</v>
      </c>
    </row>
    <row r="153" spans="1:12" ht="78.75" x14ac:dyDescent="0.25">
      <c r="A153" s="9">
        <f t="shared" si="73"/>
        <v>146</v>
      </c>
      <c r="B153" s="8" t="s">
        <v>202</v>
      </c>
      <c r="C153" s="69">
        <f t="shared" si="60"/>
        <v>30.8</v>
      </c>
      <c r="D153" s="69">
        <f t="shared" si="61"/>
        <v>30.8</v>
      </c>
      <c r="E153" s="69">
        <f t="shared" si="71"/>
        <v>0</v>
      </c>
      <c r="F153" s="69">
        <f t="shared" si="72"/>
        <v>100</v>
      </c>
      <c r="G153" s="69">
        <v>30.8</v>
      </c>
      <c r="H153" s="69">
        <v>30.8</v>
      </c>
      <c r="I153" s="69">
        <v>23.6</v>
      </c>
      <c r="J153" s="69">
        <v>23.6</v>
      </c>
      <c r="K153" s="69"/>
      <c r="L153" s="69"/>
    </row>
    <row r="154" spans="1:12" ht="31.5" x14ac:dyDescent="0.25">
      <c r="A154" s="9">
        <f t="shared" si="73"/>
        <v>147</v>
      </c>
      <c r="B154" s="4" t="s">
        <v>88</v>
      </c>
      <c r="C154" s="69">
        <f t="shared" si="60"/>
        <v>227.1</v>
      </c>
      <c r="D154" s="69">
        <f t="shared" si="61"/>
        <v>194.9</v>
      </c>
      <c r="E154" s="69">
        <f t="shared" si="71"/>
        <v>-32.200000000000003</v>
      </c>
      <c r="F154" s="69">
        <f t="shared" si="72"/>
        <v>85.8</v>
      </c>
      <c r="G154" s="69">
        <f>12.1+112.8+102.2-1.1</f>
        <v>226</v>
      </c>
      <c r="H154" s="69">
        <f>7.4+111.8+75.7-1.1</f>
        <v>193.8</v>
      </c>
      <c r="I154" s="69"/>
      <c r="J154" s="69"/>
      <c r="K154" s="69">
        <v>1.1000000000000001</v>
      </c>
      <c r="L154" s="69">
        <v>1.1000000000000001</v>
      </c>
    </row>
    <row r="155" spans="1:12" ht="15.75" x14ac:dyDescent="0.25">
      <c r="A155" s="9">
        <f t="shared" si="73"/>
        <v>148</v>
      </c>
      <c r="B155" s="28" t="s">
        <v>6</v>
      </c>
      <c r="C155" s="59">
        <f>+C156+C171</f>
        <v>16533.8</v>
      </c>
      <c r="D155" s="59">
        <f t="shared" ref="D155:E155" si="76">+D156+D171</f>
        <v>13974.8</v>
      </c>
      <c r="E155" s="59">
        <f t="shared" si="76"/>
        <v>-2559</v>
      </c>
      <c r="F155" s="59">
        <f t="shared" si="72"/>
        <v>84.5</v>
      </c>
      <c r="G155" s="59">
        <f t="shared" ref="G155" si="77">+G156+G171</f>
        <v>16314.1</v>
      </c>
      <c r="H155" s="59">
        <f t="shared" ref="H155" si="78">+H156+H171</f>
        <v>13809.9</v>
      </c>
      <c r="I155" s="59">
        <f t="shared" ref="I155" si="79">+I156+I171</f>
        <v>4891.5</v>
      </c>
      <c r="J155" s="59">
        <f t="shared" ref="J155" si="80">+J156+J171</f>
        <v>4821.3999999999996</v>
      </c>
      <c r="K155" s="59">
        <f t="shared" ref="K155" si="81">+K156+K171</f>
        <v>219.7</v>
      </c>
      <c r="L155" s="59">
        <f t="shared" ref="L155" si="82">+L156+L171</f>
        <v>164.9</v>
      </c>
    </row>
    <row r="156" spans="1:12" ht="15.75" x14ac:dyDescent="0.25">
      <c r="A156" s="9">
        <f t="shared" si="73"/>
        <v>149</v>
      </c>
      <c r="B156" s="28" t="s">
        <v>89</v>
      </c>
      <c r="C156" s="59">
        <f>+C158+C159+C160+C161+C162+C163+C170</f>
        <v>14488.5</v>
      </c>
      <c r="D156" s="59">
        <f t="shared" ref="D156:L156" si="83">+D158+D159+D160+D161+D162+D163+D170</f>
        <v>11939.6</v>
      </c>
      <c r="E156" s="59">
        <f t="shared" si="83"/>
        <v>-2548.9</v>
      </c>
      <c r="F156" s="59">
        <f t="shared" si="72"/>
        <v>82.4</v>
      </c>
      <c r="G156" s="59">
        <f t="shared" si="83"/>
        <v>14268.8</v>
      </c>
      <c r="H156" s="59">
        <f t="shared" si="83"/>
        <v>11774.7</v>
      </c>
      <c r="I156" s="59">
        <f t="shared" si="83"/>
        <v>3684.9</v>
      </c>
      <c r="J156" s="59">
        <f t="shared" si="83"/>
        <v>3617.9</v>
      </c>
      <c r="K156" s="59">
        <f t="shared" si="83"/>
        <v>219.7</v>
      </c>
      <c r="L156" s="59">
        <f t="shared" si="83"/>
        <v>164.9</v>
      </c>
    </row>
    <row r="157" spans="1:12" ht="15.75" x14ac:dyDescent="0.25">
      <c r="A157" s="9">
        <f t="shared" si="73"/>
        <v>150</v>
      </c>
      <c r="B157" s="63" t="s">
        <v>2</v>
      </c>
      <c r="C157" s="69">
        <f t="shared" si="60"/>
        <v>0</v>
      </c>
      <c r="D157" s="69">
        <f t="shared" si="61"/>
        <v>0</v>
      </c>
      <c r="E157" s="69">
        <f t="shared" si="71"/>
        <v>0</v>
      </c>
      <c r="F157" s="69"/>
      <c r="G157" s="69"/>
      <c r="H157" s="69"/>
      <c r="I157" s="69"/>
      <c r="J157" s="69"/>
      <c r="K157" s="69"/>
      <c r="L157" s="69"/>
    </row>
    <row r="158" spans="1:12" ht="31.5" x14ac:dyDescent="0.25">
      <c r="A158" s="9">
        <f t="shared" si="73"/>
        <v>151</v>
      </c>
      <c r="B158" s="8" t="s">
        <v>76</v>
      </c>
      <c r="C158" s="69">
        <f t="shared" si="60"/>
        <v>7625.4</v>
      </c>
      <c r="D158" s="69">
        <f t="shared" si="61"/>
        <v>6219.6</v>
      </c>
      <c r="E158" s="69">
        <f t="shared" si="71"/>
        <v>-1405.8</v>
      </c>
      <c r="F158" s="69">
        <f t="shared" si="72"/>
        <v>81.599999999999994</v>
      </c>
      <c r="G158" s="69">
        <f>7625.4-146</f>
        <v>7479.4</v>
      </c>
      <c r="H158" s="69">
        <f>6219.6-144.3</f>
        <v>6075.3</v>
      </c>
      <c r="I158" s="69">
        <v>2184.1</v>
      </c>
      <c r="J158" s="69">
        <f>2159.3+0.1</f>
        <v>2159.4</v>
      </c>
      <c r="K158" s="69">
        <f>66.1+52.4+27.5</f>
        <v>146</v>
      </c>
      <c r="L158" s="69">
        <f>65.1+51.7+27.5</f>
        <v>144.30000000000001</v>
      </c>
    </row>
    <row r="159" spans="1:12" ht="78.75" x14ac:dyDescent="0.25">
      <c r="A159" s="9">
        <f t="shared" si="73"/>
        <v>152</v>
      </c>
      <c r="B159" s="8" t="s">
        <v>203</v>
      </c>
      <c r="C159" s="69">
        <f t="shared" si="60"/>
        <v>19.100000000000001</v>
      </c>
      <c r="D159" s="69">
        <f t="shared" si="61"/>
        <v>19.100000000000001</v>
      </c>
      <c r="E159" s="69">
        <f t="shared" si="71"/>
        <v>0</v>
      </c>
      <c r="F159" s="69">
        <f t="shared" si="72"/>
        <v>100</v>
      </c>
      <c r="G159" s="69">
        <v>19.100000000000001</v>
      </c>
      <c r="H159" s="69">
        <v>19.100000000000001</v>
      </c>
      <c r="I159" s="69">
        <v>14.6</v>
      </c>
      <c r="J159" s="69">
        <v>14.6</v>
      </c>
      <c r="K159" s="69"/>
      <c r="L159" s="69"/>
    </row>
    <row r="160" spans="1:12" ht="31.5" x14ac:dyDescent="0.25">
      <c r="A160" s="9">
        <f t="shared" si="73"/>
        <v>153</v>
      </c>
      <c r="B160" s="10" t="s">
        <v>93</v>
      </c>
      <c r="C160" s="69">
        <f t="shared" si="60"/>
        <v>637.29999999999995</v>
      </c>
      <c r="D160" s="69">
        <f t="shared" si="61"/>
        <v>589.5</v>
      </c>
      <c r="E160" s="69">
        <f t="shared" si="71"/>
        <v>-47.8</v>
      </c>
      <c r="F160" s="69">
        <f t="shared" si="72"/>
        <v>92.5</v>
      </c>
      <c r="G160" s="69">
        <f>133-2.9+504.3-6.5-1.3</f>
        <v>626.6</v>
      </c>
      <c r="H160" s="69">
        <f>125.8-2.9+463.7-6.5-1.3</f>
        <v>578.79999999999995</v>
      </c>
      <c r="I160" s="69">
        <f>34.4+69.9</f>
        <v>104.3</v>
      </c>
      <c r="J160" s="69">
        <f>34.1+69.3</f>
        <v>103.4</v>
      </c>
      <c r="K160" s="69">
        <f>2.9+6.5+1.3</f>
        <v>10.7</v>
      </c>
      <c r="L160" s="69">
        <f>2.9+6.5+1.3</f>
        <v>10.7</v>
      </c>
    </row>
    <row r="161" spans="1:12" ht="47.25" x14ac:dyDescent="0.25">
      <c r="A161" s="9">
        <f t="shared" si="73"/>
        <v>154</v>
      </c>
      <c r="B161" s="4" t="s">
        <v>94</v>
      </c>
      <c r="C161" s="69">
        <f t="shared" si="60"/>
        <v>1116</v>
      </c>
      <c r="D161" s="69">
        <f t="shared" si="61"/>
        <v>429.1</v>
      </c>
      <c r="E161" s="69">
        <f t="shared" si="71"/>
        <v>-686.9</v>
      </c>
      <c r="F161" s="69">
        <f t="shared" si="72"/>
        <v>38.4</v>
      </c>
      <c r="G161" s="69">
        <f>1116-60</f>
        <v>1056</v>
      </c>
      <c r="H161" s="69">
        <f>429.1-9.9</f>
        <v>419.2</v>
      </c>
      <c r="I161" s="69"/>
      <c r="J161" s="69"/>
      <c r="K161" s="69">
        <v>60</v>
      </c>
      <c r="L161" s="69">
        <v>9.9</v>
      </c>
    </row>
    <row r="162" spans="1:12" ht="31.5" x14ac:dyDescent="0.25">
      <c r="A162" s="9">
        <f t="shared" si="73"/>
        <v>155</v>
      </c>
      <c r="B162" s="4" t="s">
        <v>158</v>
      </c>
      <c r="C162" s="69">
        <f t="shared" si="60"/>
        <v>355.4</v>
      </c>
      <c r="D162" s="69">
        <f t="shared" si="61"/>
        <v>109.9</v>
      </c>
      <c r="E162" s="69">
        <f t="shared" si="71"/>
        <v>-245.5</v>
      </c>
      <c r="F162" s="69">
        <f t="shared" si="72"/>
        <v>30.9</v>
      </c>
      <c r="G162" s="69">
        <f>295+60.4-3</f>
        <v>352.4</v>
      </c>
      <c r="H162" s="69">
        <f>77.2+32.7</f>
        <v>109.9</v>
      </c>
      <c r="I162" s="69">
        <f>16.5+9.2</f>
        <v>25.7</v>
      </c>
      <c r="J162" s="69">
        <f>12.1+5.4</f>
        <v>17.5</v>
      </c>
      <c r="K162" s="69">
        <v>3</v>
      </c>
      <c r="L162" s="69"/>
    </row>
    <row r="163" spans="1:12" ht="63" x14ac:dyDescent="0.25">
      <c r="A163" s="9">
        <f t="shared" si="73"/>
        <v>156</v>
      </c>
      <c r="B163" s="10" t="s">
        <v>90</v>
      </c>
      <c r="C163" s="69">
        <f>SUM(C165:C169)</f>
        <v>4402.3</v>
      </c>
      <c r="D163" s="69">
        <f t="shared" ref="D163:L163" si="84">SUM(D165:D169)</f>
        <v>4243.2</v>
      </c>
      <c r="E163" s="69">
        <f t="shared" si="84"/>
        <v>-159.1</v>
      </c>
      <c r="F163" s="69">
        <f t="shared" si="72"/>
        <v>96.4</v>
      </c>
      <c r="G163" s="69">
        <f t="shared" si="84"/>
        <v>4402.3</v>
      </c>
      <c r="H163" s="69">
        <f t="shared" si="84"/>
        <v>4243.2</v>
      </c>
      <c r="I163" s="69">
        <f t="shared" si="84"/>
        <v>1110.0999999999999</v>
      </c>
      <c r="J163" s="69">
        <f t="shared" si="84"/>
        <v>1079.2</v>
      </c>
      <c r="K163" s="69">
        <f t="shared" si="84"/>
        <v>0</v>
      </c>
      <c r="L163" s="69">
        <f t="shared" si="84"/>
        <v>0</v>
      </c>
    </row>
    <row r="164" spans="1:12" ht="15.75" x14ac:dyDescent="0.25">
      <c r="A164" s="9">
        <f t="shared" si="73"/>
        <v>157</v>
      </c>
      <c r="B164" s="63" t="s">
        <v>2</v>
      </c>
      <c r="C164" s="69">
        <f t="shared" si="60"/>
        <v>0</v>
      </c>
      <c r="D164" s="69">
        <f t="shared" si="61"/>
        <v>0</v>
      </c>
      <c r="E164" s="69">
        <f t="shared" si="71"/>
        <v>0</v>
      </c>
      <c r="F164" s="69"/>
      <c r="G164" s="69"/>
      <c r="H164" s="69"/>
      <c r="I164" s="69"/>
      <c r="J164" s="69"/>
      <c r="K164" s="69"/>
      <c r="L164" s="69"/>
    </row>
    <row r="165" spans="1:12" ht="15.75" x14ac:dyDescent="0.25">
      <c r="A165" s="9">
        <f t="shared" si="73"/>
        <v>158</v>
      </c>
      <c r="B165" s="4" t="s">
        <v>25</v>
      </c>
      <c r="C165" s="69">
        <f t="shared" si="60"/>
        <v>3179.2</v>
      </c>
      <c r="D165" s="69">
        <f t="shared" si="61"/>
        <v>3136.5</v>
      </c>
      <c r="E165" s="69">
        <f t="shared" si="71"/>
        <v>-42.7</v>
      </c>
      <c r="F165" s="69">
        <f t="shared" si="72"/>
        <v>98.7</v>
      </c>
      <c r="G165" s="69">
        <v>3179.2</v>
      </c>
      <c r="H165" s="69">
        <v>3136.5</v>
      </c>
      <c r="I165" s="69">
        <v>1110.0999999999999</v>
      </c>
      <c r="J165" s="69">
        <v>1079.2</v>
      </c>
      <c r="K165" s="69"/>
      <c r="L165" s="69"/>
    </row>
    <row r="166" spans="1:12" ht="31.5" x14ac:dyDescent="0.25">
      <c r="A166" s="9">
        <f t="shared" si="73"/>
        <v>159</v>
      </c>
      <c r="B166" s="4" t="s">
        <v>91</v>
      </c>
      <c r="C166" s="69">
        <f t="shared" si="60"/>
        <v>673.4</v>
      </c>
      <c r="D166" s="69">
        <f t="shared" si="61"/>
        <v>635.5</v>
      </c>
      <c r="E166" s="69">
        <f t="shared" si="71"/>
        <v>-37.9</v>
      </c>
      <c r="F166" s="69">
        <f t="shared" si="72"/>
        <v>94.4</v>
      </c>
      <c r="G166" s="69">
        <v>673.4</v>
      </c>
      <c r="H166" s="69">
        <v>635.5</v>
      </c>
      <c r="I166" s="69"/>
      <c r="J166" s="69"/>
      <c r="K166" s="69"/>
      <c r="L166" s="69"/>
    </row>
    <row r="167" spans="1:12" ht="15.75" x14ac:dyDescent="0.25">
      <c r="A167" s="9">
        <f t="shared" si="73"/>
        <v>160</v>
      </c>
      <c r="B167" s="4" t="s">
        <v>27</v>
      </c>
      <c r="C167" s="69">
        <f t="shared" si="60"/>
        <v>359.5</v>
      </c>
      <c r="D167" s="69">
        <f t="shared" si="61"/>
        <v>318.89999999999998</v>
      </c>
      <c r="E167" s="69">
        <f t="shared" si="71"/>
        <v>-40.6</v>
      </c>
      <c r="F167" s="69">
        <f t="shared" si="72"/>
        <v>88.7</v>
      </c>
      <c r="G167" s="69">
        <v>359.5</v>
      </c>
      <c r="H167" s="69">
        <v>318.89999999999998</v>
      </c>
      <c r="I167" s="69"/>
      <c r="J167" s="69"/>
      <c r="K167" s="69"/>
      <c r="L167" s="69"/>
    </row>
    <row r="168" spans="1:12" ht="31.5" x14ac:dyDescent="0.25">
      <c r="A168" s="9">
        <f t="shared" si="73"/>
        <v>161</v>
      </c>
      <c r="B168" s="4" t="s">
        <v>24</v>
      </c>
      <c r="C168" s="69">
        <f t="shared" si="60"/>
        <v>166.1</v>
      </c>
      <c r="D168" s="69">
        <f t="shared" si="61"/>
        <v>132.80000000000001</v>
      </c>
      <c r="E168" s="69">
        <f t="shared" si="71"/>
        <v>-33.299999999999997</v>
      </c>
      <c r="F168" s="69">
        <f t="shared" si="72"/>
        <v>80</v>
      </c>
      <c r="G168" s="69">
        <v>166.1</v>
      </c>
      <c r="H168" s="69">
        <v>132.80000000000001</v>
      </c>
      <c r="I168" s="69"/>
      <c r="J168" s="69"/>
      <c r="K168" s="69"/>
      <c r="L168" s="69"/>
    </row>
    <row r="169" spans="1:12" ht="31.5" x14ac:dyDescent="0.25">
      <c r="A169" s="9">
        <f t="shared" si="73"/>
        <v>162</v>
      </c>
      <c r="B169" s="10" t="s">
        <v>105</v>
      </c>
      <c r="C169" s="69">
        <f t="shared" si="60"/>
        <v>24.1</v>
      </c>
      <c r="D169" s="69">
        <f t="shared" si="61"/>
        <v>19.5</v>
      </c>
      <c r="E169" s="69">
        <f t="shared" si="71"/>
        <v>-4.5999999999999996</v>
      </c>
      <c r="F169" s="69">
        <f t="shared" si="72"/>
        <v>80.900000000000006</v>
      </c>
      <c r="G169" s="69">
        <v>24.1</v>
      </c>
      <c r="H169" s="69">
        <v>19.5</v>
      </c>
      <c r="I169" s="69"/>
      <c r="J169" s="69"/>
      <c r="K169" s="69"/>
      <c r="L169" s="69"/>
    </row>
    <row r="170" spans="1:12" ht="47.25" x14ac:dyDescent="0.25">
      <c r="A170" s="9">
        <f t="shared" si="73"/>
        <v>163</v>
      </c>
      <c r="B170" s="10" t="s">
        <v>92</v>
      </c>
      <c r="C170" s="69">
        <f t="shared" si="60"/>
        <v>333</v>
      </c>
      <c r="D170" s="69">
        <f t="shared" si="61"/>
        <v>329.2</v>
      </c>
      <c r="E170" s="69">
        <f t="shared" si="71"/>
        <v>-3.8</v>
      </c>
      <c r="F170" s="69">
        <f t="shared" si="72"/>
        <v>98.9</v>
      </c>
      <c r="G170" s="69">
        <v>333</v>
      </c>
      <c r="H170" s="69">
        <v>329.2</v>
      </c>
      <c r="I170" s="69">
        <v>246.1</v>
      </c>
      <c r="J170" s="69">
        <v>243.8</v>
      </c>
      <c r="K170" s="69"/>
      <c r="L170" s="69"/>
    </row>
    <row r="171" spans="1:12" ht="15.75" x14ac:dyDescent="0.25">
      <c r="A171" s="9">
        <f t="shared" si="73"/>
        <v>164</v>
      </c>
      <c r="B171" s="28" t="s">
        <v>95</v>
      </c>
      <c r="C171" s="59">
        <f>SUM(C173:C178)</f>
        <v>2045.3</v>
      </c>
      <c r="D171" s="59">
        <f t="shared" ref="D171:L171" si="85">SUM(D173:D178)</f>
        <v>2035.2</v>
      </c>
      <c r="E171" s="59">
        <f t="shared" si="85"/>
        <v>-10.1</v>
      </c>
      <c r="F171" s="59">
        <f t="shared" si="72"/>
        <v>99.5</v>
      </c>
      <c r="G171" s="59">
        <f t="shared" si="85"/>
        <v>2045.3</v>
      </c>
      <c r="H171" s="59">
        <f t="shared" si="85"/>
        <v>2035.2</v>
      </c>
      <c r="I171" s="59">
        <f t="shared" si="85"/>
        <v>1206.5999999999999</v>
      </c>
      <c r="J171" s="59">
        <f t="shared" si="85"/>
        <v>1203.5</v>
      </c>
      <c r="K171" s="59">
        <f t="shared" si="85"/>
        <v>0</v>
      </c>
      <c r="L171" s="59">
        <f t="shared" si="85"/>
        <v>0</v>
      </c>
    </row>
    <row r="172" spans="1:12" ht="15.75" x14ac:dyDescent="0.25">
      <c r="A172" s="9">
        <f t="shared" si="73"/>
        <v>165</v>
      </c>
      <c r="B172" s="63" t="s">
        <v>2</v>
      </c>
      <c r="C172" s="69">
        <f t="shared" si="60"/>
        <v>0</v>
      </c>
      <c r="D172" s="69">
        <f t="shared" si="61"/>
        <v>0</v>
      </c>
      <c r="E172" s="69">
        <f t="shared" si="71"/>
        <v>0</v>
      </c>
      <c r="F172" s="69"/>
      <c r="G172" s="69"/>
      <c r="H172" s="69"/>
      <c r="I172" s="69"/>
      <c r="J172" s="69"/>
      <c r="K172" s="69"/>
      <c r="L172" s="69"/>
    </row>
    <row r="173" spans="1:12" ht="31.5" x14ac:dyDescent="0.25">
      <c r="A173" s="9">
        <f t="shared" si="73"/>
        <v>166</v>
      </c>
      <c r="B173" s="4" t="s">
        <v>130</v>
      </c>
      <c r="C173" s="69">
        <f t="shared" si="60"/>
        <v>415.9</v>
      </c>
      <c r="D173" s="69">
        <f t="shared" si="61"/>
        <v>415.6</v>
      </c>
      <c r="E173" s="69">
        <f t="shared" si="71"/>
        <v>-0.3</v>
      </c>
      <c r="F173" s="69">
        <f t="shared" si="72"/>
        <v>99.9</v>
      </c>
      <c r="G173" s="69">
        <f>442.7-26.8</f>
        <v>415.9</v>
      </c>
      <c r="H173" s="69">
        <f>442.5-26.8-0.1</f>
        <v>415.6</v>
      </c>
      <c r="I173" s="69">
        <v>242.4</v>
      </c>
      <c r="J173" s="69">
        <f>242.4-0.1</f>
        <v>242.3</v>
      </c>
      <c r="K173" s="69"/>
      <c r="L173" s="69"/>
    </row>
    <row r="174" spans="1:12" ht="31.5" x14ac:dyDescent="0.25">
      <c r="A174" s="9">
        <f t="shared" si="73"/>
        <v>167</v>
      </c>
      <c r="B174" s="4" t="s">
        <v>131</v>
      </c>
      <c r="C174" s="69">
        <f t="shared" si="60"/>
        <v>35</v>
      </c>
      <c r="D174" s="69">
        <f t="shared" si="61"/>
        <v>31</v>
      </c>
      <c r="E174" s="69">
        <f t="shared" si="71"/>
        <v>-4</v>
      </c>
      <c r="F174" s="69">
        <f t="shared" si="72"/>
        <v>88.6</v>
      </c>
      <c r="G174" s="69">
        <f>20.3+14.7</f>
        <v>35</v>
      </c>
      <c r="H174" s="69">
        <f>20+11</f>
        <v>31</v>
      </c>
      <c r="I174" s="69">
        <f>14.5+11.2</f>
        <v>25.7</v>
      </c>
      <c r="J174" s="69">
        <f>14.4+8.4</f>
        <v>22.8</v>
      </c>
      <c r="K174" s="69"/>
      <c r="L174" s="69"/>
    </row>
    <row r="175" spans="1:12" ht="31.5" x14ac:dyDescent="0.25">
      <c r="A175" s="9">
        <f t="shared" si="73"/>
        <v>168</v>
      </c>
      <c r="B175" s="4" t="s">
        <v>97</v>
      </c>
      <c r="C175" s="69">
        <f t="shared" si="60"/>
        <v>109.1</v>
      </c>
      <c r="D175" s="69">
        <f t="shared" si="61"/>
        <v>103.9</v>
      </c>
      <c r="E175" s="69">
        <f t="shared" si="71"/>
        <v>-5.2</v>
      </c>
      <c r="F175" s="69">
        <f t="shared" si="72"/>
        <v>95.2</v>
      </c>
      <c r="G175" s="69">
        <v>109.1</v>
      </c>
      <c r="H175" s="69">
        <v>103.9</v>
      </c>
      <c r="I175" s="69"/>
      <c r="J175" s="69"/>
      <c r="K175" s="69"/>
      <c r="L175" s="69"/>
    </row>
    <row r="176" spans="1:12" ht="31.5" x14ac:dyDescent="0.25">
      <c r="A176" s="9">
        <f t="shared" si="73"/>
        <v>169</v>
      </c>
      <c r="B176" s="8" t="s">
        <v>98</v>
      </c>
      <c r="C176" s="69">
        <f t="shared" si="60"/>
        <v>26.8</v>
      </c>
      <c r="D176" s="69">
        <f t="shared" si="61"/>
        <v>26.8</v>
      </c>
      <c r="E176" s="69">
        <f t="shared" si="71"/>
        <v>0</v>
      </c>
      <c r="F176" s="69">
        <f t="shared" si="72"/>
        <v>100</v>
      </c>
      <c r="G176" s="69">
        <v>26.8</v>
      </c>
      <c r="H176" s="69">
        <v>26.8</v>
      </c>
      <c r="I176" s="69"/>
      <c r="J176" s="69"/>
      <c r="K176" s="69"/>
      <c r="L176" s="69"/>
    </row>
    <row r="177" spans="1:12" ht="47.25" x14ac:dyDescent="0.25">
      <c r="A177" s="9">
        <f t="shared" si="73"/>
        <v>170</v>
      </c>
      <c r="B177" s="10" t="s">
        <v>153</v>
      </c>
      <c r="C177" s="69">
        <f t="shared" si="60"/>
        <v>921</v>
      </c>
      <c r="D177" s="69">
        <f t="shared" si="61"/>
        <v>920.6</v>
      </c>
      <c r="E177" s="69">
        <f t="shared" si="71"/>
        <v>-0.4</v>
      </c>
      <c r="F177" s="69">
        <f t="shared" si="72"/>
        <v>100</v>
      </c>
      <c r="G177" s="69">
        <v>921</v>
      </c>
      <c r="H177" s="69">
        <v>920.6</v>
      </c>
      <c r="I177" s="69">
        <v>607.9</v>
      </c>
      <c r="J177" s="69">
        <v>607.9</v>
      </c>
      <c r="K177" s="69"/>
      <c r="L177" s="69"/>
    </row>
    <row r="178" spans="1:12" ht="63" x14ac:dyDescent="0.25">
      <c r="A178" s="9">
        <f t="shared" si="73"/>
        <v>171</v>
      </c>
      <c r="B178" s="10" t="s">
        <v>96</v>
      </c>
      <c r="C178" s="69">
        <f>+C180+C181+C182</f>
        <v>537.5</v>
      </c>
      <c r="D178" s="69">
        <f>+D180+D181+D182</f>
        <v>537.29999999999995</v>
      </c>
      <c r="E178" s="69">
        <f>+E180+E181+E182</f>
        <v>-0.2</v>
      </c>
      <c r="F178" s="69">
        <f t="shared" si="72"/>
        <v>100</v>
      </c>
      <c r="G178" s="69">
        <f t="shared" ref="G178:L178" si="86">+G180+G181+G182</f>
        <v>537.5</v>
      </c>
      <c r="H178" s="69">
        <f t="shared" si="86"/>
        <v>537.29999999999995</v>
      </c>
      <c r="I178" s="69">
        <f t="shared" si="86"/>
        <v>330.6</v>
      </c>
      <c r="J178" s="69">
        <f t="shared" si="86"/>
        <v>330.5</v>
      </c>
      <c r="K178" s="69">
        <f t="shared" si="86"/>
        <v>0</v>
      </c>
      <c r="L178" s="69">
        <f t="shared" si="86"/>
        <v>0</v>
      </c>
    </row>
    <row r="179" spans="1:12" ht="15.75" x14ac:dyDescent="0.25">
      <c r="A179" s="9">
        <f t="shared" si="73"/>
        <v>172</v>
      </c>
      <c r="B179" s="63" t="s">
        <v>2</v>
      </c>
      <c r="C179" s="69">
        <f t="shared" si="60"/>
        <v>0</v>
      </c>
      <c r="D179" s="69">
        <f t="shared" si="61"/>
        <v>0</v>
      </c>
      <c r="E179" s="69">
        <f t="shared" si="71"/>
        <v>0</v>
      </c>
      <c r="F179" s="69"/>
      <c r="G179" s="69"/>
      <c r="H179" s="69"/>
      <c r="I179" s="69"/>
      <c r="J179" s="69"/>
      <c r="K179" s="69"/>
      <c r="L179" s="69"/>
    </row>
    <row r="180" spans="1:12" ht="15.75" x14ac:dyDescent="0.25">
      <c r="A180" s="9">
        <f t="shared" si="73"/>
        <v>173</v>
      </c>
      <c r="B180" s="10" t="s">
        <v>28</v>
      </c>
      <c r="C180" s="69">
        <f t="shared" si="60"/>
        <v>351.6</v>
      </c>
      <c r="D180" s="69">
        <f t="shared" si="61"/>
        <v>351.6</v>
      </c>
      <c r="E180" s="69">
        <f t="shared" si="71"/>
        <v>0</v>
      </c>
      <c r="F180" s="69">
        <f t="shared" si="72"/>
        <v>100</v>
      </c>
      <c r="G180" s="69">
        <v>351.6</v>
      </c>
      <c r="H180" s="69">
        <v>351.6</v>
      </c>
      <c r="I180" s="69">
        <v>232</v>
      </c>
      <c r="J180" s="69">
        <v>232</v>
      </c>
      <c r="K180" s="69"/>
      <c r="L180" s="69"/>
    </row>
    <row r="181" spans="1:12" ht="15.75" x14ac:dyDescent="0.25">
      <c r="A181" s="9">
        <f t="shared" si="73"/>
        <v>174</v>
      </c>
      <c r="B181" s="10" t="s">
        <v>29</v>
      </c>
      <c r="C181" s="69">
        <f t="shared" si="60"/>
        <v>181.2</v>
      </c>
      <c r="D181" s="69">
        <f t="shared" si="61"/>
        <v>181.2</v>
      </c>
      <c r="E181" s="69">
        <f t="shared" si="71"/>
        <v>0</v>
      </c>
      <c r="F181" s="69">
        <f t="shared" si="72"/>
        <v>100</v>
      </c>
      <c r="G181" s="69">
        <v>181.2</v>
      </c>
      <c r="H181" s="69">
        <v>181.2</v>
      </c>
      <c r="I181" s="69">
        <v>95.4</v>
      </c>
      <c r="J181" s="69">
        <v>95.4</v>
      </c>
      <c r="K181" s="69"/>
      <c r="L181" s="69"/>
    </row>
    <row r="182" spans="1:12" ht="33" customHeight="1" x14ac:dyDescent="0.25">
      <c r="A182" s="9">
        <f t="shared" si="73"/>
        <v>175</v>
      </c>
      <c r="B182" s="10" t="s">
        <v>144</v>
      </c>
      <c r="C182" s="69">
        <f t="shared" si="60"/>
        <v>4.7</v>
      </c>
      <c r="D182" s="69">
        <f t="shared" si="61"/>
        <v>4.5</v>
      </c>
      <c r="E182" s="69">
        <f t="shared" si="71"/>
        <v>-0.2</v>
      </c>
      <c r="F182" s="69">
        <f t="shared" si="72"/>
        <v>95.7</v>
      </c>
      <c r="G182" s="69">
        <v>4.7</v>
      </c>
      <c r="H182" s="69">
        <v>4.5</v>
      </c>
      <c r="I182" s="69">
        <v>3.2</v>
      </c>
      <c r="J182" s="69">
        <v>3.1</v>
      </c>
      <c r="K182" s="69"/>
      <c r="L182" s="69"/>
    </row>
    <row r="183" spans="1:12" ht="15.75" x14ac:dyDescent="0.25">
      <c r="A183" s="9">
        <f t="shared" si="73"/>
        <v>176</v>
      </c>
      <c r="B183" s="28" t="s">
        <v>99</v>
      </c>
      <c r="C183" s="59">
        <f>+C8+C13+C57+C99+C108+C132+C155</f>
        <v>167421</v>
      </c>
      <c r="D183" s="59">
        <f t="shared" ref="D183:L183" si="87">+D8+D13+D57+D99+D108+D132+D155</f>
        <v>152554.6</v>
      </c>
      <c r="E183" s="59">
        <f t="shared" si="87"/>
        <v>-14866.4</v>
      </c>
      <c r="F183" s="59">
        <f t="shared" si="72"/>
        <v>91.1</v>
      </c>
      <c r="G183" s="59">
        <f t="shared" si="87"/>
        <v>132973.1</v>
      </c>
      <c r="H183" s="59">
        <f t="shared" si="87"/>
        <v>126534.8</v>
      </c>
      <c r="I183" s="59">
        <f t="shared" si="87"/>
        <v>58394.2</v>
      </c>
      <c r="J183" s="59">
        <f t="shared" si="87"/>
        <v>58178.5</v>
      </c>
      <c r="K183" s="59">
        <f t="shared" si="87"/>
        <v>34447.9</v>
      </c>
      <c r="L183" s="59">
        <f t="shared" si="87"/>
        <v>26019.8</v>
      </c>
    </row>
    <row r="185" spans="1:12" x14ac:dyDescent="0.2">
      <c r="B185" s="14"/>
      <c r="C185" s="14"/>
    </row>
  </sheetData>
  <mergeCells count="14">
    <mergeCell ref="F3:F6"/>
    <mergeCell ref="G3:L3"/>
    <mergeCell ref="G4:J4"/>
    <mergeCell ref="K4:L4"/>
    <mergeCell ref="G5:G6"/>
    <mergeCell ref="H5:H6"/>
    <mergeCell ref="I5:J5"/>
    <mergeCell ref="K5:K6"/>
    <mergeCell ref="L5:L6"/>
    <mergeCell ref="A3:A6"/>
    <mergeCell ref="B3:B6"/>
    <mergeCell ref="C3:C6"/>
    <mergeCell ref="D3:D6"/>
    <mergeCell ref="E3:E6"/>
  </mergeCells>
  <pageMargins left="0.9055118110236221" right="0.31496062992125984" top="0.86614173228346458" bottom="0.39370078740157483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Zeros="0" zoomScale="99" zoomScaleNormal="99" workbookViewId="0">
      <selection activeCell="Q58" sqref="Q58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2.28515625" style="2" customWidth="1"/>
    <col min="5" max="5" width="10.85546875" style="2" bestFit="1" customWidth="1"/>
    <col min="6" max="6" width="12.85546875" style="2" customWidth="1"/>
    <col min="7" max="7" width="10.28515625" style="2" bestFit="1" customWidth="1"/>
    <col min="8" max="8" width="11.28515625" style="2" customWidth="1"/>
    <col min="9" max="9" width="10.85546875" style="2" bestFit="1" customWidth="1"/>
    <col min="10" max="10" width="11.5703125" style="2" customWidth="1"/>
    <col min="11" max="11" width="10.28515625" style="2" bestFit="1" customWidth="1"/>
    <col min="12" max="12" width="12.140625" style="2" customWidth="1"/>
    <col min="13" max="13" width="10.28515625" style="2" bestFit="1" customWidth="1"/>
    <col min="14" max="113" width="10.140625" style="2"/>
    <col min="114" max="114" width="5.28515625" style="2" customWidth="1"/>
    <col min="115" max="115" width="23" style="2" customWidth="1"/>
    <col min="116" max="116" width="18" style="2" customWidth="1"/>
    <col min="117" max="117" width="12" style="2" customWidth="1"/>
    <col min="118" max="118" width="11" style="2" customWidth="1"/>
    <col min="119" max="119" width="10.85546875" style="2" customWidth="1"/>
    <col min="120" max="120" width="9.42578125" style="2" customWidth="1"/>
    <col min="121" max="369" width="10.140625" style="2"/>
    <col min="370" max="370" width="5.28515625" style="2" customWidth="1"/>
    <col min="371" max="371" width="23" style="2" customWidth="1"/>
    <col min="372" max="372" width="18" style="2" customWidth="1"/>
    <col min="373" max="373" width="12" style="2" customWidth="1"/>
    <col min="374" max="374" width="11" style="2" customWidth="1"/>
    <col min="375" max="375" width="10.85546875" style="2" customWidth="1"/>
    <col min="376" max="376" width="9.42578125" style="2" customWidth="1"/>
    <col min="377" max="625" width="10.140625" style="2"/>
    <col min="626" max="626" width="5.28515625" style="2" customWidth="1"/>
    <col min="627" max="627" width="23" style="2" customWidth="1"/>
    <col min="628" max="628" width="18" style="2" customWidth="1"/>
    <col min="629" max="629" width="12" style="2" customWidth="1"/>
    <col min="630" max="630" width="11" style="2" customWidth="1"/>
    <col min="631" max="631" width="10.85546875" style="2" customWidth="1"/>
    <col min="632" max="632" width="9.42578125" style="2" customWidth="1"/>
    <col min="633" max="881" width="10.140625" style="2"/>
    <col min="882" max="882" width="5.28515625" style="2" customWidth="1"/>
    <col min="883" max="883" width="23" style="2" customWidth="1"/>
    <col min="884" max="884" width="18" style="2" customWidth="1"/>
    <col min="885" max="885" width="12" style="2" customWidth="1"/>
    <col min="886" max="886" width="11" style="2" customWidth="1"/>
    <col min="887" max="887" width="10.85546875" style="2" customWidth="1"/>
    <col min="888" max="888" width="9.42578125" style="2" customWidth="1"/>
    <col min="889" max="1137" width="10.140625" style="2"/>
    <col min="1138" max="1138" width="5.28515625" style="2" customWidth="1"/>
    <col min="1139" max="1139" width="23" style="2" customWidth="1"/>
    <col min="1140" max="1140" width="18" style="2" customWidth="1"/>
    <col min="1141" max="1141" width="12" style="2" customWidth="1"/>
    <col min="1142" max="1142" width="11" style="2" customWidth="1"/>
    <col min="1143" max="1143" width="10.85546875" style="2" customWidth="1"/>
    <col min="1144" max="1144" width="9.42578125" style="2" customWidth="1"/>
    <col min="1145" max="1393" width="10.140625" style="2"/>
    <col min="1394" max="1394" width="5.28515625" style="2" customWidth="1"/>
    <col min="1395" max="1395" width="23" style="2" customWidth="1"/>
    <col min="1396" max="1396" width="18" style="2" customWidth="1"/>
    <col min="1397" max="1397" width="12" style="2" customWidth="1"/>
    <col min="1398" max="1398" width="11" style="2" customWidth="1"/>
    <col min="1399" max="1399" width="10.85546875" style="2" customWidth="1"/>
    <col min="1400" max="1400" width="9.42578125" style="2" customWidth="1"/>
    <col min="1401" max="1649" width="10.140625" style="2"/>
    <col min="1650" max="1650" width="5.28515625" style="2" customWidth="1"/>
    <col min="1651" max="1651" width="23" style="2" customWidth="1"/>
    <col min="1652" max="1652" width="18" style="2" customWidth="1"/>
    <col min="1653" max="1653" width="12" style="2" customWidth="1"/>
    <col min="1654" max="1654" width="11" style="2" customWidth="1"/>
    <col min="1655" max="1655" width="10.85546875" style="2" customWidth="1"/>
    <col min="1656" max="1656" width="9.42578125" style="2" customWidth="1"/>
    <col min="1657" max="1905" width="10.140625" style="2"/>
    <col min="1906" max="1906" width="5.28515625" style="2" customWidth="1"/>
    <col min="1907" max="1907" width="23" style="2" customWidth="1"/>
    <col min="1908" max="1908" width="18" style="2" customWidth="1"/>
    <col min="1909" max="1909" width="12" style="2" customWidth="1"/>
    <col min="1910" max="1910" width="11" style="2" customWidth="1"/>
    <col min="1911" max="1911" width="10.85546875" style="2" customWidth="1"/>
    <col min="1912" max="1912" width="9.42578125" style="2" customWidth="1"/>
    <col min="1913" max="2161" width="10.140625" style="2"/>
    <col min="2162" max="2162" width="5.28515625" style="2" customWidth="1"/>
    <col min="2163" max="2163" width="23" style="2" customWidth="1"/>
    <col min="2164" max="2164" width="18" style="2" customWidth="1"/>
    <col min="2165" max="2165" width="12" style="2" customWidth="1"/>
    <col min="2166" max="2166" width="11" style="2" customWidth="1"/>
    <col min="2167" max="2167" width="10.85546875" style="2" customWidth="1"/>
    <col min="2168" max="2168" width="9.42578125" style="2" customWidth="1"/>
    <col min="2169" max="2417" width="10.140625" style="2"/>
    <col min="2418" max="2418" width="5.28515625" style="2" customWidth="1"/>
    <col min="2419" max="2419" width="23" style="2" customWidth="1"/>
    <col min="2420" max="2420" width="18" style="2" customWidth="1"/>
    <col min="2421" max="2421" width="12" style="2" customWidth="1"/>
    <col min="2422" max="2422" width="11" style="2" customWidth="1"/>
    <col min="2423" max="2423" width="10.85546875" style="2" customWidth="1"/>
    <col min="2424" max="2424" width="9.42578125" style="2" customWidth="1"/>
    <col min="2425" max="2673" width="10.140625" style="2"/>
    <col min="2674" max="2674" width="5.28515625" style="2" customWidth="1"/>
    <col min="2675" max="2675" width="23" style="2" customWidth="1"/>
    <col min="2676" max="2676" width="18" style="2" customWidth="1"/>
    <col min="2677" max="2677" width="12" style="2" customWidth="1"/>
    <col min="2678" max="2678" width="11" style="2" customWidth="1"/>
    <col min="2679" max="2679" width="10.85546875" style="2" customWidth="1"/>
    <col min="2680" max="2680" width="9.42578125" style="2" customWidth="1"/>
    <col min="2681" max="2929" width="10.140625" style="2"/>
    <col min="2930" max="2930" width="5.28515625" style="2" customWidth="1"/>
    <col min="2931" max="2931" width="23" style="2" customWidth="1"/>
    <col min="2932" max="2932" width="18" style="2" customWidth="1"/>
    <col min="2933" max="2933" width="12" style="2" customWidth="1"/>
    <col min="2934" max="2934" width="11" style="2" customWidth="1"/>
    <col min="2935" max="2935" width="10.85546875" style="2" customWidth="1"/>
    <col min="2936" max="2936" width="9.42578125" style="2" customWidth="1"/>
    <col min="2937" max="3185" width="10.140625" style="2"/>
    <col min="3186" max="3186" width="5.28515625" style="2" customWidth="1"/>
    <col min="3187" max="3187" width="23" style="2" customWidth="1"/>
    <col min="3188" max="3188" width="18" style="2" customWidth="1"/>
    <col min="3189" max="3189" width="12" style="2" customWidth="1"/>
    <col min="3190" max="3190" width="11" style="2" customWidth="1"/>
    <col min="3191" max="3191" width="10.85546875" style="2" customWidth="1"/>
    <col min="3192" max="3192" width="9.42578125" style="2" customWidth="1"/>
    <col min="3193" max="3441" width="10.140625" style="2"/>
    <col min="3442" max="3442" width="5.28515625" style="2" customWidth="1"/>
    <col min="3443" max="3443" width="23" style="2" customWidth="1"/>
    <col min="3444" max="3444" width="18" style="2" customWidth="1"/>
    <col min="3445" max="3445" width="12" style="2" customWidth="1"/>
    <col min="3446" max="3446" width="11" style="2" customWidth="1"/>
    <col min="3447" max="3447" width="10.85546875" style="2" customWidth="1"/>
    <col min="3448" max="3448" width="9.42578125" style="2" customWidth="1"/>
    <col min="3449" max="3697" width="10.140625" style="2"/>
    <col min="3698" max="3698" width="5.28515625" style="2" customWidth="1"/>
    <col min="3699" max="3699" width="23" style="2" customWidth="1"/>
    <col min="3700" max="3700" width="18" style="2" customWidth="1"/>
    <col min="3701" max="3701" width="12" style="2" customWidth="1"/>
    <col min="3702" max="3702" width="11" style="2" customWidth="1"/>
    <col min="3703" max="3703" width="10.85546875" style="2" customWidth="1"/>
    <col min="3704" max="3704" width="9.42578125" style="2" customWidth="1"/>
    <col min="3705" max="3953" width="10.140625" style="2"/>
    <col min="3954" max="3954" width="5.28515625" style="2" customWidth="1"/>
    <col min="3955" max="3955" width="23" style="2" customWidth="1"/>
    <col min="3956" max="3956" width="18" style="2" customWidth="1"/>
    <col min="3957" max="3957" width="12" style="2" customWidth="1"/>
    <col min="3958" max="3958" width="11" style="2" customWidth="1"/>
    <col min="3959" max="3959" width="10.85546875" style="2" customWidth="1"/>
    <col min="3960" max="3960" width="9.42578125" style="2" customWidth="1"/>
    <col min="3961" max="4209" width="10.140625" style="2"/>
    <col min="4210" max="4210" width="5.28515625" style="2" customWidth="1"/>
    <col min="4211" max="4211" width="23" style="2" customWidth="1"/>
    <col min="4212" max="4212" width="18" style="2" customWidth="1"/>
    <col min="4213" max="4213" width="12" style="2" customWidth="1"/>
    <col min="4214" max="4214" width="11" style="2" customWidth="1"/>
    <col min="4215" max="4215" width="10.85546875" style="2" customWidth="1"/>
    <col min="4216" max="4216" width="9.42578125" style="2" customWidth="1"/>
    <col min="4217" max="4465" width="10.140625" style="2"/>
    <col min="4466" max="4466" width="5.28515625" style="2" customWidth="1"/>
    <col min="4467" max="4467" width="23" style="2" customWidth="1"/>
    <col min="4468" max="4468" width="18" style="2" customWidth="1"/>
    <col min="4469" max="4469" width="12" style="2" customWidth="1"/>
    <col min="4470" max="4470" width="11" style="2" customWidth="1"/>
    <col min="4471" max="4471" width="10.85546875" style="2" customWidth="1"/>
    <col min="4472" max="4472" width="9.42578125" style="2" customWidth="1"/>
    <col min="4473" max="4721" width="10.140625" style="2"/>
    <col min="4722" max="4722" width="5.28515625" style="2" customWidth="1"/>
    <col min="4723" max="4723" width="23" style="2" customWidth="1"/>
    <col min="4724" max="4724" width="18" style="2" customWidth="1"/>
    <col min="4725" max="4725" width="12" style="2" customWidth="1"/>
    <col min="4726" max="4726" width="11" style="2" customWidth="1"/>
    <col min="4727" max="4727" width="10.85546875" style="2" customWidth="1"/>
    <col min="4728" max="4728" width="9.42578125" style="2" customWidth="1"/>
    <col min="4729" max="4977" width="10.140625" style="2"/>
    <col min="4978" max="4978" width="5.28515625" style="2" customWidth="1"/>
    <col min="4979" max="4979" width="23" style="2" customWidth="1"/>
    <col min="4980" max="4980" width="18" style="2" customWidth="1"/>
    <col min="4981" max="4981" width="12" style="2" customWidth="1"/>
    <col min="4982" max="4982" width="11" style="2" customWidth="1"/>
    <col min="4983" max="4983" width="10.85546875" style="2" customWidth="1"/>
    <col min="4984" max="4984" width="9.42578125" style="2" customWidth="1"/>
    <col min="4985" max="5233" width="10.140625" style="2"/>
    <col min="5234" max="5234" width="5.28515625" style="2" customWidth="1"/>
    <col min="5235" max="5235" width="23" style="2" customWidth="1"/>
    <col min="5236" max="5236" width="18" style="2" customWidth="1"/>
    <col min="5237" max="5237" width="12" style="2" customWidth="1"/>
    <col min="5238" max="5238" width="11" style="2" customWidth="1"/>
    <col min="5239" max="5239" width="10.85546875" style="2" customWidth="1"/>
    <col min="5240" max="5240" width="9.42578125" style="2" customWidth="1"/>
    <col min="5241" max="5489" width="10.140625" style="2"/>
    <col min="5490" max="5490" width="5.28515625" style="2" customWidth="1"/>
    <col min="5491" max="5491" width="23" style="2" customWidth="1"/>
    <col min="5492" max="5492" width="18" style="2" customWidth="1"/>
    <col min="5493" max="5493" width="12" style="2" customWidth="1"/>
    <col min="5494" max="5494" width="11" style="2" customWidth="1"/>
    <col min="5495" max="5495" width="10.85546875" style="2" customWidth="1"/>
    <col min="5496" max="5496" width="9.42578125" style="2" customWidth="1"/>
    <col min="5497" max="5745" width="10.140625" style="2"/>
    <col min="5746" max="5746" width="5.28515625" style="2" customWidth="1"/>
    <col min="5747" max="5747" width="23" style="2" customWidth="1"/>
    <col min="5748" max="5748" width="18" style="2" customWidth="1"/>
    <col min="5749" max="5749" width="12" style="2" customWidth="1"/>
    <col min="5750" max="5750" width="11" style="2" customWidth="1"/>
    <col min="5751" max="5751" width="10.85546875" style="2" customWidth="1"/>
    <col min="5752" max="5752" width="9.42578125" style="2" customWidth="1"/>
    <col min="5753" max="6001" width="10.140625" style="2"/>
    <col min="6002" max="6002" width="5.28515625" style="2" customWidth="1"/>
    <col min="6003" max="6003" width="23" style="2" customWidth="1"/>
    <col min="6004" max="6004" width="18" style="2" customWidth="1"/>
    <col min="6005" max="6005" width="12" style="2" customWidth="1"/>
    <col min="6006" max="6006" width="11" style="2" customWidth="1"/>
    <col min="6007" max="6007" width="10.85546875" style="2" customWidth="1"/>
    <col min="6008" max="6008" width="9.42578125" style="2" customWidth="1"/>
    <col min="6009" max="6257" width="10.140625" style="2"/>
    <col min="6258" max="6258" width="5.28515625" style="2" customWidth="1"/>
    <col min="6259" max="6259" width="23" style="2" customWidth="1"/>
    <col min="6260" max="6260" width="18" style="2" customWidth="1"/>
    <col min="6261" max="6261" width="12" style="2" customWidth="1"/>
    <col min="6262" max="6262" width="11" style="2" customWidth="1"/>
    <col min="6263" max="6263" width="10.85546875" style="2" customWidth="1"/>
    <col min="6264" max="6264" width="9.42578125" style="2" customWidth="1"/>
    <col min="6265" max="6513" width="10.140625" style="2"/>
    <col min="6514" max="6514" width="5.28515625" style="2" customWidth="1"/>
    <col min="6515" max="6515" width="23" style="2" customWidth="1"/>
    <col min="6516" max="6516" width="18" style="2" customWidth="1"/>
    <col min="6517" max="6517" width="12" style="2" customWidth="1"/>
    <col min="6518" max="6518" width="11" style="2" customWidth="1"/>
    <col min="6519" max="6519" width="10.85546875" style="2" customWidth="1"/>
    <col min="6520" max="6520" width="9.42578125" style="2" customWidth="1"/>
    <col min="6521" max="6769" width="10.140625" style="2"/>
    <col min="6770" max="6770" width="5.28515625" style="2" customWidth="1"/>
    <col min="6771" max="6771" width="23" style="2" customWidth="1"/>
    <col min="6772" max="6772" width="18" style="2" customWidth="1"/>
    <col min="6773" max="6773" width="12" style="2" customWidth="1"/>
    <col min="6774" max="6774" width="11" style="2" customWidth="1"/>
    <col min="6775" max="6775" width="10.85546875" style="2" customWidth="1"/>
    <col min="6776" max="6776" width="9.42578125" style="2" customWidth="1"/>
    <col min="6777" max="7025" width="10.140625" style="2"/>
    <col min="7026" max="7026" width="5.28515625" style="2" customWidth="1"/>
    <col min="7027" max="7027" width="23" style="2" customWidth="1"/>
    <col min="7028" max="7028" width="18" style="2" customWidth="1"/>
    <col min="7029" max="7029" width="12" style="2" customWidth="1"/>
    <col min="7030" max="7030" width="11" style="2" customWidth="1"/>
    <col min="7031" max="7031" width="10.85546875" style="2" customWidth="1"/>
    <col min="7032" max="7032" width="9.42578125" style="2" customWidth="1"/>
    <col min="7033" max="7281" width="10.140625" style="2"/>
    <col min="7282" max="7282" width="5.28515625" style="2" customWidth="1"/>
    <col min="7283" max="7283" width="23" style="2" customWidth="1"/>
    <col min="7284" max="7284" width="18" style="2" customWidth="1"/>
    <col min="7285" max="7285" width="12" style="2" customWidth="1"/>
    <col min="7286" max="7286" width="11" style="2" customWidth="1"/>
    <col min="7287" max="7287" width="10.85546875" style="2" customWidth="1"/>
    <col min="7288" max="7288" width="9.42578125" style="2" customWidth="1"/>
    <col min="7289" max="7537" width="10.140625" style="2"/>
    <col min="7538" max="7538" width="5.28515625" style="2" customWidth="1"/>
    <col min="7539" max="7539" width="23" style="2" customWidth="1"/>
    <col min="7540" max="7540" width="18" style="2" customWidth="1"/>
    <col min="7541" max="7541" width="12" style="2" customWidth="1"/>
    <col min="7542" max="7542" width="11" style="2" customWidth="1"/>
    <col min="7543" max="7543" width="10.85546875" style="2" customWidth="1"/>
    <col min="7544" max="7544" width="9.42578125" style="2" customWidth="1"/>
    <col min="7545" max="7793" width="10.140625" style="2"/>
    <col min="7794" max="7794" width="5.28515625" style="2" customWidth="1"/>
    <col min="7795" max="7795" width="23" style="2" customWidth="1"/>
    <col min="7796" max="7796" width="18" style="2" customWidth="1"/>
    <col min="7797" max="7797" width="12" style="2" customWidth="1"/>
    <col min="7798" max="7798" width="11" style="2" customWidth="1"/>
    <col min="7799" max="7799" width="10.85546875" style="2" customWidth="1"/>
    <col min="7800" max="7800" width="9.42578125" style="2" customWidth="1"/>
    <col min="7801" max="8049" width="10.140625" style="2"/>
    <col min="8050" max="8050" width="5.28515625" style="2" customWidth="1"/>
    <col min="8051" max="8051" width="23" style="2" customWidth="1"/>
    <col min="8052" max="8052" width="18" style="2" customWidth="1"/>
    <col min="8053" max="8053" width="12" style="2" customWidth="1"/>
    <col min="8054" max="8054" width="11" style="2" customWidth="1"/>
    <col min="8055" max="8055" width="10.85546875" style="2" customWidth="1"/>
    <col min="8056" max="8056" width="9.42578125" style="2" customWidth="1"/>
    <col min="8057" max="8305" width="10.140625" style="2"/>
    <col min="8306" max="8306" width="5.28515625" style="2" customWidth="1"/>
    <col min="8307" max="8307" width="23" style="2" customWidth="1"/>
    <col min="8308" max="8308" width="18" style="2" customWidth="1"/>
    <col min="8309" max="8309" width="12" style="2" customWidth="1"/>
    <col min="8310" max="8310" width="11" style="2" customWidth="1"/>
    <col min="8311" max="8311" width="10.85546875" style="2" customWidth="1"/>
    <col min="8312" max="8312" width="9.42578125" style="2" customWidth="1"/>
    <col min="8313" max="8561" width="10.140625" style="2"/>
    <col min="8562" max="8562" width="5.28515625" style="2" customWidth="1"/>
    <col min="8563" max="8563" width="23" style="2" customWidth="1"/>
    <col min="8564" max="8564" width="18" style="2" customWidth="1"/>
    <col min="8565" max="8565" width="12" style="2" customWidth="1"/>
    <col min="8566" max="8566" width="11" style="2" customWidth="1"/>
    <col min="8567" max="8567" width="10.85546875" style="2" customWidth="1"/>
    <col min="8568" max="8568" width="9.42578125" style="2" customWidth="1"/>
    <col min="8569" max="8817" width="10.140625" style="2"/>
    <col min="8818" max="8818" width="5.28515625" style="2" customWidth="1"/>
    <col min="8819" max="8819" width="23" style="2" customWidth="1"/>
    <col min="8820" max="8820" width="18" style="2" customWidth="1"/>
    <col min="8821" max="8821" width="12" style="2" customWidth="1"/>
    <col min="8822" max="8822" width="11" style="2" customWidth="1"/>
    <col min="8823" max="8823" width="10.85546875" style="2" customWidth="1"/>
    <col min="8824" max="8824" width="9.42578125" style="2" customWidth="1"/>
    <col min="8825" max="9073" width="10.140625" style="2"/>
    <col min="9074" max="9074" width="5.28515625" style="2" customWidth="1"/>
    <col min="9075" max="9075" width="23" style="2" customWidth="1"/>
    <col min="9076" max="9076" width="18" style="2" customWidth="1"/>
    <col min="9077" max="9077" width="12" style="2" customWidth="1"/>
    <col min="9078" max="9078" width="11" style="2" customWidth="1"/>
    <col min="9079" max="9079" width="10.85546875" style="2" customWidth="1"/>
    <col min="9080" max="9080" width="9.42578125" style="2" customWidth="1"/>
    <col min="9081" max="9329" width="10.140625" style="2"/>
    <col min="9330" max="9330" width="5.28515625" style="2" customWidth="1"/>
    <col min="9331" max="9331" width="23" style="2" customWidth="1"/>
    <col min="9332" max="9332" width="18" style="2" customWidth="1"/>
    <col min="9333" max="9333" width="12" style="2" customWidth="1"/>
    <col min="9334" max="9334" width="11" style="2" customWidth="1"/>
    <col min="9335" max="9335" width="10.85546875" style="2" customWidth="1"/>
    <col min="9336" max="9336" width="9.42578125" style="2" customWidth="1"/>
    <col min="9337" max="9585" width="10.140625" style="2"/>
    <col min="9586" max="9586" width="5.28515625" style="2" customWidth="1"/>
    <col min="9587" max="9587" width="23" style="2" customWidth="1"/>
    <col min="9588" max="9588" width="18" style="2" customWidth="1"/>
    <col min="9589" max="9589" width="12" style="2" customWidth="1"/>
    <col min="9590" max="9590" width="11" style="2" customWidth="1"/>
    <col min="9591" max="9591" width="10.85546875" style="2" customWidth="1"/>
    <col min="9592" max="9592" width="9.42578125" style="2" customWidth="1"/>
    <col min="9593" max="9841" width="10.140625" style="2"/>
    <col min="9842" max="9842" width="5.28515625" style="2" customWidth="1"/>
    <col min="9843" max="9843" width="23" style="2" customWidth="1"/>
    <col min="9844" max="9844" width="18" style="2" customWidth="1"/>
    <col min="9845" max="9845" width="12" style="2" customWidth="1"/>
    <col min="9846" max="9846" width="11" style="2" customWidth="1"/>
    <col min="9847" max="9847" width="10.85546875" style="2" customWidth="1"/>
    <col min="9848" max="9848" width="9.42578125" style="2" customWidth="1"/>
    <col min="9849" max="10097" width="10.140625" style="2"/>
    <col min="10098" max="10098" width="5.28515625" style="2" customWidth="1"/>
    <col min="10099" max="10099" width="23" style="2" customWidth="1"/>
    <col min="10100" max="10100" width="18" style="2" customWidth="1"/>
    <col min="10101" max="10101" width="12" style="2" customWidth="1"/>
    <col min="10102" max="10102" width="11" style="2" customWidth="1"/>
    <col min="10103" max="10103" width="10.85546875" style="2" customWidth="1"/>
    <col min="10104" max="10104" width="9.42578125" style="2" customWidth="1"/>
    <col min="10105" max="10353" width="10.140625" style="2"/>
    <col min="10354" max="10354" width="5.28515625" style="2" customWidth="1"/>
    <col min="10355" max="10355" width="23" style="2" customWidth="1"/>
    <col min="10356" max="10356" width="18" style="2" customWidth="1"/>
    <col min="10357" max="10357" width="12" style="2" customWidth="1"/>
    <col min="10358" max="10358" width="11" style="2" customWidth="1"/>
    <col min="10359" max="10359" width="10.85546875" style="2" customWidth="1"/>
    <col min="10360" max="10360" width="9.42578125" style="2" customWidth="1"/>
    <col min="10361" max="10609" width="10.140625" style="2"/>
    <col min="10610" max="10610" width="5.28515625" style="2" customWidth="1"/>
    <col min="10611" max="10611" width="23" style="2" customWidth="1"/>
    <col min="10612" max="10612" width="18" style="2" customWidth="1"/>
    <col min="10613" max="10613" width="12" style="2" customWidth="1"/>
    <col min="10614" max="10614" width="11" style="2" customWidth="1"/>
    <col min="10615" max="10615" width="10.85546875" style="2" customWidth="1"/>
    <col min="10616" max="10616" width="9.42578125" style="2" customWidth="1"/>
    <col min="10617" max="10865" width="10.140625" style="2"/>
    <col min="10866" max="10866" width="5.28515625" style="2" customWidth="1"/>
    <col min="10867" max="10867" width="23" style="2" customWidth="1"/>
    <col min="10868" max="10868" width="18" style="2" customWidth="1"/>
    <col min="10869" max="10869" width="12" style="2" customWidth="1"/>
    <col min="10870" max="10870" width="11" style="2" customWidth="1"/>
    <col min="10871" max="10871" width="10.85546875" style="2" customWidth="1"/>
    <col min="10872" max="10872" width="9.42578125" style="2" customWidth="1"/>
    <col min="10873" max="11121" width="10.140625" style="2"/>
    <col min="11122" max="11122" width="5.28515625" style="2" customWidth="1"/>
    <col min="11123" max="11123" width="23" style="2" customWidth="1"/>
    <col min="11124" max="11124" width="18" style="2" customWidth="1"/>
    <col min="11125" max="11125" width="12" style="2" customWidth="1"/>
    <col min="11126" max="11126" width="11" style="2" customWidth="1"/>
    <col min="11127" max="11127" width="10.85546875" style="2" customWidth="1"/>
    <col min="11128" max="11128" width="9.42578125" style="2" customWidth="1"/>
    <col min="11129" max="11377" width="10.140625" style="2"/>
    <col min="11378" max="11378" width="5.28515625" style="2" customWidth="1"/>
    <col min="11379" max="11379" width="23" style="2" customWidth="1"/>
    <col min="11380" max="11380" width="18" style="2" customWidth="1"/>
    <col min="11381" max="11381" width="12" style="2" customWidth="1"/>
    <col min="11382" max="11382" width="11" style="2" customWidth="1"/>
    <col min="11383" max="11383" width="10.85546875" style="2" customWidth="1"/>
    <col min="11384" max="11384" width="9.42578125" style="2" customWidth="1"/>
    <col min="11385" max="11633" width="10.140625" style="2"/>
    <col min="11634" max="11634" width="5.28515625" style="2" customWidth="1"/>
    <col min="11635" max="11635" width="23" style="2" customWidth="1"/>
    <col min="11636" max="11636" width="18" style="2" customWidth="1"/>
    <col min="11637" max="11637" width="12" style="2" customWidth="1"/>
    <col min="11638" max="11638" width="11" style="2" customWidth="1"/>
    <col min="11639" max="11639" width="10.85546875" style="2" customWidth="1"/>
    <col min="11640" max="11640" width="9.42578125" style="2" customWidth="1"/>
    <col min="11641" max="11889" width="10.140625" style="2"/>
    <col min="11890" max="11890" width="5.28515625" style="2" customWidth="1"/>
    <col min="11891" max="11891" width="23" style="2" customWidth="1"/>
    <col min="11892" max="11892" width="18" style="2" customWidth="1"/>
    <col min="11893" max="11893" width="12" style="2" customWidth="1"/>
    <col min="11894" max="11894" width="11" style="2" customWidth="1"/>
    <col min="11895" max="11895" width="10.85546875" style="2" customWidth="1"/>
    <col min="11896" max="11896" width="9.42578125" style="2" customWidth="1"/>
    <col min="11897" max="12145" width="10.140625" style="2"/>
    <col min="12146" max="12146" width="5.28515625" style="2" customWidth="1"/>
    <col min="12147" max="12147" width="23" style="2" customWidth="1"/>
    <col min="12148" max="12148" width="18" style="2" customWidth="1"/>
    <col min="12149" max="12149" width="12" style="2" customWidth="1"/>
    <col min="12150" max="12150" width="11" style="2" customWidth="1"/>
    <col min="12151" max="12151" width="10.85546875" style="2" customWidth="1"/>
    <col min="12152" max="12152" width="9.42578125" style="2" customWidth="1"/>
    <col min="12153" max="12401" width="10.140625" style="2"/>
    <col min="12402" max="12402" width="5.28515625" style="2" customWidth="1"/>
    <col min="12403" max="12403" width="23" style="2" customWidth="1"/>
    <col min="12404" max="12404" width="18" style="2" customWidth="1"/>
    <col min="12405" max="12405" width="12" style="2" customWidth="1"/>
    <col min="12406" max="12406" width="11" style="2" customWidth="1"/>
    <col min="12407" max="12407" width="10.85546875" style="2" customWidth="1"/>
    <col min="12408" max="12408" width="9.42578125" style="2" customWidth="1"/>
    <col min="12409" max="12657" width="10.140625" style="2"/>
    <col min="12658" max="12658" width="5.28515625" style="2" customWidth="1"/>
    <col min="12659" max="12659" width="23" style="2" customWidth="1"/>
    <col min="12660" max="12660" width="18" style="2" customWidth="1"/>
    <col min="12661" max="12661" width="12" style="2" customWidth="1"/>
    <col min="12662" max="12662" width="11" style="2" customWidth="1"/>
    <col min="12663" max="12663" width="10.85546875" style="2" customWidth="1"/>
    <col min="12664" max="12664" width="9.42578125" style="2" customWidth="1"/>
    <col min="12665" max="12913" width="10.140625" style="2"/>
    <col min="12914" max="12914" width="5.28515625" style="2" customWidth="1"/>
    <col min="12915" max="12915" width="23" style="2" customWidth="1"/>
    <col min="12916" max="12916" width="18" style="2" customWidth="1"/>
    <col min="12917" max="12917" width="12" style="2" customWidth="1"/>
    <col min="12918" max="12918" width="11" style="2" customWidth="1"/>
    <col min="12919" max="12919" width="10.85546875" style="2" customWidth="1"/>
    <col min="12920" max="12920" width="9.42578125" style="2" customWidth="1"/>
    <col min="12921" max="13169" width="10.140625" style="2"/>
    <col min="13170" max="13170" width="5.28515625" style="2" customWidth="1"/>
    <col min="13171" max="13171" width="23" style="2" customWidth="1"/>
    <col min="13172" max="13172" width="18" style="2" customWidth="1"/>
    <col min="13173" max="13173" width="12" style="2" customWidth="1"/>
    <col min="13174" max="13174" width="11" style="2" customWidth="1"/>
    <col min="13175" max="13175" width="10.85546875" style="2" customWidth="1"/>
    <col min="13176" max="13176" width="9.42578125" style="2" customWidth="1"/>
    <col min="13177" max="13425" width="10.140625" style="2"/>
    <col min="13426" max="13426" width="5.28515625" style="2" customWidth="1"/>
    <col min="13427" max="13427" width="23" style="2" customWidth="1"/>
    <col min="13428" max="13428" width="18" style="2" customWidth="1"/>
    <col min="13429" max="13429" width="12" style="2" customWidth="1"/>
    <col min="13430" max="13430" width="11" style="2" customWidth="1"/>
    <col min="13431" max="13431" width="10.85546875" style="2" customWidth="1"/>
    <col min="13432" max="13432" width="9.42578125" style="2" customWidth="1"/>
    <col min="13433" max="13681" width="10.140625" style="2"/>
    <col min="13682" max="13682" width="5.28515625" style="2" customWidth="1"/>
    <col min="13683" max="13683" width="23" style="2" customWidth="1"/>
    <col min="13684" max="13684" width="18" style="2" customWidth="1"/>
    <col min="13685" max="13685" width="12" style="2" customWidth="1"/>
    <col min="13686" max="13686" width="11" style="2" customWidth="1"/>
    <col min="13687" max="13687" width="10.85546875" style="2" customWidth="1"/>
    <col min="13688" max="13688" width="9.42578125" style="2" customWidth="1"/>
    <col min="13689" max="13937" width="10.140625" style="2"/>
    <col min="13938" max="13938" width="5.28515625" style="2" customWidth="1"/>
    <col min="13939" max="13939" width="23" style="2" customWidth="1"/>
    <col min="13940" max="13940" width="18" style="2" customWidth="1"/>
    <col min="13941" max="13941" width="12" style="2" customWidth="1"/>
    <col min="13942" max="13942" width="11" style="2" customWidth="1"/>
    <col min="13943" max="13943" width="10.85546875" style="2" customWidth="1"/>
    <col min="13944" max="13944" width="9.42578125" style="2" customWidth="1"/>
    <col min="13945" max="14193" width="10.140625" style="2"/>
    <col min="14194" max="14194" width="5.28515625" style="2" customWidth="1"/>
    <col min="14195" max="14195" width="23" style="2" customWidth="1"/>
    <col min="14196" max="14196" width="18" style="2" customWidth="1"/>
    <col min="14197" max="14197" width="12" style="2" customWidth="1"/>
    <col min="14198" max="14198" width="11" style="2" customWidth="1"/>
    <col min="14199" max="14199" width="10.85546875" style="2" customWidth="1"/>
    <col min="14200" max="14200" width="9.42578125" style="2" customWidth="1"/>
    <col min="14201" max="14449" width="10.140625" style="2"/>
    <col min="14450" max="14450" width="5.28515625" style="2" customWidth="1"/>
    <col min="14451" max="14451" width="23" style="2" customWidth="1"/>
    <col min="14452" max="14452" width="18" style="2" customWidth="1"/>
    <col min="14453" max="14453" width="12" style="2" customWidth="1"/>
    <col min="14454" max="14454" width="11" style="2" customWidth="1"/>
    <col min="14455" max="14455" width="10.85546875" style="2" customWidth="1"/>
    <col min="14456" max="14456" width="9.42578125" style="2" customWidth="1"/>
    <col min="14457" max="14705" width="10.140625" style="2"/>
    <col min="14706" max="14706" width="5.28515625" style="2" customWidth="1"/>
    <col min="14707" max="14707" width="23" style="2" customWidth="1"/>
    <col min="14708" max="14708" width="18" style="2" customWidth="1"/>
    <col min="14709" max="14709" width="12" style="2" customWidth="1"/>
    <col min="14710" max="14710" width="11" style="2" customWidth="1"/>
    <col min="14711" max="14711" width="10.85546875" style="2" customWidth="1"/>
    <col min="14712" max="14712" width="9.42578125" style="2" customWidth="1"/>
    <col min="14713" max="14961" width="10.140625" style="2"/>
    <col min="14962" max="14962" width="5.28515625" style="2" customWidth="1"/>
    <col min="14963" max="14963" width="23" style="2" customWidth="1"/>
    <col min="14964" max="14964" width="18" style="2" customWidth="1"/>
    <col min="14965" max="14965" width="12" style="2" customWidth="1"/>
    <col min="14966" max="14966" width="11" style="2" customWidth="1"/>
    <col min="14967" max="14967" width="10.85546875" style="2" customWidth="1"/>
    <col min="14968" max="14968" width="9.42578125" style="2" customWidth="1"/>
    <col min="14969" max="15217" width="10.140625" style="2"/>
    <col min="15218" max="15218" width="5.28515625" style="2" customWidth="1"/>
    <col min="15219" max="15219" width="23" style="2" customWidth="1"/>
    <col min="15220" max="15220" width="18" style="2" customWidth="1"/>
    <col min="15221" max="15221" width="12" style="2" customWidth="1"/>
    <col min="15222" max="15222" width="11" style="2" customWidth="1"/>
    <col min="15223" max="15223" width="10.85546875" style="2" customWidth="1"/>
    <col min="15224" max="15224" width="9.42578125" style="2" customWidth="1"/>
    <col min="15225" max="15473" width="10.140625" style="2"/>
    <col min="15474" max="15474" width="5.28515625" style="2" customWidth="1"/>
    <col min="15475" max="15475" width="23" style="2" customWidth="1"/>
    <col min="15476" max="15476" width="18" style="2" customWidth="1"/>
    <col min="15477" max="15477" width="12" style="2" customWidth="1"/>
    <col min="15478" max="15478" width="11" style="2" customWidth="1"/>
    <col min="15479" max="15479" width="10.85546875" style="2" customWidth="1"/>
    <col min="15480" max="15480" width="9.42578125" style="2" customWidth="1"/>
    <col min="15481" max="15729" width="10.140625" style="2"/>
    <col min="15730" max="15730" width="5.28515625" style="2" customWidth="1"/>
    <col min="15731" max="15731" width="23" style="2" customWidth="1"/>
    <col min="15732" max="15732" width="18" style="2" customWidth="1"/>
    <col min="15733" max="15733" width="12" style="2" customWidth="1"/>
    <col min="15734" max="15734" width="11" style="2" customWidth="1"/>
    <col min="15735" max="15735" width="10.85546875" style="2" customWidth="1"/>
    <col min="15736" max="15736" width="9.42578125" style="2" customWidth="1"/>
    <col min="15737" max="15985" width="10.140625" style="2"/>
    <col min="15986" max="15986" width="5.28515625" style="2" customWidth="1"/>
    <col min="15987" max="15987" width="23" style="2" customWidth="1"/>
    <col min="15988" max="15988" width="18" style="2" customWidth="1"/>
    <col min="15989" max="15989" width="12" style="2" customWidth="1"/>
    <col min="15990" max="15990" width="11" style="2" customWidth="1"/>
    <col min="15991" max="15991" width="10.85546875" style="2" customWidth="1"/>
    <col min="15992" max="15992" width="9.42578125" style="2" customWidth="1"/>
    <col min="15993" max="16384" width="10.140625" style="2"/>
  </cols>
  <sheetData>
    <row r="1" spans="1:13" ht="15.75" x14ac:dyDescent="0.25">
      <c r="A1" s="5"/>
      <c r="B1" s="5"/>
      <c r="C1" s="5"/>
    </row>
    <row r="2" spans="1:13" ht="15.75" customHeight="1" x14ac:dyDescent="0.25">
      <c r="A2" s="113" t="s">
        <v>270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75" customHeight="1" x14ac:dyDescent="0.25">
      <c r="A3" s="71"/>
      <c r="B3" s="71"/>
      <c r="C3" s="71"/>
    </row>
    <row r="4" spans="1:13" ht="15.75" customHeight="1" x14ac:dyDescent="0.25">
      <c r="A4" s="71"/>
      <c r="B4" s="71"/>
      <c r="C4" s="71"/>
      <c r="L4" s="16" t="s">
        <v>269</v>
      </c>
    </row>
    <row r="5" spans="1:13" ht="15.75" customHeight="1" x14ac:dyDescent="0.25">
      <c r="A5" s="109" t="s">
        <v>0</v>
      </c>
      <c r="B5" s="109" t="s">
        <v>100</v>
      </c>
      <c r="C5" s="109" t="s">
        <v>101</v>
      </c>
      <c r="D5" s="110" t="s">
        <v>246</v>
      </c>
      <c r="E5" s="110" t="s">
        <v>247</v>
      </c>
      <c r="F5" s="110" t="s">
        <v>248</v>
      </c>
      <c r="G5" s="111" t="s">
        <v>249</v>
      </c>
      <c r="H5" s="112" t="s">
        <v>250</v>
      </c>
      <c r="I5" s="112"/>
      <c r="J5" s="112"/>
      <c r="K5" s="112"/>
      <c r="L5" s="112"/>
      <c r="M5" s="112"/>
    </row>
    <row r="6" spans="1:13" ht="15.75" customHeight="1" x14ac:dyDescent="0.25">
      <c r="A6" s="109"/>
      <c r="B6" s="109"/>
      <c r="C6" s="109"/>
      <c r="D6" s="110"/>
      <c r="E6" s="110"/>
      <c r="F6" s="110"/>
      <c r="G6" s="111"/>
      <c r="H6" s="110" t="s">
        <v>45</v>
      </c>
      <c r="I6" s="110"/>
      <c r="J6" s="110"/>
      <c r="K6" s="110"/>
      <c r="L6" s="110" t="s">
        <v>46</v>
      </c>
      <c r="M6" s="110"/>
    </row>
    <row r="7" spans="1:13" ht="15.75" customHeight="1" x14ac:dyDescent="0.25">
      <c r="A7" s="109"/>
      <c r="B7" s="109"/>
      <c r="C7" s="109"/>
      <c r="D7" s="110"/>
      <c r="E7" s="110"/>
      <c r="F7" s="110"/>
      <c r="G7" s="111"/>
      <c r="H7" s="110" t="s">
        <v>214</v>
      </c>
      <c r="I7" s="110" t="s">
        <v>247</v>
      </c>
      <c r="J7" s="110" t="s">
        <v>251</v>
      </c>
      <c r="K7" s="110"/>
      <c r="L7" s="110" t="s">
        <v>214</v>
      </c>
      <c r="M7" s="110" t="s">
        <v>247</v>
      </c>
    </row>
    <row r="8" spans="1:13" ht="31.5" x14ac:dyDescent="0.25">
      <c r="A8" s="109"/>
      <c r="B8" s="109"/>
      <c r="C8" s="109"/>
      <c r="D8" s="110"/>
      <c r="E8" s="110"/>
      <c r="F8" s="110"/>
      <c r="G8" s="111"/>
      <c r="H8" s="110"/>
      <c r="I8" s="110"/>
      <c r="J8" s="21" t="s">
        <v>214</v>
      </c>
      <c r="K8" s="21" t="s">
        <v>247</v>
      </c>
      <c r="L8" s="110"/>
      <c r="M8" s="110"/>
    </row>
    <row r="9" spans="1:13" ht="15.75" x14ac:dyDescent="0.25">
      <c r="A9" s="68">
        <v>1</v>
      </c>
      <c r="B9" s="67">
        <v>2</v>
      </c>
      <c r="C9" s="68">
        <v>3</v>
      </c>
      <c r="D9" s="67">
        <v>4</v>
      </c>
      <c r="E9" s="68">
        <v>5</v>
      </c>
      <c r="F9" s="67">
        <v>6</v>
      </c>
      <c r="G9" s="68">
        <v>7</v>
      </c>
      <c r="H9" s="67">
        <v>8</v>
      </c>
      <c r="I9" s="68">
        <v>9</v>
      </c>
      <c r="J9" s="67">
        <v>10</v>
      </c>
      <c r="K9" s="68">
        <v>11</v>
      </c>
      <c r="L9" s="67">
        <v>12</v>
      </c>
      <c r="M9" s="68">
        <v>13</v>
      </c>
    </row>
    <row r="10" spans="1:13" ht="33" customHeight="1" x14ac:dyDescent="0.25">
      <c r="A10" s="114" t="s">
        <v>108</v>
      </c>
      <c r="B10" s="115" t="s">
        <v>109</v>
      </c>
      <c r="C10" s="67" t="s">
        <v>77</v>
      </c>
      <c r="D10" s="69">
        <f>+H10+L10</f>
        <v>1237</v>
      </c>
      <c r="E10" s="69">
        <f>+I10+M10</f>
        <v>710.6</v>
      </c>
      <c r="F10" s="69">
        <f>+E10-D10</f>
        <v>-526.4</v>
      </c>
      <c r="G10" s="69">
        <f>+E10/D10*100</f>
        <v>57.4</v>
      </c>
      <c r="H10" s="69">
        <f>+'1 priedas. asignavimai'!G100</f>
        <v>249.8</v>
      </c>
      <c r="I10" s="69">
        <f>+'1 priedas. asignavimai'!H100</f>
        <v>204.5</v>
      </c>
      <c r="J10" s="69">
        <f>+'1 priedas. asignavimai'!I100</f>
        <v>0</v>
      </c>
      <c r="K10" s="69">
        <f>+'1 priedas. asignavimai'!J100</f>
        <v>0</v>
      </c>
      <c r="L10" s="69">
        <f>+'1 priedas. asignavimai'!K100</f>
        <v>987.2</v>
      </c>
      <c r="M10" s="69">
        <f>+'1 priedas. asignavimai'!L100</f>
        <v>506.1</v>
      </c>
    </row>
    <row r="11" spans="1:13" ht="31.5" x14ac:dyDescent="0.25">
      <c r="A11" s="114"/>
      <c r="B11" s="115"/>
      <c r="C11" s="67" t="s">
        <v>3</v>
      </c>
      <c r="D11" s="69">
        <f t="shared" ref="D11:D12" si="0">+H11+L11</f>
        <v>133.6</v>
      </c>
      <c r="E11" s="69">
        <f t="shared" ref="E11:E12" si="1">+I11+M11</f>
        <v>80.400000000000006</v>
      </c>
      <c r="F11" s="69">
        <f t="shared" ref="F11:F12" si="2">+E11-D11</f>
        <v>-53.2</v>
      </c>
      <c r="G11" s="69">
        <f t="shared" ref="G11:G12" si="3">+E11/D11*100</f>
        <v>60.2</v>
      </c>
      <c r="H11" s="69">
        <f>+'1 priedas. asignavimai'!G14</f>
        <v>133.6</v>
      </c>
      <c r="I11" s="69">
        <f>+'1 priedas. asignavimai'!H14</f>
        <v>80.400000000000006</v>
      </c>
      <c r="J11" s="69">
        <f>+'1 priedas. asignavimai'!I14</f>
        <v>0</v>
      </c>
      <c r="K11" s="69">
        <f>+'1 priedas. asignavimai'!J14</f>
        <v>0</v>
      </c>
      <c r="L11" s="69">
        <f>+'1 priedas. asignavimai'!K14</f>
        <v>0</v>
      </c>
      <c r="M11" s="69">
        <f>+'1 priedas. asignavimai'!L14</f>
        <v>0</v>
      </c>
    </row>
    <row r="12" spans="1:13" ht="47.25" x14ac:dyDescent="0.25">
      <c r="A12" s="114"/>
      <c r="B12" s="115"/>
      <c r="C12" s="67" t="s">
        <v>65</v>
      </c>
      <c r="D12" s="69">
        <f t="shared" si="0"/>
        <v>42.7</v>
      </c>
      <c r="E12" s="69">
        <f t="shared" si="1"/>
        <v>32.1</v>
      </c>
      <c r="F12" s="69">
        <f t="shared" si="2"/>
        <v>-10.6</v>
      </c>
      <c r="G12" s="69">
        <f t="shared" si="3"/>
        <v>75.2</v>
      </c>
      <c r="H12" s="69">
        <f>+'1 priedas. asignavimai'!G58</f>
        <v>42.7</v>
      </c>
      <c r="I12" s="69">
        <f>+'1 priedas. asignavimai'!H58</f>
        <v>32.1</v>
      </c>
      <c r="J12" s="69">
        <f>+'1 priedas. asignavimai'!I58</f>
        <v>0</v>
      </c>
      <c r="K12" s="69">
        <f>+'1 priedas. asignavimai'!J58</f>
        <v>0</v>
      </c>
      <c r="L12" s="69">
        <f>+'1 priedas. asignavimai'!K58</f>
        <v>0</v>
      </c>
      <c r="M12" s="69">
        <f>+'1 priedas. asignavimai'!L58</f>
        <v>0</v>
      </c>
    </row>
    <row r="13" spans="1:13" ht="15.75" x14ac:dyDescent="0.25">
      <c r="A13" s="114"/>
      <c r="B13" s="115"/>
      <c r="C13" s="67" t="s">
        <v>110</v>
      </c>
      <c r="D13" s="59">
        <f>SUM(D10:D12)</f>
        <v>1413.3</v>
      </c>
      <c r="E13" s="59">
        <f t="shared" ref="E13:F13" si="4">SUM(E10:E12)</f>
        <v>823.1</v>
      </c>
      <c r="F13" s="59">
        <f t="shared" si="4"/>
        <v>-590.20000000000005</v>
      </c>
      <c r="G13" s="59">
        <f t="shared" ref="G13:G58" si="5">+E13/D13*100</f>
        <v>58.2</v>
      </c>
      <c r="H13" s="59">
        <f t="shared" ref="H13" si="6">SUM(H10:H12)</f>
        <v>426.1</v>
      </c>
      <c r="I13" s="59">
        <f t="shared" ref="I13" si="7">SUM(I10:I12)</f>
        <v>317</v>
      </c>
      <c r="J13" s="59">
        <f t="shared" ref="J13" si="8">SUM(J10:J12)</f>
        <v>0</v>
      </c>
      <c r="K13" s="59">
        <f t="shared" ref="K13" si="9">SUM(K10:K12)</f>
        <v>0</v>
      </c>
      <c r="L13" s="59">
        <f t="shared" ref="L13" si="10">SUM(L10:L12)</f>
        <v>987.2</v>
      </c>
      <c r="M13" s="59">
        <f t="shared" ref="M13" si="11">SUM(M10:M12)</f>
        <v>506.1</v>
      </c>
    </row>
    <row r="14" spans="1:13" ht="47.25" x14ac:dyDescent="0.25">
      <c r="A14" s="66" t="s">
        <v>111</v>
      </c>
      <c r="B14" s="65" t="s">
        <v>112</v>
      </c>
      <c r="C14" s="67" t="s">
        <v>65</v>
      </c>
      <c r="D14" s="59">
        <f t="shared" ref="D14:D57" si="12">+H14+L14</f>
        <v>678.3</v>
      </c>
      <c r="E14" s="59">
        <f t="shared" ref="E14:E57" si="13">+I14+M14</f>
        <v>523.29999999999995</v>
      </c>
      <c r="F14" s="59">
        <f t="shared" ref="F14:F57" si="14">+E14-D14</f>
        <v>-155</v>
      </c>
      <c r="G14" s="59">
        <f t="shared" si="5"/>
        <v>77.099999999999994</v>
      </c>
      <c r="H14" s="59">
        <f>+'1 priedas. asignavimai'!G59</f>
        <v>227.2</v>
      </c>
      <c r="I14" s="59">
        <f>+'1 priedas. asignavimai'!H59</f>
        <v>166.2</v>
      </c>
      <c r="J14" s="59">
        <f>+'1 priedas. asignavimai'!I59</f>
        <v>0</v>
      </c>
      <c r="K14" s="59">
        <f>+'1 priedas. asignavimai'!J59</f>
        <v>0</v>
      </c>
      <c r="L14" s="59">
        <f>+'1 priedas. asignavimai'!K59</f>
        <v>451.1</v>
      </c>
      <c r="M14" s="59">
        <f>+'1 priedas. asignavimai'!L59</f>
        <v>357.1</v>
      </c>
    </row>
    <row r="15" spans="1:13" ht="31.5" x14ac:dyDescent="0.25">
      <c r="A15" s="117" t="s">
        <v>113</v>
      </c>
      <c r="B15" s="115" t="s">
        <v>49</v>
      </c>
      <c r="C15" s="67" t="s">
        <v>3</v>
      </c>
      <c r="D15" s="69">
        <f t="shared" si="12"/>
        <v>9712.7999999999993</v>
      </c>
      <c r="E15" s="69">
        <f t="shared" si="13"/>
        <v>8688.9</v>
      </c>
      <c r="F15" s="69">
        <f t="shared" si="14"/>
        <v>-1023.9</v>
      </c>
      <c r="G15" s="69">
        <f t="shared" si="5"/>
        <v>89.5</v>
      </c>
      <c r="H15" s="69">
        <f>+'1 priedas. asignavimai'!G15</f>
        <v>8702</v>
      </c>
      <c r="I15" s="69">
        <f>+'1 priedas. asignavimai'!H15</f>
        <v>8110.4</v>
      </c>
      <c r="J15" s="69">
        <f>+'1 priedas. asignavimai'!I15</f>
        <v>5022.2</v>
      </c>
      <c r="K15" s="69">
        <f>+'1 priedas. asignavimai'!J15</f>
        <v>4974.1000000000004</v>
      </c>
      <c r="L15" s="69">
        <f>+'1 priedas. asignavimai'!K15</f>
        <v>1010.8</v>
      </c>
      <c r="M15" s="69">
        <f>+'1 priedas. asignavimai'!L15</f>
        <v>578.5</v>
      </c>
    </row>
    <row r="16" spans="1:13" ht="47.25" x14ac:dyDescent="0.25">
      <c r="A16" s="117"/>
      <c r="B16" s="115"/>
      <c r="C16" s="67" t="s">
        <v>65</v>
      </c>
      <c r="D16" s="69">
        <f t="shared" si="12"/>
        <v>241.6</v>
      </c>
      <c r="E16" s="69">
        <f t="shared" si="13"/>
        <v>211.9</v>
      </c>
      <c r="F16" s="69">
        <f t="shared" si="14"/>
        <v>-29.7</v>
      </c>
      <c r="G16" s="69">
        <f t="shared" si="5"/>
        <v>87.7</v>
      </c>
      <c r="H16" s="69">
        <f>+'1 priedas. asignavimai'!G60</f>
        <v>241.6</v>
      </c>
      <c r="I16" s="69">
        <f>+'1 priedas. asignavimai'!H60</f>
        <v>211.9</v>
      </c>
      <c r="J16" s="69">
        <f>+'1 priedas. asignavimai'!I60</f>
        <v>0</v>
      </c>
      <c r="K16" s="69">
        <f>+'1 priedas. asignavimai'!J60</f>
        <v>0</v>
      </c>
      <c r="L16" s="69">
        <f>+'1 priedas. asignavimai'!K60</f>
        <v>0</v>
      </c>
      <c r="M16" s="69">
        <f>+'1 priedas. asignavimai'!L60</f>
        <v>0</v>
      </c>
    </row>
    <row r="17" spans="1:13" ht="47.25" x14ac:dyDescent="0.25">
      <c r="A17" s="117"/>
      <c r="B17" s="115"/>
      <c r="C17" s="67" t="s">
        <v>47</v>
      </c>
      <c r="D17" s="69">
        <f t="shared" si="12"/>
        <v>160</v>
      </c>
      <c r="E17" s="69">
        <f t="shared" si="13"/>
        <v>152.6</v>
      </c>
      <c r="F17" s="69">
        <f t="shared" si="14"/>
        <v>-7.4</v>
      </c>
      <c r="G17" s="69">
        <f t="shared" si="5"/>
        <v>95.4</v>
      </c>
      <c r="H17" s="69">
        <f>+'1 priedas. asignavimai'!G9</f>
        <v>157.30000000000001</v>
      </c>
      <c r="I17" s="69">
        <f>+'1 priedas. asignavimai'!H9</f>
        <v>150.1</v>
      </c>
      <c r="J17" s="69">
        <f>+'1 priedas. asignavimai'!I9</f>
        <v>115.2</v>
      </c>
      <c r="K17" s="69">
        <f>+'1 priedas. asignavimai'!J9</f>
        <v>108.4</v>
      </c>
      <c r="L17" s="69">
        <f>+'1 priedas. asignavimai'!K9</f>
        <v>2.7</v>
      </c>
      <c r="M17" s="69">
        <f>+'1 priedas. asignavimai'!L9</f>
        <v>2.5</v>
      </c>
    </row>
    <row r="18" spans="1:13" ht="15.75" x14ac:dyDescent="0.25">
      <c r="A18" s="117"/>
      <c r="B18" s="115"/>
      <c r="C18" s="67" t="s">
        <v>110</v>
      </c>
      <c r="D18" s="59">
        <f>SUM(D15:D17)</f>
        <v>10114.4</v>
      </c>
      <c r="E18" s="59">
        <f t="shared" ref="E18:F18" si="15">SUM(E15:E17)</f>
        <v>9053.4</v>
      </c>
      <c r="F18" s="59">
        <f t="shared" si="15"/>
        <v>-1061</v>
      </c>
      <c r="G18" s="59">
        <f t="shared" si="5"/>
        <v>89.5</v>
      </c>
      <c r="H18" s="59">
        <f t="shared" ref="H18" si="16">SUM(H15:H17)</f>
        <v>9100.9</v>
      </c>
      <c r="I18" s="59">
        <f t="shared" ref="I18" si="17">SUM(I15:I17)</f>
        <v>8472.4</v>
      </c>
      <c r="J18" s="59">
        <f t="shared" ref="J18" si="18">SUM(J15:J17)</f>
        <v>5137.3999999999996</v>
      </c>
      <c r="K18" s="59">
        <f t="shared" ref="K18" si="19">SUM(K15:K17)</f>
        <v>5082.5</v>
      </c>
      <c r="L18" s="59">
        <f t="shared" ref="L18" si="20">SUM(L15:L17)</f>
        <v>1013.5</v>
      </c>
      <c r="M18" s="59">
        <f t="shared" ref="M18" si="21">SUM(M15:M17)</f>
        <v>581</v>
      </c>
    </row>
    <row r="19" spans="1:13" ht="47.25" x14ac:dyDescent="0.25">
      <c r="A19" s="66" t="s">
        <v>170</v>
      </c>
      <c r="B19" s="65" t="s">
        <v>102</v>
      </c>
      <c r="C19" s="67" t="s">
        <v>65</v>
      </c>
      <c r="D19" s="59">
        <f t="shared" si="12"/>
        <v>445.8</v>
      </c>
      <c r="E19" s="59">
        <f t="shared" si="13"/>
        <v>288.2</v>
      </c>
      <c r="F19" s="59">
        <f t="shared" si="14"/>
        <v>-157.6</v>
      </c>
      <c r="G19" s="59">
        <f t="shared" si="5"/>
        <v>64.599999999999994</v>
      </c>
      <c r="H19" s="59">
        <f>+'1 priedas. asignavimai'!G67</f>
        <v>342.2</v>
      </c>
      <c r="I19" s="59">
        <f>+'1 priedas. asignavimai'!H67</f>
        <v>273.5</v>
      </c>
      <c r="J19" s="59">
        <f>+'1 priedas. asignavimai'!I67</f>
        <v>0</v>
      </c>
      <c r="K19" s="59">
        <f>+'1 priedas. asignavimai'!J67</f>
        <v>0</v>
      </c>
      <c r="L19" s="59">
        <f>+'1 priedas. asignavimai'!K67</f>
        <v>103.6</v>
      </c>
      <c r="M19" s="59">
        <f>+'1 priedas. asignavimai'!L67</f>
        <v>14.7</v>
      </c>
    </row>
    <row r="20" spans="1:13" ht="47.25" x14ac:dyDescent="0.25">
      <c r="A20" s="114" t="s">
        <v>114</v>
      </c>
      <c r="B20" s="115" t="s">
        <v>78</v>
      </c>
      <c r="C20" s="67" t="s">
        <v>65</v>
      </c>
      <c r="D20" s="69">
        <f t="shared" si="12"/>
        <v>205.6</v>
      </c>
      <c r="E20" s="69">
        <f t="shared" si="13"/>
        <v>36.200000000000003</v>
      </c>
      <c r="F20" s="69">
        <f t="shared" si="14"/>
        <v>-169.4</v>
      </c>
      <c r="G20" s="69">
        <f t="shared" si="5"/>
        <v>17.600000000000001</v>
      </c>
      <c r="H20" s="69">
        <f>+'1 priedas. asignavimai'!G68</f>
        <v>34.799999999999997</v>
      </c>
      <c r="I20" s="69">
        <f>+'1 priedas. asignavimai'!H68</f>
        <v>17.100000000000001</v>
      </c>
      <c r="J20" s="69">
        <f>+'1 priedas. asignavimai'!I68</f>
        <v>0</v>
      </c>
      <c r="K20" s="69">
        <f>+'1 priedas. asignavimai'!J68</f>
        <v>0</v>
      </c>
      <c r="L20" s="69">
        <f>+'1 priedas. asignavimai'!K68</f>
        <v>170.8</v>
      </c>
      <c r="M20" s="69">
        <f>+'1 priedas. asignavimai'!L68</f>
        <v>19.100000000000001</v>
      </c>
    </row>
    <row r="21" spans="1:13" ht="32.25" customHeight="1" x14ac:dyDescent="0.25">
      <c r="A21" s="114"/>
      <c r="B21" s="115"/>
      <c r="C21" s="67" t="s">
        <v>77</v>
      </c>
      <c r="D21" s="69">
        <f t="shared" si="12"/>
        <v>50</v>
      </c>
      <c r="E21" s="69">
        <f t="shared" si="13"/>
        <v>0</v>
      </c>
      <c r="F21" s="69">
        <f t="shared" si="14"/>
        <v>-50</v>
      </c>
      <c r="G21" s="69">
        <f t="shared" si="5"/>
        <v>0</v>
      </c>
      <c r="H21" s="69">
        <f>+'1 priedas. asignavimai'!G104</f>
        <v>0</v>
      </c>
      <c r="I21" s="69">
        <f>+'1 priedas. asignavimai'!H104</f>
        <v>0</v>
      </c>
      <c r="J21" s="69">
        <f>+'1 priedas. asignavimai'!I104</f>
        <v>0</v>
      </c>
      <c r="K21" s="69">
        <f>+'1 priedas. asignavimai'!J104</f>
        <v>0</v>
      </c>
      <c r="L21" s="69">
        <f>+'1 priedas. asignavimai'!K104</f>
        <v>50</v>
      </c>
      <c r="M21" s="69">
        <f>+'1 priedas. asignavimai'!L104</f>
        <v>0</v>
      </c>
    </row>
    <row r="22" spans="1:13" ht="31.5" x14ac:dyDescent="0.25">
      <c r="A22" s="114"/>
      <c r="B22" s="115"/>
      <c r="C22" s="67" t="s">
        <v>4</v>
      </c>
      <c r="D22" s="69">
        <f t="shared" si="12"/>
        <v>5125.3</v>
      </c>
      <c r="E22" s="69">
        <f t="shared" si="13"/>
        <v>5041.2</v>
      </c>
      <c r="F22" s="69">
        <f t="shared" si="14"/>
        <v>-84.1</v>
      </c>
      <c r="G22" s="69">
        <f t="shared" si="5"/>
        <v>98.4</v>
      </c>
      <c r="H22" s="69">
        <f>+'1 priedas. asignavimai'!G109</f>
        <v>5122.8</v>
      </c>
      <c r="I22" s="69">
        <f>+'1 priedas. asignavimai'!H109</f>
        <v>5041.2</v>
      </c>
      <c r="J22" s="69">
        <f>+'1 priedas. asignavimai'!I109</f>
        <v>6.6</v>
      </c>
      <c r="K22" s="69">
        <f>+'1 priedas. asignavimai'!J109</f>
        <v>0</v>
      </c>
      <c r="L22" s="69">
        <f>+'1 priedas. asignavimai'!K109</f>
        <v>2.5</v>
      </c>
      <c r="M22" s="69">
        <f>+'1 priedas. asignavimai'!L109</f>
        <v>0</v>
      </c>
    </row>
    <row r="23" spans="1:13" ht="15.75" x14ac:dyDescent="0.25">
      <c r="A23" s="114"/>
      <c r="B23" s="115"/>
      <c r="C23" s="67" t="s">
        <v>110</v>
      </c>
      <c r="D23" s="59">
        <f t="shared" si="12"/>
        <v>5380.9</v>
      </c>
      <c r="E23" s="59">
        <f t="shared" si="13"/>
        <v>5077.3999999999996</v>
      </c>
      <c r="F23" s="59">
        <f t="shared" si="14"/>
        <v>-303.5</v>
      </c>
      <c r="G23" s="59">
        <f t="shared" si="5"/>
        <v>94.4</v>
      </c>
      <c r="H23" s="59">
        <f>SUM(H20:H22)</f>
        <v>5157.6000000000004</v>
      </c>
      <c r="I23" s="59">
        <f t="shared" ref="I23:M23" si="22">SUM(I20:I22)</f>
        <v>5058.3</v>
      </c>
      <c r="J23" s="59">
        <f t="shared" si="22"/>
        <v>6.6</v>
      </c>
      <c r="K23" s="59">
        <f t="shared" si="22"/>
        <v>0</v>
      </c>
      <c r="L23" s="59">
        <f t="shared" si="22"/>
        <v>223.3</v>
      </c>
      <c r="M23" s="59">
        <f t="shared" si="22"/>
        <v>19.100000000000001</v>
      </c>
    </row>
    <row r="24" spans="1:13" ht="37.5" customHeight="1" x14ac:dyDescent="0.25">
      <c r="A24" s="114" t="s">
        <v>115</v>
      </c>
      <c r="B24" s="115" t="s">
        <v>103</v>
      </c>
      <c r="C24" s="67" t="s">
        <v>3</v>
      </c>
      <c r="D24" s="69">
        <f t="shared" si="12"/>
        <v>150</v>
      </c>
      <c r="E24" s="69">
        <f t="shared" si="13"/>
        <v>47.2</v>
      </c>
      <c r="F24" s="69">
        <f t="shared" si="14"/>
        <v>-102.8</v>
      </c>
      <c r="G24" s="69">
        <f t="shared" si="5"/>
        <v>31.5</v>
      </c>
      <c r="H24" s="69">
        <f>+'1 priedas. asignavimai'!G47</f>
        <v>57</v>
      </c>
      <c r="I24" s="69">
        <f>+'1 priedas. asignavimai'!H47</f>
        <v>47.2</v>
      </c>
      <c r="J24" s="69">
        <f>+'1 priedas. asignavimai'!I47</f>
        <v>0</v>
      </c>
      <c r="K24" s="69">
        <f>+'1 priedas. asignavimai'!J47</f>
        <v>0</v>
      </c>
      <c r="L24" s="69">
        <f>+'1 priedas. asignavimai'!K47</f>
        <v>93</v>
      </c>
      <c r="M24" s="69">
        <f>+'1 priedas. asignavimai'!L47</f>
        <v>0</v>
      </c>
    </row>
    <row r="25" spans="1:13" ht="57" customHeight="1" x14ac:dyDescent="0.25">
      <c r="A25" s="114"/>
      <c r="B25" s="115"/>
      <c r="C25" s="67" t="s">
        <v>65</v>
      </c>
      <c r="D25" s="69">
        <f t="shared" si="12"/>
        <v>3448.2</v>
      </c>
      <c r="E25" s="69">
        <f t="shared" si="13"/>
        <v>1581.9</v>
      </c>
      <c r="F25" s="69">
        <f t="shared" si="14"/>
        <v>-1866.3</v>
      </c>
      <c r="G25" s="69">
        <f t="shared" si="5"/>
        <v>45.9</v>
      </c>
      <c r="H25" s="69">
        <f>+'1 priedas. asignavimai'!G73</f>
        <v>34.5</v>
      </c>
      <c r="I25" s="69">
        <f>+'1 priedas. asignavimai'!H73</f>
        <v>27.6</v>
      </c>
      <c r="J25" s="69">
        <f>+'1 priedas. asignavimai'!I73</f>
        <v>1.1000000000000001</v>
      </c>
      <c r="K25" s="69">
        <f>+'1 priedas. asignavimai'!J73</f>
        <v>0.1</v>
      </c>
      <c r="L25" s="69">
        <f>+'1 priedas. asignavimai'!K73</f>
        <v>3413.7</v>
      </c>
      <c r="M25" s="69">
        <f>+'1 priedas. asignavimai'!L73</f>
        <v>1554.3</v>
      </c>
    </row>
    <row r="26" spans="1:13" ht="36" customHeight="1" x14ac:dyDescent="0.25">
      <c r="A26" s="114"/>
      <c r="B26" s="115"/>
      <c r="C26" s="67" t="s">
        <v>4</v>
      </c>
      <c r="D26" s="69">
        <f t="shared" si="12"/>
        <v>9528.5</v>
      </c>
      <c r="E26" s="69">
        <f t="shared" si="13"/>
        <v>8156.6</v>
      </c>
      <c r="F26" s="69">
        <f t="shared" si="14"/>
        <v>-1371.9</v>
      </c>
      <c r="G26" s="69">
        <f t="shared" si="5"/>
        <v>85.6</v>
      </c>
      <c r="H26" s="69">
        <f>+'1 priedas. asignavimai'!G114</f>
        <v>8769</v>
      </c>
      <c r="I26" s="69">
        <f>+'1 priedas. asignavimai'!H114</f>
        <v>7955.3</v>
      </c>
      <c r="J26" s="69">
        <f>+'1 priedas. asignavimai'!I114</f>
        <v>0</v>
      </c>
      <c r="K26" s="69">
        <f>+'1 priedas. asignavimai'!J114</f>
        <v>0</v>
      </c>
      <c r="L26" s="69">
        <f>+'1 priedas. asignavimai'!K114</f>
        <v>759.5</v>
      </c>
      <c r="M26" s="69">
        <f>+'1 priedas. asignavimai'!L114</f>
        <v>201.3</v>
      </c>
    </row>
    <row r="27" spans="1:13" ht="21" customHeight="1" x14ac:dyDescent="0.25">
      <c r="A27" s="114"/>
      <c r="B27" s="115"/>
      <c r="C27" s="67" t="s">
        <v>110</v>
      </c>
      <c r="D27" s="59">
        <f t="shared" si="12"/>
        <v>13126.7</v>
      </c>
      <c r="E27" s="59">
        <f t="shared" si="13"/>
        <v>9785.7000000000007</v>
      </c>
      <c r="F27" s="59">
        <f t="shared" si="14"/>
        <v>-3341</v>
      </c>
      <c r="G27" s="59">
        <f t="shared" si="5"/>
        <v>74.5</v>
      </c>
      <c r="H27" s="59">
        <f>SUM(H24:H26)</f>
        <v>8860.5</v>
      </c>
      <c r="I27" s="59">
        <f t="shared" ref="I27:M27" si="23">SUM(I24:I26)</f>
        <v>8030.1</v>
      </c>
      <c r="J27" s="59">
        <f t="shared" si="23"/>
        <v>1.1000000000000001</v>
      </c>
      <c r="K27" s="59">
        <f t="shared" si="23"/>
        <v>0.1</v>
      </c>
      <c r="L27" s="59">
        <f t="shared" si="23"/>
        <v>4266.2</v>
      </c>
      <c r="M27" s="59">
        <f t="shared" si="23"/>
        <v>1755.6</v>
      </c>
    </row>
    <row r="28" spans="1:13" ht="35.25" customHeight="1" x14ac:dyDescent="0.25">
      <c r="A28" s="114" t="s">
        <v>116</v>
      </c>
      <c r="B28" s="115" t="s">
        <v>142</v>
      </c>
      <c r="C28" s="67" t="s">
        <v>3</v>
      </c>
      <c r="D28" s="69">
        <f t="shared" si="12"/>
        <v>768.6</v>
      </c>
      <c r="E28" s="69">
        <f t="shared" si="13"/>
        <v>652.6</v>
      </c>
      <c r="F28" s="69">
        <f t="shared" si="14"/>
        <v>-116</v>
      </c>
      <c r="G28" s="69">
        <f t="shared" si="5"/>
        <v>84.9</v>
      </c>
      <c r="H28" s="69">
        <f>+'1 priedas. asignavimai'!G48</f>
        <v>201</v>
      </c>
      <c r="I28" s="69">
        <f>+'1 priedas. asignavimai'!H48</f>
        <v>195</v>
      </c>
      <c r="J28" s="69">
        <f>+'1 priedas. asignavimai'!I48</f>
        <v>0</v>
      </c>
      <c r="K28" s="69">
        <f>+'1 priedas. asignavimai'!J48</f>
        <v>0</v>
      </c>
      <c r="L28" s="69">
        <f>+'1 priedas. asignavimai'!K48</f>
        <v>567.6</v>
      </c>
      <c r="M28" s="69">
        <f>+'1 priedas. asignavimai'!L48</f>
        <v>457.6</v>
      </c>
    </row>
    <row r="29" spans="1:13" ht="54.75" customHeight="1" x14ac:dyDescent="0.25">
      <c r="A29" s="114"/>
      <c r="B29" s="115"/>
      <c r="C29" s="67" t="s">
        <v>65</v>
      </c>
      <c r="D29" s="69">
        <f t="shared" si="12"/>
        <v>688.7</v>
      </c>
      <c r="E29" s="69">
        <f t="shared" si="13"/>
        <v>500.4</v>
      </c>
      <c r="F29" s="69">
        <f t="shared" si="14"/>
        <v>-188.3</v>
      </c>
      <c r="G29" s="69">
        <f t="shared" si="5"/>
        <v>72.7</v>
      </c>
      <c r="H29" s="69">
        <f>+'1 priedas. asignavimai'!G77</f>
        <v>0</v>
      </c>
      <c r="I29" s="69">
        <f>+'1 priedas. asignavimai'!H77</f>
        <v>0</v>
      </c>
      <c r="J29" s="69">
        <f>+'1 priedas. asignavimai'!I77</f>
        <v>0</v>
      </c>
      <c r="K29" s="69">
        <f>+'1 priedas. asignavimai'!J77</f>
        <v>0</v>
      </c>
      <c r="L29" s="69">
        <f>+'1 priedas. asignavimai'!K77</f>
        <v>688.7</v>
      </c>
      <c r="M29" s="69">
        <f>+'1 priedas. asignavimai'!L77</f>
        <v>500.4</v>
      </c>
    </row>
    <row r="30" spans="1:13" ht="36" customHeight="1" x14ac:dyDescent="0.25">
      <c r="A30" s="114"/>
      <c r="B30" s="115"/>
      <c r="C30" s="67" t="s">
        <v>4</v>
      </c>
      <c r="D30" s="69">
        <f t="shared" si="12"/>
        <v>9587.2000000000007</v>
      </c>
      <c r="E30" s="69">
        <f t="shared" si="13"/>
        <v>7322.7</v>
      </c>
      <c r="F30" s="69">
        <f t="shared" si="14"/>
        <v>-2264.5</v>
      </c>
      <c r="G30" s="69">
        <f t="shared" si="5"/>
        <v>76.400000000000006</v>
      </c>
      <c r="H30" s="69">
        <f>+'1 priedas. asignavimai'!G118</f>
        <v>6399.8</v>
      </c>
      <c r="I30" s="69">
        <f>+'1 priedas. asignavimai'!H118</f>
        <v>6095.4</v>
      </c>
      <c r="J30" s="69">
        <f>+'1 priedas. asignavimai'!I118</f>
        <v>340.4</v>
      </c>
      <c r="K30" s="69">
        <f>+'1 priedas. asignavimai'!J118</f>
        <v>337.6</v>
      </c>
      <c r="L30" s="69">
        <f>+'1 priedas. asignavimai'!K118</f>
        <v>3187.4</v>
      </c>
      <c r="M30" s="69">
        <f>+'1 priedas. asignavimai'!L118</f>
        <v>1227.3</v>
      </c>
    </row>
    <row r="31" spans="1:13" ht="25.5" customHeight="1" x14ac:dyDescent="0.25">
      <c r="A31" s="114"/>
      <c r="B31" s="115"/>
      <c r="C31" s="67" t="s">
        <v>110</v>
      </c>
      <c r="D31" s="59">
        <f t="shared" si="12"/>
        <v>11044.5</v>
      </c>
      <c r="E31" s="59">
        <f t="shared" si="13"/>
        <v>8475.7000000000007</v>
      </c>
      <c r="F31" s="59">
        <f t="shared" si="14"/>
        <v>-2568.8000000000002</v>
      </c>
      <c r="G31" s="59">
        <f t="shared" si="5"/>
        <v>76.7</v>
      </c>
      <c r="H31" s="59">
        <f>SUM(H28:H30)</f>
        <v>6600.8</v>
      </c>
      <c r="I31" s="59">
        <f t="shared" ref="I31:M31" si="24">SUM(I28:I30)</f>
        <v>6290.4</v>
      </c>
      <c r="J31" s="59">
        <f t="shared" si="24"/>
        <v>340.4</v>
      </c>
      <c r="K31" s="59">
        <f t="shared" si="24"/>
        <v>337.6</v>
      </c>
      <c r="L31" s="59">
        <f t="shared" si="24"/>
        <v>4443.7</v>
      </c>
      <c r="M31" s="59">
        <f t="shared" si="24"/>
        <v>2185.3000000000002</v>
      </c>
    </row>
    <row r="32" spans="1:13" ht="55.5" customHeight="1" x14ac:dyDescent="0.25">
      <c r="A32" s="114" t="s">
        <v>123</v>
      </c>
      <c r="B32" s="115" t="s">
        <v>150</v>
      </c>
      <c r="C32" s="67" t="s">
        <v>65</v>
      </c>
      <c r="D32" s="69">
        <f t="shared" si="12"/>
        <v>177.4</v>
      </c>
      <c r="E32" s="69">
        <f t="shared" si="13"/>
        <v>33.6</v>
      </c>
      <c r="F32" s="69">
        <f t="shared" si="14"/>
        <v>-143.80000000000001</v>
      </c>
      <c r="G32" s="69">
        <f t="shared" si="5"/>
        <v>18.899999999999999</v>
      </c>
      <c r="H32" s="69">
        <f>+'1 priedas. asignavimai'!G81</f>
        <v>155.4</v>
      </c>
      <c r="I32" s="69">
        <f>+'1 priedas. asignavimai'!H81</f>
        <v>13.5</v>
      </c>
      <c r="J32" s="69">
        <f>+'1 priedas. asignavimai'!I81</f>
        <v>0</v>
      </c>
      <c r="K32" s="69">
        <f>+'1 priedas. asignavimai'!J81</f>
        <v>0</v>
      </c>
      <c r="L32" s="69">
        <f>+'1 priedas. asignavimai'!K81</f>
        <v>22</v>
      </c>
      <c r="M32" s="69">
        <f>+'1 priedas. asignavimai'!L81</f>
        <v>20.100000000000001</v>
      </c>
    </row>
    <row r="33" spans="1:13" ht="38.25" customHeight="1" x14ac:dyDescent="0.25">
      <c r="A33" s="114"/>
      <c r="B33" s="116"/>
      <c r="C33" s="67" t="s">
        <v>5</v>
      </c>
      <c r="D33" s="69">
        <f t="shared" si="12"/>
        <v>7458.9</v>
      </c>
      <c r="E33" s="69">
        <f t="shared" si="13"/>
        <v>7369.3</v>
      </c>
      <c r="F33" s="69">
        <f t="shared" si="14"/>
        <v>-89.6</v>
      </c>
      <c r="G33" s="69">
        <f t="shared" si="5"/>
        <v>98.8</v>
      </c>
      <c r="H33" s="69">
        <f>+'1 priedas. asignavimai'!G133</f>
        <v>6996.9</v>
      </c>
      <c r="I33" s="69">
        <f>+'1 priedas. asignavimai'!H133</f>
        <v>6955.3</v>
      </c>
      <c r="J33" s="69">
        <f>+'1 priedas. asignavimai'!I133</f>
        <v>1982.4</v>
      </c>
      <c r="K33" s="69">
        <f>+'1 priedas. asignavimai'!J133</f>
        <v>1977.9</v>
      </c>
      <c r="L33" s="69">
        <f>+'1 priedas. asignavimai'!K133</f>
        <v>462</v>
      </c>
      <c r="M33" s="69">
        <f>+'1 priedas. asignavimai'!L133</f>
        <v>414</v>
      </c>
    </row>
    <row r="34" spans="1:13" ht="35.25" customHeight="1" x14ac:dyDescent="0.25">
      <c r="A34" s="114"/>
      <c r="B34" s="116"/>
      <c r="C34" s="67" t="s">
        <v>4</v>
      </c>
      <c r="D34" s="69">
        <f t="shared" si="12"/>
        <v>136.5</v>
      </c>
      <c r="E34" s="69">
        <f t="shared" si="13"/>
        <v>109</v>
      </c>
      <c r="F34" s="69">
        <f t="shared" si="14"/>
        <v>-27.5</v>
      </c>
      <c r="G34" s="69">
        <f t="shared" si="5"/>
        <v>79.900000000000006</v>
      </c>
      <c r="H34" s="69">
        <f>+'1 priedas. asignavimai'!G123</f>
        <v>136.5</v>
      </c>
      <c r="I34" s="69">
        <f>+'1 priedas. asignavimai'!H123</f>
        <v>109</v>
      </c>
      <c r="J34" s="69">
        <f>+'1 priedas. asignavimai'!I123</f>
        <v>0</v>
      </c>
      <c r="K34" s="69">
        <f>+'1 priedas. asignavimai'!J123</f>
        <v>0</v>
      </c>
      <c r="L34" s="69">
        <f>+'1 priedas. asignavimai'!K123</f>
        <v>0</v>
      </c>
      <c r="M34" s="69">
        <f>+'1 priedas. asignavimai'!L123</f>
        <v>0</v>
      </c>
    </row>
    <row r="35" spans="1:13" ht="39.75" customHeight="1" x14ac:dyDescent="0.25">
      <c r="A35" s="114"/>
      <c r="B35" s="116"/>
      <c r="C35" s="67" t="s">
        <v>77</v>
      </c>
      <c r="D35" s="69">
        <f t="shared" si="12"/>
        <v>37</v>
      </c>
      <c r="E35" s="69">
        <f t="shared" si="13"/>
        <v>0</v>
      </c>
      <c r="F35" s="69">
        <f t="shared" si="14"/>
        <v>-37</v>
      </c>
      <c r="G35" s="69">
        <f t="shared" si="5"/>
        <v>0</v>
      </c>
      <c r="H35" s="69">
        <f>+'1 priedas. asignavimai'!G107</f>
        <v>37</v>
      </c>
      <c r="I35" s="69">
        <f>+'1 priedas. asignavimai'!H107</f>
        <v>0</v>
      </c>
      <c r="J35" s="69">
        <f>+'1 priedas. asignavimai'!I107</f>
        <v>0</v>
      </c>
      <c r="K35" s="69">
        <f>+'1 priedas. asignavimai'!J107</f>
        <v>0</v>
      </c>
      <c r="L35" s="69">
        <f>+'1 priedas. asignavimai'!K107</f>
        <v>0</v>
      </c>
      <c r="M35" s="69">
        <f>+'1 priedas. asignavimai'!L107</f>
        <v>0</v>
      </c>
    </row>
    <row r="36" spans="1:13" ht="23.25" customHeight="1" x14ac:dyDescent="0.25">
      <c r="A36" s="114"/>
      <c r="B36" s="116"/>
      <c r="C36" s="67" t="s">
        <v>110</v>
      </c>
      <c r="D36" s="59">
        <f t="shared" si="12"/>
        <v>7809.8</v>
      </c>
      <c r="E36" s="59">
        <f t="shared" si="13"/>
        <v>7511.9</v>
      </c>
      <c r="F36" s="59">
        <f t="shared" si="14"/>
        <v>-297.89999999999998</v>
      </c>
      <c r="G36" s="59">
        <f t="shared" si="5"/>
        <v>96.2</v>
      </c>
      <c r="H36" s="59">
        <f>SUM(H32:H35)</f>
        <v>7325.8</v>
      </c>
      <c r="I36" s="59">
        <f t="shared" ref="I36:M36" si="25">SUM(I32:I35)</f>
        <v>7077.8</v>
      </c>
      <c r="J36" s="59">
        <f t="shared" si="25"/>
        <v>1982.4</v>
      </c>
      <c r="K36" s="59">
        <f t="shared" si="25"/>
        <v>1977.9</v>
      </c>
      <c r="L36" s="59">
        <f t="shared" si="25"/>
        <v>484</v>
      </c>
      <c r="M36" s="59">
        <f t="shared" si="25"/>
        <v>434.1</v>
      </c>
    </row>
    <row r="37" spans="1:13" ht="31.5" x14ac:dyDescent="0.25">
      <c r="A37" s="66" t="s">
        <v>117</v>
      </c>
      <c r="B37" s="22" t="s">
        <v>118</v>
      </c>
      <c r="C37" s="67" t="s">
        <v>3</v>
      </c>
      <c r="D37" s="59">
        <f t="shared" si="12"/>
        <v>124.4</v>
      </c>
      <c r="E37" s="59">
        <f t="shared" si="13"/>
        <v>104.5</v>
      </c>
      <c r="F37" s="59">
        <f t="shared" si="14"/>
        <v>-19.899999999999999</v>
      </c>
      <c r="G37" s="59">
        <f t="shared" si="5"/>
        <v>84</v>
      </c>
      <c r="H37" s="59">
        <f>+'1 priedas. asignavimai'!G49</f>
        <v>124.4</v>
      </c>
      <c r="I37" s="59">
        <f>+'1 priedas. asignavimai'!H49</f>
        <v>104.5</v>
      </c>
      <c r="J37" s="59">
        <f>+'1 priedas. asignavimai'!I49</f>
        <v>7.2</v>
      </c>
      <c r="K37" s="59">
        <f>+'1 priedas. asignavimai'!J49</f>
        <v>7.1</v>
      </c>
      <c r="L37" s="59">
        <f>+'1 priedas. asignavimai'!K49</f>
        <v>0</v>
      </c>
      <c r="M37" s="59">
        <f>+'1 priedas. asignavimai'!L49</f>
        <v>0</v>
      </c>
    </row>
    <row r="38" spans="1:13" ht="53.25" customHeight="1" x14ac:dyDescent="0.25">
      <c r="A38" s="114" t="s">
        <v>119</v>
      </c>
      <c r="B38" s="115" t="s">
        <v>82</v>
      </c>
      <c r="C38" s="67" t="s">
        <v>65</v>
      </c>
      <c r="D38" s="69">
        <f t="shared" si="12"/>
        <v>576.70000000000005</v>
      </c>
      <c r="E38" s="69">
        <f t="shared" si="13"/>
        <v>381</v>
      </c>
      <c r="F38" s="69">
        <f t="shared" si="14"/>
        <v>-195.7</v>
      </c>
      <c r="G38" s="69">
        <f t="shared" si="5"/>
        <v>66.099999999999994</v>
      </c>
      <c r="H38" s="69">
        <f>+'1 priedas. asignavimai'!G82</f>
        <v>0</v>
      </c>
      <c r="I38" s="69">
        <f>+'1 priedas. asignavimai'!H82</f>
        <v>0</v>
      </c>
      <c r="J38" s="69">
        <f>+'1 priedas. asignavimai'!I82</f>
        <v>0</v>
      </c>
      <c r="K38" s="69">
        <f>+'1 priedas. asignavimai'!J82</f>
        <v>0</v>
      </c>
      <c r="L38" s="69">
        <f>+'1 priedas. asignavimai'!K82</f>
        <v>576.70000000000005</v>
      </c>
      <c r="M38" s="69">
        <f>+'1 priedas. asignavimai'!L82</f>
        <v>381</v>
      </c>
    </row>
    <row r="39" spans="1:13" ht="37.5" customHeight="1" x14ac:dyDescent="0.25">
      <c r="A39" s="114"/>
      <c r="B39" s="115"/>
      <c r="C39" s="67" t="s">
        <v>3</v>
      </c>
      <c r="D39" s="69">
        <f t="shared" si="12"/>
        <v>38.299999999999997</v>
      </c>
      <c r="E39" s="69">
        <f t="shared" si="13"/>
        <v>38.299999999999997</v>
      </c>
      <c r="F39" s="69">
        <f t="shared" si="14"/>
        <v>0</v>
      </c>
      <c r="G39" s="69">
        <f t="shared" si="5"/>
        <v>100</v>
      </c>
      <c r="H39" s="69">
        <f>+'1 priedas. asignavimai'!G50</f>
        <v>0</v>
      </c>
      <c r="I39" s="69">
        <f>+'1 priedas. asignavimai'!H50</f>
        <v>0</v>
      </c>
      <c r="J39" s="69">
        <f>+'1 priedas. asignavimai'!I50</f>
        <v>0</v>
      </c>
      <c r="K39" s="69">
        <f>+'1 priedas. asignavimai'!J50</f>
        <v>0</v>
      </c>
      <c r="L39" s="69">
        <f>+'1 priedas. asignavimai'!K50</f>
        <v>38.299999999999997</v>
      </c>
      <c r="M39" s="69">
        <f>+'1 priedas. asignavimai'!L50</f>
        <v>38.299999999999997</v>
      </c>
    </row>
    <row r="40" spans="1:13" ht="35.25" customHeight="1" x14ac:dyDescent="0.25">
      <c r="A40" s="114"/>
      <c r="B40" s="115"/>
      <c r="C40" s="67" t="s">
        <v>4</v>
      </c>
      <c r="D40" s="69">
        <f t="shared" si="12"/>
        <v>5501.2</v>
      </c>
      <c r="E40" s="69">
        <f t="shared" si="13"/>
        <v>4880.8</v>
      </c>
      <c r="F40" s="69">
        <f t="shared" si="14"/>
        <v>-620.4</v>
      </c>
      <c r="G40" s="69">
        <f t="shared" si="5"/>
        <v>88.7</v>
      </c>
      <c r="H40" s="69">
        <f>+'1 priedas. asignavimai'!G124</f>
        <v>4134.5</v>
      </c>
      <c r="I40" s="69">
        <f>+'1 priedas. asignavimai'!H124</f>
        <v>3758.8</v>
      </c>
      <c r="J40" s="69">
        <f>+'1 priedas. asignavimai'!I124</f>
        <v>0</v>
      </c>
      <c r="K40" s="69">
        <f>+'1 priedas. asignavimai'!J124</f>
        <v>0</v>
      </c>
      <c r="L40" s="69">
        <f>+'1 priedas. asignavimai'!K124</f>
        <v>1366.7</v>
      </c>
      <c r="M40" s="69">
        <f>+'1 priedas. asignavimai'!L124</f>
        <v>1122</v>
      </c>
    </row>
    <row r="41" spans="1:13" ht="40.5" customHeight="1" x14ac:dyDescent="0.25">
      <c r="A41" s="114"/>
      <c r="B41" s="115"/>
      <c r="C41" s="67" t="s">
        <v>5</v>
      </c>
      <c r="D41" s="69">
        <f t="shared" si="12"/>
        <v>68039.3</v>
      </c>
      <c r="E41" s="69">
        <f t="shared" si="13"/>
        <v>67064</v>
      </c>
      <c r="F41" s="69">
        <f t="shared" si="14"/>
        <v>-975.3</v>
      </c>
      <c r="G41" s="69">
        <f t="shared" si="5"/>
        <v>98.6</v>
      </c>
      <c r="H41" s="69">
        <f>+'1 priedas. asignavimai'!G138</f>
        <v>67436.7</v>
      </c>
      <c r="I41" s="69">
        <f>+'1 priedas. asignavimai'!H138</f>
        <v>66502.7</v>
      </c>
      <c r="J41" s="69">
        <f>+'1 priedas. asignavimai'!I138</f>
        <v>43898.5</v>
      </c>
      <c r="K41" s="69">
        <f>+'1 priedas. asignavimai'!J138</f>
        <v>43823</v>
      </c>
      <c r="L41" s="69">
        <f>+'1 priedas. asignavimai'!K138</f>
        <v>602.6</v>
      </c>
      <c r="M41" s="69">
        <f>+'1 priedas. asignavimai'!L138</f>
        <v>561.29999999999995</v>
      </c>
    </row>
    <row r="42" spans="1:13" ht="25.5" customHeight="1" x14ac:dyDescent="0.25">
      <c r="A42" s="114"/>
      <c r="B42" s="115"/>
      <c r="C42" s="67" t="s">
        <v>110</v>
      </c>
      <c r="D42" s="59">
        <f t="shared" si="12"/>
        <v>74155.5</v>
      </c>
      <c r="E42" s="59">
        <f t="shared" si="13"/>
        <v>72364.100000000006</v>
      </c>
      <c r="F42" s="59">
        <f t="shared" si="14"/>
        <v>-1791.4</v>
      </c>
      <c r="G42" s="59">
        <f t="shared" si="5"/>
        <v>97.6</v>
      </c>
      <c r="H42" s="59">
        <f>SUM(H38:H41)</f>
        <v>71571.199999999997</v>
      </c>
      <c r="I42" s="59">
        <f t="shared" ref="I42:M42" si="26">SUM(I38:I41)</f>
        <v>70261.5</v>
      </c>
      <c r="J42" s="59">
        <f t="shared" si="26"/>
        <v>43898.5</v>
      </c>
      <c r="K42" s="59">
        <f t="shared" si="26"/>
        <v>43823</v>
      </c>
      <c r="L42" s="59">
        <f t="shared" si="26"/>
        <v>2584.3000000000002</v>
      </c>
      <c r="M42" s="59">
        <f t="shared" si="26"/>
        <v>2102.6</v>
      </c>
    </row>
    <row r="43" spans="1:13" ht="55.5" customHeight="1" x14ac:dyDescent="0.25">
      <c r="A43" s="114" t="s">
        <v>120</v>
      </c>
      <c r="B43" s="115" t="s">
        <v>86</v>
      </c>
      <c r="C43" s="67" t="s">
        <v>65</v>
      </c>
      <c r="D43" s="69">
        <f t="shared" si="12"/>
        <v>15421.4</v>
      </c>
      <c r="E43" s="69">
        <f t="shared" si="13"/>
        <v>14642</v>
      </c>
      <c r="F43" s="69">
        <f t="shared" si="14"/>
        <v>-779.4</v>
      </c>
      <c r="G43" s="69">
        <f t="shared" si="5"/>
        <v>94.9</v>
      </c>
      <c r="H43" s="69">
        <f>+'1 priedas. asignavimai'!G86</f>
        <v>16</v>
      </c>
      <c r="I43" s="69">
        <f>+'1 priedas. asignavimai'!H86</f>
        <v>14</v>
      </c>
      <c r="J43" s="69">
        <f>+'1 priedas. asignavimai'!I86</f>
        <v>0</v>
      </c>
      <c r="K43" s="69">
        <f>+'1 priedas. asignavimai'!J86</f>
        <v>0</v>
      </c>
      <c r="L43" s="69">
        <f>+'1 priedas. asignavimai'!K86</f>
        <v>15405.4</v>
      </c>
      <c r="M43" s="69">
        <f>+'1 priedas. asignavimai'!L86</f>
        <v>14628</v>
      </c>
    </row>
    <row r="44" spans="1:13" ht="36.75" customHeight="1" x14ac:dyDescent="0.25">
      <c r="A44" s="114"/>
      <c r="B44" s="115"/>
      <c r="C44" s="67" t="s">
        <v>4</v>
      </c>
      <c r="D44" s="69">
        <f t="shared" si="12"/>
        <v>157.30000000000001</v>
      </c>
      <c r="E44" s="69">
        <f t="shared" si="13"/>
        <v>138.5</v>
      </c>
      <c r="F44" s="69">
        <f t="shared" si="14"/>
        <v>-18.8</v>
      </c>
      <c r="G44" s="69">
        <f t="shared" si="5"/>
        <v>88</v>
      </c>
      <c r="H44" s="69">
        <f>+'1 priedas. asignavimai'!G129</f>
        <v>157.30000000000001</v>
      </c>
      <c r="I44" s="69">
        <f>+'1 priedas. asignavimai'!H129</f>
        <v>138.5</v>
      </c>
      <c r="J44" s="69">
        <f>+'1 priedas. asignavimai'!I129</f>
        <v>0</v>
      </c>
      <c r="K44" s="69">
        <f>+'1 priedas. asignavimai'!J129</f>
        <v>0</v>
      </c>
      <c r="L44" s="69">
        <f>+'1 priedas. asignavimai'!K129</f>
        <v>0</v>
      </c>
      <c r="M44" s="69">
        <f>+'1 priedas. asignavimai'!L129</f>
        <v>0</v>
      </c>
    </row>
    <row r="45" spans="1:13" ht="36" customHeight="1" x14ac:dyDescent="0.25">
      <c r="A45" s="114"/>
      <c r="B45" s="115"/>
      <c r="C45" s="67" t="s">
        <v>3</v>
      </c>
      <c r="D45" s="69">
        <f t="shared" si="12"/>
        <v>12</v>
      </c>
      <c r="E45" s="69">
        <f t="shared" si="13"/>
        <v>12</v>
      </c>
      <c r="F45" s="69">
        <f t="shared" si="14"/>
        <v>0</v>
      </c>
      <c r="G45" s="69">
        <f t="shared" si="5"/>
        <v>100</v>
      </c>
      <c r="H45" s="69">
        <f>+'1 priedas. asignavimai'!G51</f>
        <v>0</v>
      </c>
      <c r="I45" s="69">
        <f>+'1 priedas. asignavimai'!H51</f>
        <v>0</v>
      </c>
      <c r="J45" s="69">
        <f>+'1 priedas. asignavimai'!I51</f>
        <v>0</v>
      </c>
      <c r="K45" s="69">
        <f>+'1 priedas. asignavimai'!J51</f>
        <v>0</v>
      </c>
      <c r="L45" s="69">
        <f>+'1 priedas. asignavimai'!K51</f>
        <v>12</v>
      </c>
      <c r="M45" s="69">
        <f>+'1 priedas. asignavimai'!L51</f>
        <v>12</v>
      </c>
    </row>
    <row r="46" spans="1:13" ht="40.5" customHeight="1" x14ac:dyDescent="0.25">
      <c r="A46" s="114"/>
      <c r="B46" s="115"/>
      <c r="C46" s="67" t="s">
        <v>5</v>
      </c>
      <c r="D46" s="69">
        <f t="shared" si="12"/>
        <v>6634.9</v>
      </c>
      <c r="E46" s="69">
        <f t="shared" si="13"/>
        <v>6585.1</v>
      </c>
      <c r="F46" s="69">
        <f t="shared" si="14"/>
        <v>-49.8</v>
      </c>
      <c r="G46" s="69">
        <f t="shared" si="5"/>
        <v>99.2</v>
      </c>
      <c r="H46" s="69">
        <f>+'1 priedas. asignavimai'!G150</f>
        <v>6366.5</v>
      </c>
      <c r="I46" s="69">
        <f>+'1 priedas. asignavimai'!H150</f>
        <v>6316.7</v>
      </c>
      <c r="J46" s="69">
        <f>+'1 priedas. asignavimai'!I150</f>
        <v>2129.1</v>
      </c>
      <c r="K46" s="69">
        <f>+'1 priedas. asignavimai'!J150</f>
        <v>2128.9</v>
      </c>
      <c r="L46" s="69">
        <f>+'1 priedas. asignavimai'!K150</f>
        <v>268.39999999999998</v>
      </c>
      <c r="M46" s="69">
        <f>+'1 priedas. asignavimai'!L150</f>
        <v>268.39999999999998</v>
      </c>
    </row>
    <row r="47" spans="1:13" ht="21.75" customHeight="1" x14ac:dyDescent="0.25">
      <c r="A47" s="114"/>
      <c r="B47" s="115"/>
      <c r="C47" s="67" t="s">
        <v>110</v>
      </c>
      <c r="D47" s="59">
        <f t="shared" si="12"/>
        <v>22225.599999999999</v>
      </c>
      <c r="E47" s="59">
        <f t="shared" si="13"/>
        <v>21377.599999999999</v>
      </c>
      <c r="F47" s="59">
        <f t="shared" si="14"/>
        <v>-848</v>
      </c>
      <c r="G47" s="59">
        <f t="shared" si="5"/>
        <v>96.2</v>
      </c>
      <c r="H47" s="59">
        <f>SUM(H43:H46)</f>
        <v>6539.8</v>
      </c>
      <c r="I47" s="59">
        <f t="shared" ref="I47:M47" si="27">SUM(I43:I46)</f>
        <v>6469.2</v>
      </c>
      <c r="J47" s="59">
        <f t="shared" si="27"/>
        <v>2129.1</v>
      </c>
      <c r="K47" s="59">
        <f t="shared" si="27"/>
        <v>2128.9</v>
      </c>
      <c r="L47" s="59">
        <f t="shared" si="27"/>
        <v>15685.8</v>
      </c>
      <c r="M47" s="59">
        <f t="shared" si="27"/>
        <v>14908.4</v>
      </c>
    </row>
    <row r="48" spans="1:13" ht="31.5" x14ac:dyDescent="0.25">
      <c r="A48" s="114" t="s">
        <v>121</v>
      </c>
      <c r="B48" s="115" t="s">
        <v>89</v>
      </c>
      <c r="C48" s="67" t="s">
        <v>3</v>
      </c>
      <c r="D48" s="69">
        <f t="shared" si="12"/>
        <v>1220</v>
      </c>
      <c r="E48" s="69">
        <f t="shared" si="13"/>
        <v>1021.5</v>
      </c>
      <c r="F48" s="69">
        <f t="shared" si="14"/>
        <v>-198.5</v>
      </c>
      <c r="G48" s="69">
        <f t="shared" si="5"/>
        <v>83.7</v>
      </c>
      <c r="H48" s="69">
        <f>+'1 priedas. asignavimai'!G52</f>
        <v>0</v>
      </c>
      <c r="I48" s="69">
        <f>+'1 priedas. asignavimai'!H52</f>
        <v>0</v>
      </c>
      <c r="J48" s="69">
        <f>+'1 priedas. asignavimai'!I52</f>
        <v>0</v>
      </c>
      <c r="K48" s="69">
        <f>+'1 priedas. asignavimai'!J52</f>
        <v>0</v>
      </c>
      <c r="L48" s="69">
        <f>+'1 priedas. asignavimai'!K52</f>
        <v>1220</v>
      </c>
      <c r="M48" s="69">
        <f>+'1 priedas. asignavimai'!L52</f>
        <v>1021.5</v>
      </c>
    </row>
    <row r="49" spans="1:13" ht="47.25" x14ac:dyDescent="0.25">
      <c r="A49" s="114"/>
      <c r="B49" s="115"/>
      <c r="C49" s="67" t="s">
        <v>65</v>
      </c>
      <c r="D49" s="69">
        <f t="shared" si="12"/>
        <v>662.8</v>
      </c>
      <c r="E49" s="69">
        <f t="shared" si="13"/>
        <v>509</v>
      </c>
      <c r="F49" s="69">
        <f t="shared" si="14"/>
        <v>-153.80000000000001</v>
      </c>
      <c r="G49" s="69">
        <f t="shared" si="5"/>
        <v>76.8</v>
      </c>
      <c r="H49" s="69">
        <f>+'1 priedas. asignavimai'!G91</f>
        <v>126.6</v>
      </c>
      <c r="I49" s="69">
        <f>+'1 priedas. asignavimai'!H91</f>
        <v>15.1</v>
      </c>
      <c r="J49" s="69">
        <f>+'1 priedas. asignavimai'!I91</f>
        <v>0</v>
      </c>
      <c r="K49" s="69">
        <f>+'1 priedas. asignavimai'!J91</f>
        <v>0</v>
      </c>
      <c r="L49" s="69">
        <f>+'1 priedas. asignavimai'!K91</f>
        <v>536.20000000000005</v>
      </c>
      <c r="M49" s="69">
        <f>+'1 priedas. asignavimai'!L91</f>
        <v>493.9</v>
      </c>
    </row>
    <row r="50" spans="1:13" ht="31.5" x14ac:dyDescent="0.25">
      <c r="A50" s="114"/>
      <c r="B50" s="115"/>
      <c r="C50" s="67" t="s">
        <v>4</v>
      </c>
      <c r="D50" s="69">
        <f t="shared" si="12"/>
        <v>570.6</v>
      </c>
      <c r="E50" s="69">
        <f t="shared" si="13"/>
        <v>278.3</v>
      </c>
      <c r="F50" s="69">
        <f t="shared" si="14"/>
        <v>-292.3</v>
      </c>
      <c r="G50" s="69">
        <f t="shared" si="5"/>
        <v>48.8</v>
      </c>
      <c r="H50" s="69">
        <f>+'1 priedas. asignavimai'!G130</f>
        <v>215.9</v>
      </c>
      <c r="I50" s="69">
        <f>+'1 priedas. asignavimai'!H130</f>
        <v>148.9</v>
      </c>
      <c r="J50" s="69">
        <f>+'1 priedas. asignavimai'!I130</f>
        <v>0</v>
      </c>
      <c r="K50" s="69">
        <f>+'1 priedas. asignavimai'!J130</f>
        <v>0</v>
      </c>
      <c r="L50" s="69">
        <f>+'1 priedas. asignavimai'!K130</f>
        <v>354.7</v>
      </c>
      <c r="M50" s="69">
        <f>+'1 priedas. asignavimai'!L130</f>
        <v>129.4</v>
      </c>
    </row>
    <row r="51" spans="1:13" ht="31.5" x14ac:dyDescent="0.25">
      <c r="A51" s="114"/>
      <c r="B51" s="115"/>
      <c r="C51" s="67" t="s">
        <v>6</v>
      </c>
      <c r="D51" s="69">
        <f t="shared" si="12"/>
        <v>14488.5</v>
      </c>
      <c r="E51" s="69">
        <f t="shared" si="13"/>
        <v>11939.6</v>
      </c>
      <c r="F51" s="69">
        <f t="shared" si="14"/>
        <v>-2548.9</v>
      </c>
      <c r="G51" s="69">
        <f t="shared" si="5"/>
        <v>82.4</v>
      </c>
      <c r="H51" s="69">
        <f>+'1 priedas. asignavimai'!G156</f>
        <v>14268.8</v>
      </c>
      <c r="I51" s="69">
        <f>+'1 priedas. asignavimai'!H156</f>
        <v>11774.7</v>
      </c>
      <c r="J51" s="69">
        <f>+'1 priedas. asignavimai'!I156</f>
        <v>3684.9</v>
      </c>
      <c r="K51" s="69">
        <f>+'1 priedas. asignavimai'!J156</f>
        <v>3617.9</v>
      </c>
      <c r="L51" s="69">
        <f>+'1 priedas. asignavimai'!K156</f>
        <v>219.7</v>
      </c>
      <c r="M51" s="69">
        <f>+'1 priedas. asignavimai'!L156</f>
        <v>164.9</v>
      </c>
    </row>
    <row r="52" spans="1:13" ht="15.75" x14ac:dyDescent="0.25">
      <c r="A52" s="114"/>
      <c r="B52" s="115"/>
      <c r="C52" s="67" t="s">
        <v>110</v>
      </c>
      <c r="D52" s="59">
        <f t="shared" si="12"/>
        <v>16941.900000000001</v>
      </c>
      <c r="E52" s="59">
        <f t="shared" si="13"/>
        <v>13748.4</v>
      </c>
      <c r="F52" s="59">
        <f t="shared" si="14"/>
        <v>-3193.5</v>
      </c>
      <c r="G52" s="59">
        <f t="shared" si="5"/>
        <v>81.2</v>
      </c>
      <c r="H52" s="59">
        <f>SUM(H48:H51)</f>
        <v>14611.3</v>
      </c>
      <c r="I52" s="59">
        <f t="shared" ref="I52:M52" si="28">SUM(I48:I51)</f>
        <v>11938.7</v>
      </c>
      <c r="J52" s="59">
        <f t="shared" si="28"/>
        <v>3684.9</v>
      </c>
      <c r="K52" s="59">
        <f t="shared" si="28"/>
        <v>3617.9</v>
      </c>
      <c r="L52" s="59">
        <f t="shared" si="28"/>
        <v>2330.6</v>
      </c>
      <c r="M52" s="59">
        <f t="shared" si="28"/>
        <v>1809.7</v>
      </c>
    </row>
    <row r="53" spans="1:13" ht="31.5" x14ac:dyDescent="0.25">
      <c r="A53" s="114" t="s">
        <v>166</v>
      </c>
      <c r="B53" s="115" t="s">
        <v>95</v>
      </c>
      <c r="C53" s="67" t="s">
        <v>3</v>
      </c>
      <c r="D53" s="69">
        <f t="shared" si="12"/>
        <v>680</v>
      </c>
      <c r="E53" s="69">
        <f t="shared" si="13"/>
        <v>680</v>
      </c>
      <c r="F53" s="69">
        <f t="shared" si="14"/>
        <v>0</v>
      </c>
      <c r="G53" s="69">
        <f t="shared" si="5"/>
        <v>100</v>
      </c>
      <c r="H53" s="69">
        <f>+'1 priedas. asignavimai'!G56</f>
        <v>0</v>
      </c>
      <c r="I53" s="69">
        <f>+'1 priedas. asignavimai'!H56</f>
        <v>0</v>
      </c>
      <c r="J53" s="69">
        <f>+'1 priedas. asignavimai'!I56</f>
        <v>0</v>
      </c>
      <c r="K53" s="69">
        <f>+'1 priedas. asignavimai'!J56</f>
        <v>0</v>
      </c>
      <c r="L53" s="69">
        <f>+'1 priedas. asignavimai'!K56</f>
        <v>680</v>
      </c>
      <c r="M53" s="69">
        <f>+'1 priedas. asignavimai'!L56</f>
        <v>680</v>
      </c>
    </row>
    <row r="54" spans="1:13" ht="47.25" x14ac:dyDescent="0.25">
      <c r="A54" s="114"/>
      <c r="B54" s="115"/>
      <c r="C54" s="67" t="s">
        <v>65</v>
      </c>
      <c r="D54" s="69">
        <f t="shared" si="12"/>
        <v>1058</v>
      </c>
      <c r="E54" s="69">
        <f t="shared" si="13"/>
        <v>606.1</v>
      </c>
      <c r="F54" s="69">
        <f t="shared" si="14"/>
        <v>-451.9</v>
      </c>
      <c r="G54" s="69">
        <f t="shared" si="5"/>
        <v>57.3</v>
      </c>
      <c r="H54" s="69">
        <f>+'1 priedas. asignavimai'!G95</f>
        <v>0</v>
      </c>
      <c r="I54" s="69">
        <f>+'1 priedas. asignavimai'!H95</f>
        <v>0</v>
      </c>
      <c r="J54" s="69">
        <f>+'1 priedas. asignavimai'!I95</f>
        <v>0</v>
      </c>
      <c r="K54" s="69">
        <f>+'1 priedas. asignavimai'!J95</f>
        <v>0</v>
      </c>
      <c r="L54" s="69">
        <f>+'1 priedas. asignavimai'!K95</f>
        <v>1058</v>
      </c>
      <c r="M54" s="69">
        <f>+'1 priedas. asignavimai'!L95</f>
        <v>606.1</v>
      </c>
    </row>
    <row r="55" spans="1:13" ht="31.5" x14ac:dyDescent="0.25">
      <c r="A55" s="114"/>
      <c r="B55" s="115"/>
      <c r="C55" s="67" t="s">
        <v>6</v>
      </c>
      <c r="D55" s="69">
        <f t="shared" si="12"/>
        <v>2045.3</v>
      </c>
      <c r="E55" s="69">
        <f t="shared" si="13"/>
        <v>2035.2</v>
      </c>
      <c r="F55" s="69">
        <f t="shared" si="14"/>
        <v>-10.1</v>
      </c>
      <c r="G55" s="69">
        <f t="shared" si="5"/>
        <v>99.5</v>
      </c>
      <c r="H55" s="69">
        <f>+'1 priedas. asignavimai'!G171</f>
        <v>2045.3</v>
      </c>
      <c r="I55" s="69">
        <f>+'1 priedas. asignavimai'!H171</f>
        <v>2035.2</v>
      </c>
      <c r="J55" s="69">
        <f>+'1 priedas. asignavimai'!I171</f>
        <v>1206.5999999999999</v>
      </c>
      <c r="K55" s="69">
        <f>+'1 priedas. asignavimai'!J171</f>
        <v>1203.5</v>
      </c>
      <c r="L55" s="69">
        <f>+'1 priedas. asignavimai'!K171</f>
        <v>0</v>
      </c>
      <c r="M55" s="69">
        <f>+'1 priedas. asignavimai'!L171</f>
        <v>0</v>
      </c>
    </row>
    <row r="56" spans="1:13" ht="31.5" x14ac:dyDescent="0.25">
      <c r="A56" s="114"/>
      <c r="B56" s="115"/>
      <c r="C56" s="67" t="s">
        <v>4</v>
      </c>
      <c r="D56" s="69">
        <f t="shared" si="12"/>
        <v>176.6</v>
      </c>
      <c r="E56" s="69">
        <f t="shared" si="13"/>
        <v>100</v>
      </c>
      <c r="F56" s="69">
        <f t="shared" si="14"/>
        <v>-76.599999999999994</v>
      </c>
      <c r="G56" s="69">
        <f t="shared" si="5"/>
        <v>56.6</v>
      </c>
      <c r="H56" s="69">
        <f>+'1 priedas. asignavimai'!G131</f>
        <v>40</v>
      </c>
      <c r="I56" s="69">
        <f>+'1 priedas. asignavimai'!H131</f>
        <v>40</v>
      </c>
      <c r="J56" s="69">
        <f>+'1 priedas. asignavimai'!I131</f>
        <v>0</v>
      </c>
      <c r="K56" s="69">
        <f>+'1 priedas. asignavimai'!J131</f>
        <v>0</v>
      </c>
      <c r="L56" s="69">
        <f>+'1 priedas. asignavimai'!K131</f>
        <v>136.6</v>
      </c>
      <c r="M56" s="69">
        <f>+'1 priedas. asignavimai'!L131</f>
        <v>60</v>
      </c>
    </row>
    <row r="57" spans="1:13" ht="15.75" x14ac:dyDescent="0.25">
      <c r="A57" s="114"/>
      <c r="B57" s="115"/>
      <c r="C57" s="67" t="s">
        <v>110</v>
      </c>
      <c r="D57" s="59">
        <f t="shared" si="12"/>
        <v>3959.9</v>
      </c>
      <c r="E57" s="59">
        <f t="shared" si="13"/>
        <v>3421.3</v>
      </c>
      <c r="F57" s="59">
        <f t="shared" si="14"/>
        <v>-538.6</v>
      </c>
      <c r="G57" s="59">
        <f t="shared" si="5"/>
        <v>86.4</v>
      </c>
      <c r="H57" s="59">
        <f>SUM(H53:H56)</f>
        <v>2085.3000000000002</v>
      </c>
      <c r="I57" s="59">
        <f t="shared" ref="I57:M57" si="29">SUM(I53:I56)</f>
        <v>2075.1999999999998</v>
      </c>
      <c r="J57" s="59">
        <f t="shared" si="29"/>
        <v>1206.5999999999999</v>
      </c>
      <c r="K57" s="59">
        <f t="shared" si="29"/>
        <v>1203.5</v>
      </c>
      <c r="L57" s="59">
        <f t="shared" si="29"/>
        <v>1874.6</v>
      </c>
      <c r="M57" s="59">
        <f t="shared" si="29"/>
        <v>1346.1</v>
      </c>
    </row>
    <row r="58" spans="1:13" ht="15.75" x14ac:dyDescent="0.25">
      <c r="A58" s="68" t="s">
        <v>106</v>
      </c>
      <c r="B58" s="28" t="s">
        <v>122</v>
      </c>
      <c r="C58" s="28"/>
      <c r="D58" s="59">
        <f>+D13+D14+D18+D23+D27+D31+D36+D37+D42+D47+D52+D57+D19</f>
        <v>167421</v>
      </c>
      <c r="E58" s="59">
        <f t="shared" ref="E58:F58" si="30">+E13+E14+E18+E23+E27+E31+E36+E37+E42+E47+E52+E57+E19</f>
        <v>152554.6</v>
      </c>
      <c r="F58" s="59">
        <f t="shared" si="30"/>
        <v>-14866.4</v>
      </c>
      <c r="G58" s="59">
        <f t="shared" si="5"/>
        <v>91.1</v>
      </c>
      <c r="H58" s="59">
        <f t="shared" ref="H58" si="31">+H13+H14+H18+H23+H27+H31+H36+H37+H42+H47+H52+H57+H19</f>
        <v>132973.1</v>
      </c>
      <c r="I58" s="59">
        <f t="shared" ref="I58" si="32">+I13+I14+I18+I23+I27+I31+I36+I37+I42+I47+I52+I57+I19</f>
        <v>126534.8</v>
      </c>
      <c r="J58" s="59">
        <f t="shared" ref="J58" si="33">+J13+J14+J18+J23+J27+J31+J36+J37+J42+J47+J52+J57+J19</f>
        <v>58394.2</v>
      </c>
      <c r="K58" s="59">
        <f t="shared" ref="K58" si="34">+K13+K14+K18+K23+K27+K31+K36+K37+K42+K47+K52+K57+K19</f>
        <v>58178.5</v>
      </c>
      <c r="L58" s="59">
        <f t="shared" ref="L58" si="35">+L13+L14+L18+L23+L27+L31+L36+L37+L42+L47+L52+L57+L19</f>
        <v>34447.9</v>
      </c>
      <c r="M58" s="59">
        <f t="shared" ref="M58" si="36">+M13+M14+M18+M23+M27+M31+M36+M37+M42+M47+M52+M57+M19</f>
        <v>26019.8</v>
      </c>
    </row>
    <row r="59" spans="1:13" x14ac:dyDescent="0.2">
      <c r="D59" s="29"/>
    </row>
    <row r="60" spans="1:13" x14ac:dyDescent="0.2">
      <c r="B60" s="14"/>
      <c r="C60" s="14"/>
      <c r="J60" s="29"/>
      <c r="K60" s="29"/>
    </row>
  </sheetData>
  <mergeCells count="36">
    <mergeCell ref="B32:B36"/>
    <mergeCell ref="A24:A27"/>
    <mergeCell ref="A10:A13"/>
    <mergeCell ref="B10:B13"/>
    <mergeCell ref="A15:A18"/>
    <mergeCell ref="B24:B27"/>
    <mergeCell ref="A28:A31"/>
    <mergeCell ref="B28:B31"/>
    <mergeCell ref="A32:A36"/>
    <mergeCell ref="A20:A23"/>
    <mergeCell ref="A2:M2"/>
    <mergeCell ref="A53:A57"/>
    <mergeCell ref="B53:B57"/>
    <mergeCell ref="A38:A42"/>
    <mergeCell ref="B38:B42"/>
    <mergeCell ref="A43:A47"/>
    <mergeCell ref="B43:B47"/>
    <mergeCell ref="A48:A52"/>
    <mergeCell ref="B48:B52"/>
    <mergeCell ref="H5:M5"/>
    <mergeCell ref="H6:K6"/>
    <mergeCell ref="L6:M6"/>
    <mergeCell ref="H7:H8"/>
    <mergeCell ref="B15:B18"/>
    <mergeCell ref="G5:G8"/>
    <mergeCell ref="B20:B23"/>
    <mergeCell ref="I7:I8"/>
    <mergeCell ref="J7:K7"/>
    <mergeCell ref="L7:L8"/>
    <mergeCell ref="M7:M8"/>
    <mergeCell ref="A5:A8"/>
    <mergeCell ref="B5:B8"/>
    <mergeCell ref="C5:C8"/>
    <mergeCell ref="D5:D8"/>
    <mergeCell ref="E5:E8"/>
    <mergeCell ref="F5:F8"/>
  </mergeCells>
  <pageMargins left="0.9055118110236221" right="0.51181102362204722" top="0.74803149606299213" bottom="0.5118110236220472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Zeros="0" workbookViewId="0">
      <pane xSplit="2" ySplit="8" topLeftCell="C21" activePane="bottomRight" state="frozen"/>
      <selection pane="topRight" activeCell="C1" sqref="C1"/>
      <selection pane="bottomLeft" activeCell="A12" sqref="A12"/>
      <selection pane="bottomRight" activeCell="C101" sqref="C101"/>
    </sheetView>
  </sheetViews>
  <sheetFormatPr defaultRowHeight="15" x14ac:dyDescent="0.25"/>
  <cols>
    <col min="2" max="2" width="44" customWidth="1"/>
    <col min="3" max="3" width="10.42578125" customWidth="1"/>
    <col min="4" max="4" width="9.5703125" bestFit="1" customWidth="1"/>
    <col min="5" max="5" width="10.5703125" customWidth="1"/>
    <col min="6" max="6" width="10.42578125" customWidth="1"/>
    <col min="7" max="7" width="11" customWidth="1"/>
    <col min="8" max="8" width="9.28515625" bestFit="1" customWidth="1"/>
    <col min="9" max="9" width="11.42578125" customWidth="1"/>
    <col min="10" max="10" width="10.28515625" customWidth="1"/>
    <col min="11" max="11" width="10.7109375" customWidth="1"/>
    <col min="12" max="12" width="9.5703125" bestFit="1" customWidth="1"/>
  </cols>
  <sheetData>
    <row r="1" spans="1:12" ht="15.75" x14ac:dyDescent="0.25">
      <c r="A1" s="32"/>
      <c r="B1" s="32"/>
    </row>
    <row r="2" spans="1:12" s="2" customFormat="1" ht="15.75" x14ac:dyDescent="0.25">
      <c r="A2" s="118" t="s">
        <v>271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" customFormat="1" ht="15.75" x14ac:dyDescent="0.25">
      <c r="A3" s="33"/>
      <c r="B3" s="33"/>
    </row>
    <row r="4" spans="1:12" s="36" customFormat="1" ht="15.75" x14ac:dyDescent="0.25">
      <c r="A4" s="34"/>
      <c r="B4" s="35"/>
      <c r="K4" s="16" t="s">
        <v>269</v>
      </c>
    </row>
    <row r="5" spans="1:12" s="2" customFormat="1" ht="15.75" customHeight="1" x14ac:dyDescent="0.25">
      <c r="A5" s="109" t="s">
        <v>0</v>
      </c>
      <c r="B5" s="109" t="s">
        <v>218</v>
      </c>
      <c r="C5" s="110" t="s">
        <v>246</v>
      </c>
      <c r="D5" s="110" t="s">
        <v>247</v>
      </c>
      <c r="E5" s="110" t="s">
        <v>272</v>
      </c>
      <c r="F5" s="111" t="s">
        <v>249</v>
      </c>
      <c r="G5" s="112" t="s">
        <v>250</v>
      </c>
      <c r="H5" s="112"/>
      <c r="I5" s="112"/>
      <c r="J5" s="112"/>
      <c r="K5" s="112"/>
      <c r="L5" s="112"/>
    </row>
    <row r="6" spans="1:12" s="2" customFormat="1" ht="15.75" x14ac:dyDescent="0.25">
      <c r="A6" s="109"/>
      <c r="B6" s="109"/>
      <c r="C6" s="110"/>
      <c r="D6" s="110"/>
      <c r="E6" s="110"/>
      <c r="F6" s="111"/>
      <c r="G6" s="110" t="s">
        <v>45</v>
      </c>
      <c r="H6" s="110"/>
      <c r="I6" s="110"/>
      <c r="J6" s="110"/>
      <c r="K6" s="110" t="s">
        <v>46</v>
      </c>
      <c r="L6" s="110"/>
    </row>
    <row r="7" spans="1:12" s="2" customFormat="1" ht="15.75" x14ac:dyDescent="0.25">
      <c r="A7" s="109"/>
      <c r="B7" s="109"/>
      <c r="C7" s="110"/>
      <c r="D7" s="110"/>
      <c r="E7" s="110"/>
      <c r="F7" s="111"/>
      <c r="G7" s="110" t="s">
        <v>214</v>
      </c>
      <c r="H7" s="110" t="s">
        <v>247</v>
      </c>
      <c r="I7" s="111" t="s">
        <v>251</v>
      </c>
      <c r="J7" s="111"/>
      <c r="K7" s="110" t="s">
        <v>214</v>
      </c>
      <c r="L7" s="110" t="s">
        <v>247</v>
      </c>
    </row>
    <row r="8" spans="1:12" s="2" customFormat="1" ht="31.5" x14ac:dyDescent="0.25">
      <c r="A8" s="109"/>
      <c r="B8" s="109"/>
      <c r="C8" s="110"/>
      <c r="D8" s="110"/>
      <c r="E8" s="110"/>
      <c r="F8" s="111"/>
      <c r="G8" s="110"/>
      <c r="H8" s="110"/>
      <c r="I8" s="21" t="s">
        <v>214</v>
      </c>
      <c r="J8" s="21" t="s">
        <v>247</v>
      </c>
      <c r="K8" s="110"/>
      <c r="L8" s="110"/>
    </row>
    <row r="9" spans="1:12" s="2" customFormat="1" ht="15.75" x14ac:dyDescent="0.25">
      <c r="A9" s="67">
        <v>1</v>
      </c>
      <c r="B9" s="67">
        <v>2</v>
      </c>
      <c r="C9" s="67">
        <v>7</v>
      </c>
      <c r="D9" s="67">
        <v>8</v>
      </c>
      <c r="E9" s="67">
        <v>9</v>
      </c>
      <c r="F9" s="67">
        <v>10</v>
      </c>
      <c r="G9" s="67">
        <v>11</v>
      </c>
      <c r="H9" s="67">
        <v>12</v>
      </c>
      <c r="I9" s="67">
        <v>13</v>
      </c>
      <c r="J9" s="67">
        <v>14</v>
      </c>
      <c r="K9" s="67">
        <v>15</v>
      </c>
      <c r="L9" s="67">
        <v>16</v>
      </c>
    </row>
    <row r="10" spans="1:12" s="2" customFormat="1" ht="31.5" x14ac:dyDescent="0.25">
      <c r="A10" s="9">
        <v>1</v>
      </c>
      <c r="B10" s="7" t="s">
        <v>219</v>
      </c>
      <c r="C10" s="59">
        <f>+C12+C15+C18+C25</f>
        <v>1632.7</v>
      </c>
      <c r="D10" s="59">
        <f t="shared" ref="D10:L10" si="0">+D12+D15+D18+D25</f>
        <v>1510.2</v>
      </c>
      <c r="E10" s="59">
        <f t="shared" si="0"/>
        <v>-122.5</v>
      </c>
      <c r="F10" s="59">
        <f>+D10/C10*100</f>
        <v>92.5</v>
      </c>
      <c r="G10" s="59">
        <f t="shared" si="0"/>
        <v>1447.7</v>
      </c>
      <c r="H10" s="59">
        <f t="shared" si="0"/>
        <v>1325.3</v>
      </c>
      <c r="I10" s="59">
        <f t="shared" si="0"/>
        <v>66.900000000000006</v>
      </c>
      <c r="J10" s="59">
        <f t="shared" si="0"/>
        <v>66.900000000000006</v>
      </c>
      <c r="K10" s="59">
        <f t="shared" si="0"/>
        <v>185</v>
      </c>
      <c r="L10" s="59">
        <f t="shared" si="0"/>
        <v>184.9</v>
      </c>
    </row>
    <row r="11" spans="1:12" ht="15.75" x14ac:dyDescent="0.25">
      <c r="A11" s="9">
        <v>2</v>
      </c>
      <c r="B11" s="67" t="s">
        <v>2</v>
      </c>
      <c r="C11" s="69">
        <f t="shared" ref="C11:C74" si="1">+G11+K11</f>
        <v>0</v>
      </c>
      <c r="D11" s="69">
        <f t="shared" ref="D11:D74" si="2">+H11+L11</f>
        <v>0</v>
      </c>
      <c r="E11" s="69">
        <f t="shared" ref="E11:E74" si="3">+D11-C11</f>
        <v>0</v>
      </c>
      <c r="F11" s="69"/>
      <c r="G11" s="78"/>
      <c r="H11" s="78"/>
      <c r="I11" s="78"/>
      <c r="J11" s="78"/>
      <c r="K11" s="78"/>
      <c r="L11" s="78"/>
    </row>
    <row r="12" spans="1:12" ht="15.75" x14ac:dyDescent="0.25">
      <c r="A12" s="9">
        <v>3</v>
      </c>
      <c r="B12" s="28" t="s">
        <v>3</v>
      </c>
      <c r="C12" s="59">
        <f>+C13</f>
        <v>47.7</v>
      </c>
      <c r="D12" s="59">
        <f t="shared" ref="D12:E12" si="4">+D13</f>
        <v>47.7</v>
      </c>
      <c r="E12" s="59">
        <f t="shared" si="4"/>
        <v>0</v>
      </c>
      <c r="F12" s="59">
        <f t="shared" ref="F12:F74" si="5">+D12/C12*100</f>
        <v>100</v>
      </c>
      <c r="G12" s="59">
        <f t="shared" ref="G12" si="6">+G13</f>
        <v>4.5999999999999996</v>
      </c>
      <c r="H12" s="59">
        <f t="shared" ref="H12" si="7">+H13</f>
        <v>4.5999999999999996</v>
      </c>
      <c r="I12" s="59">
        <f t="shared" ref="I12" si="8">+I13</f>
        <v>0</v>
      </c>
      <c r="J12" s="59">
        <f t="shared" ref="J12" si="9">+J13</f>
        <v>0</v>
      </c>
      <c r="K12" s="59">
        <f t="shared" ref="K12" si="10">+K13</f>
        <v>43.1</v>
      </c>
      <c r="L12" s="59">
        <f t="shared" ref="L12" si="11">+L13</f>
        <v>43.1</v>
      </c>
    </row>
    <row r="13" spans="1:12" ht="15.75" x14ac:dyDescent="0.25">
      <c r="A13" s="9">
        <v>4</v>
      </c>
      <c r="B13" s="4" t="s">
        <v>49</v>
      </c>
      <c r="C13" s="69">
        <f t="shared" si="1"/>
        <v>47.7</v>
      </c>
      <c r="D13" s="69">
        <f t="shared" si="2"/>
        <v>47.7</v>
      </c>
      <c r="E13" s="69">
        <f t="shared" si="3"/>
        <v>0</v>
      </c>
      <c r="F13" s="69">
        <f t="shared" si="5"/>
        <v>100</v>
      </c>
      <c r="G13" s="78">
        <v>4.5999999999999996</v>
      </c>
      <c r="H13" s="78">
        <v>4.5999999999999996</v>
      </c>
      <c r="I13" s="78"/>
      <c r="J13" s="78"/>
      <c r="K13" s="78">
        <v>43.1</v>
      </c>
      <c r="L13" s="78">
        <v>43.1</v>
      </c>
    </row>
    <row r="14" spans="1:12" ht="15.75" x14ac:dyDescent="0.25">
      <c r="A14" s="9">
        <v>5</v>
      </c>
      <c r="B14" s="37" t="s">
        <v>220</v>
      </c>
      <c r="C14" s="69">
        <f t="shared" si="1"/>
        <v>0.6</v>
      </c>
      <c r="D14" s="69">
        <f t="shared" si="2"/>
        <v>0.6</v>
      </c>
      <c r="E14" s="69">
        <f t="shared" si="3"/>
        <v>0</v>
      </c>
      <c r="F14" s="69">
        <f t="shared" si="5"/>
        <v>100</v>
      </c>
      <c r="G14" s="78">
        <v>0.6</v>
      </c>
      <c r="H14" s="78">
        <v>0.6</v>
      </c>
      <c r="I14" s="78"/>
      <c r="J14" s="78"/>
      <c r="K14" s="78"/>
      <c r="L14" s="78"/>
    </row>
    <row r="15" spans="1:12" ht="15.75" x14ac:dyDescent="0.25">
      <c r="A15" s="9">
        <v>6</v>
      </c>
      <c r="B15" s="28" t="s">
        <v>4</v>
      </c>
      <c r="C15" s="59">
        <f>+C16</f>
        <v>6.5</v>
      </c>
      <c r="D15" s="59">
        <f t="shared" ref="D15:E15" si="12">+D16</f>
        <v>6.5</v>
      </c>
      <c r="E15" s="59">
        <f t="shared" si="12"/>
        <v>0</v>
      </c>
      <c r="F15" s="59">
        <f t="shared" si="5"/>
        <v>100</v>
      </c>
      <c r="G15" s="59">
        <f t="shared" ref="G15" si="13">+G16</f>
        <v>6.5</v>
      </c>
      <c r="H15" s="59">
        <f t="shared" ref="H15" si="14">+H16</f>
        <v>6.5</v>
      </c>
      <c r="I15" s="59">
        <f t="shared" ref="I15" si="15">+I16</f>
        <v>0</v>
      </c>
      <c r="J15" s="59">
        <f t="shared" ref="J15" si="16">+J16</f>
        <v>0</v>
      </c>
      <c r="K15" s="59">
        <f t="shared" ref="K15" si="17">+K16</f>
        <v>0</v>
      </c>
      <c r="L15" s="59">
        <f t="shared" ref="L15" si="18">+L16</f>
        <v>0</v>
      </c>
    </row>
    <row r="16" spans="1:12" ht="31.5" x14ac:dyDescent="0.25">
      <c r="A16" s="9">
        <v>7</v>
      </c>
      <c r="B16" s="4" t="s">
        <v>79</v>
      </c>
      <c r="C16" s="69">
        <f t="shared" si="1"/>
        <v>6.5</v>
      </c>
      <c r="D16" s="69">
        <f t="shared" si="2"/>
        <v>6.5</v>
      </c>
      <c r="E16" s="69">
        <f t="shared" si="3"/>
        <v>0</v>
      </c>
      <c r="F16" s="69">
        <f t="shared" si="5"/>
        <v>100</v>
      </c>
      <c r="G16" s="78">
        <v>6.5</v>
      </c>
      <c r="H16" s="78">
        <v>6.5</v>
      </c>
      <c r="I16" s="78"/>
      <c r="J16" s="78"/>
      <c r="K16" s="78"/>
      <c r="L16" s="78"/>
    </row>
    <row r="17" spans="1:12" ht="15.75" x14ac:dyDescent="0.25">
      <c r="A17" s="9">
        <v>8</v>
      </c>
      <c r="B17" s="37" t="s">
        <v>220</v>
      </c>
      <c r="C17" s="69">
        <f t="shared" si="1"/>
        <v>1</v>
      </c>
      <c r="D17" s="69">
        <f t="shared" si="2"/>
        <v>1</v>
      </c>
      <c r="E17" s="69">
        <f t="shared" si="3"/>
        <v>0</v>
      </c>
      <c r="F17" s="69">
        <f t="shared" si="5"/>
        <v>100</v>
      </c>
      <c r="G17" s="78">
        <v>1</v>
      </c>
      <c r="H17" s="78">
        <v>1</v>
      </c>
      <c r="I17" s="78"/>
      <c r="J17" s="78"/>
      <c r="K17" s="78"/>
      <c r="L17" s="78"/>
    </row>
    <row r="18" spans="1:12" ht="15.75" x14ac:dyDescent="0.25">
      <c r="A18" s="9">
        <v>9</v>
      </c>
      <c r="B18" s="38" t="s">
        <v>221</v>
      </c>
      <c r="C18" s="59">
        <f>+C19+C21+C23</f>
        <v>717.4</v>
      </c>
      <c r="D18" s="59">
        <f t="shared" ref="D18:E18" si="19">+D19+D21+D23</f>
        <v>715.3</v>
      </c>
      <c r="E18" s="59">
        <f t="shared" si="19"/>
        <v>-2.1</v>
      </c>
      <c r="F18" s="59">
        <f t="shared" si="5"/>
        <v>99.7</v>
      </c>
      <c r="G18" s="59">
        <f t="shared" ref="G18" si="20">+G19+G21+G23</f>
        <v>584.9</v>
      </c>
      <c r="H18" s="59">
        <f t="shared" ref="H18" si="21">+H19+H21+H23</f>
        <v>582.79999999999995</v>
      </c>
      <c r="I18" s="59">
        <f t="shared" ref="I18" si="22">+I19+I21+I23</f>
        <v>66.900000000000006</v>
      </c>
      <c r="J18" s="59">
        <f t="shared" ref="J18" si="23">+J19+J21+J23</f>
        <v>66.900000000000006</v>
      </c>
      <c r="K18" s="59">
        <f t="shared" ref="K18" si="24">+K19+K21+K23</f>
        <v>132.5</v>
      </c>
      <c r="L18" s="59">
        <f t="shared" ref="L18" si="25">+L19+L21+L23</f>
        <v>132.5</v>
      </c>
    </row>
    <row r="19" spans="1:12" ht="15.75" x14ac:dyDescent="0.25">
      <c r="A19" s="9">
        <v>10</v>
      </c>
      <c r="B19" s="4" t="s">
        <v>150</v>
      </c>
      <c r="C19" s="69">
        <f t="shared" si="1"/>
        <v>62.3</v>
      </c>
      <c r="D19" s="69">
        <f t="shared" si="2"/>
        <v>60.2</v>
      </c>
      <c r="E19" s="69">
        <f t="shared" si="3"/>
        <v>-2.1</v>
      </c>
      <c r="F19" s="69">
        <f t="shared" si="5"/>
        <v>96.6</v>
      </c>
      <c r="G19" s="78">
        <f>12.2+47.7+2.4-23.9</f>
        <v>38.4</v>
      </c>
      <c r="H19" s="78">
        <f>12.2+47.7+0.3-23.9</f>
        <v>36.299999999999997</v>
      </c>
      <c r="I19" s="78"/>
      <c r="J19" s="78"/>
      <c r="K19" s="78">
        <f>10.4+12.7+0.8</f>
        <v>23.9</v>
      </c>
      <c r="L19" s="78">
        <f>0.8+12.7+10.4</f>
        <v>23.9</v>
      </c>
    </row>
    <row r="20" spans="1:12" ht="15.75" x14ac:dyDescent="0.25">
      <c r="A20" s="9">
        <v>11</v>
      </c>
      <c r="B20" s="37" t="s">
        <v>220</v>
      </c>
      <c r="C20" s="69">
        <f t="shared" si="1"/>
        <v>20.5</v>
      </c>
      <c r="D20" s="69">
        <f t="shared" si="2"/>
        <v>20.5</v>
      </c>
      <c r="E20" s="69">
        <f t="shared" si="3"/>
        <v>0</v>
      </c>
      <c r="F20" s="69">
        <f t="shared" si="5"/>
        <v>100</v>
      </c>
      <c r="G20" s="78">
        <v>20.5</v>
      </c>
      <c r="H20" s="78">
        <v>20.5</v>
      </c>
      <c r="I20" s="78"/>
      <c r="J20" s="78"/>
      <c r="K20" s="78"/>
      <c r="L20" s="78"/>
    </row>
    <row r="21" spans="1:12" ht="15.75" x14ac:dyDescent="0.25">
      <c r="A21" s="9">
        <v>12</v>
      </c>
      <c r="B21" s="39" t="s">
        <v>72</v>
      </c>
      <c r="C21" s="69">
        <f t="shared" si="1"/>
        <v>592.70000000000005</v>
      </c>
      <c r="D21" s="69">
        <f t="shared" si="2"/>
        <v>592.70000000000005</v>
      </c>
      <c r="E21" s="69">
        <f t="shared" si="3"/>
        <v>0</v>
      </c>
      <c r="F21" s="69">
        <f t="shared" si="5"/>
        <v>100</v>
      </c>
      <c r="G21" s="78">
        <f>1.3+11+45+444.9+90.5-108.6</f>
        <v>484.1</v>
      </c>
      <c r="H21" s="78">
        <f>1.3+11+45+444.9+90.5-108.6</f>
        <v>484.1</v>
      </c>
      <c r="I21" s="78">
        <v>66.900000000000006</v>
      </c>
      <c r="J21" s="78">
        <v>66.900000000000006</v>
      </c>
      <c r="K21" s="78">
        <f>99.8+8.8</f>
        <v>108.6</v>
      </c>
      <c r="L21" s="78">
        <f>99.8+8.8</f>
        <v>108.6</v>
      </c>
    </row>
    <row r="22" spans="1:12" ht="15.75" x14ac:dyDescent="0.25">
      <c r="A22" s="9">
        <v>13</v>
      </c>
      <c r="B22" s="37" t="s">
        <v>220</v>
      </c>
      <c r="C22" s="69">
        <f t="shared" si="1"/>
        <v>35.700000000000003</v>
      </c>
      <c r="D22" s="69">
        <f t="shared" si="2"/>
        <v>35.700000000000003</v>
      </c>
      <c r="E22" s="69">
        <f t="shared" si="3"/>
        <v>0</v>
      </c>
      <c r="F22" s="69">
        <f t="shared" si="5"/>
        <v>100</v>
      </c>
      <c r="G22" s="78">
        <v>33.700000000000003</v>
      </c>
      <c r="H22" s="78">
        <v>33.700000000000003</v>
      </c>
      <c r="I22" s="78">
        <v>0.1</v>
      </c>
      <c r="J22" s="78">
        <v>0.1</v>
      </c>
      <c r="K22" s="78">
        <v>2</v>
      </c>
      <c r="L22" s="78">
        <v>2</v>
      </c>
    </row>
    <row r="23" spans="1:12" ht="15.75" x14ac:dyDescent="0.25">
      <c r="A23" s="9">
        <v>14</v>
      </c>
      <c r="B23" s="39" t="s">
        <v>86</v>
      </c>
      <c r="C23" s="69">
        <f t="shared" si="1"/>
        <v>62.4</v>
      </c>
      <c r="D23" s="69">
        <f t="shared" si="2"/>
        <v>62.4</v>
      </c>
      <c r="E23" s="69">
        <f t="shared" si="3"/>
        <v>0</v>
      </c>
      <c r="F23" s="69">
        <f t="shared" si="5"/>
        <v>100</v>
      </c>
      <c r="G23" s="78">
        <v>62.4</v>
      </c>
      <c r="H23" s="78">
        <v>62.4</v>
      </c>
      <c r="I23" s="78"/>
      <c r="J23" s="78"/>
      <c r="K23" s="78"/>
      <c r="L23" s="78"/>
    </row>
    <row r="24" spans="1:12" ht="15.75" x14ac:dyDescent="0.25">
      <c r="A24" s="9">
        <v>15</v>
      </c>
      <c r="B24" s="37" t="s">
        <v>220</v>
      </c>
      <c r="C24" s="69">
        <f t="shared" si="1"/>
        <v>2.1</v>
      </c>
      <c r="D24" s="69">
        <f t="shared" si="2"/>
        <v>2.1</v>
      </c>
      <c r="E24" s="69">
        <f t="shared" si="3"/>
        <v>0</v>
      </c>
      <c r="F24" s="69">
        <f t="shared" si="5"/>
        <v>100</v>
      </c>
      <c r="G24" s="78">
        <v>2.1</v>
      </c>
      <c r="H24" s="78">
        <v>2.1</v>
      </c>
      <c r="I24" s="78"/>
      <c r="J24" s="78"/>
      <c r="K24" s="78"/>
      <c r="L24" s="78"/>
    </row>
    <row r="25" spans="1:12" ht="15.75" x14ac:dyDescent="0.25">
      <c r="A25" s="9">
        <v>16</v>
      </c>
      <c r="B25" s="38" t="s">
        <v>6</v>
      </c>
      <c r="C25" s="59">
        <f>+C26+C28</f>
        <v>861.1</v>
      </c>
      <c r="D25" s="59">
        <f t="shared" ref="D25:E25" si="26">+D26+D28</f>
        <v>740.7</v>
      </c>
      <c r="E25" s="59">
        <f t="shared" si="26"/>
        <v>-120.4</v>
      </c>
      <c r="F25" s="59">
        <f t="shared" si="5"/>
        <v>86</v>
      </c>
      <c r="G25" s="59">
        <f t="shared" ref="G25" si="27">+G26+G28</f>
        <v>851.7</v>
      </c>
      <c r="H25" s="59">
        <f t="shared" ref="H25" si="28">+H26+H28</f>
        <v>731.4</v>
      </c>
      <c r="I25" s="59">
        <f t="shared" ref="I25" si="29">+I26+I28</f>
        <v>0</v>
      </c>
      <c r="J25" s="59">
        <f t="shared" ref="J25" si="30">+J26+J28</f>
        <v>0</v>
      </c>
      <c r="K25" s="59">
        <f t="shared" ref="K25" si="31">+K26+K28</f>
        <v>9.4</v>
      </c>
      <c r="L25" s="59">
        <f t="shared" ref="L25" si="32">+L26+L28</f>
        <v>9.3000000000000007</v>
      </c>
    </row>
    <row r="26" spans="1:12" ht="15.75" x14ac:dyDescent="0.25">
      <c r="A26" s="9">
        <v>17</v>
      </c>
      <c r="B26" s="39" t="s">
        <v>89</v>
      </c>
      <c r="C26" s="69">
        <f t="shared" si="1"/>
        <v>856.2</v>
      </c>
      <c r="D26" s="69">
        <f t="shared" si="2"/>
        <v>735.8</v>
      </c>
      <c r="E26" s="69">
        <f t="shared" si="3"/>
        <v>-120.4</v>
      </c>
      <c r="F26" s="69">
        <f t="shared" si="5"/>
        <v>85.9</v>
      </c>
      <c r="G26" s="78">
        <f>19.5-2.7-2.3+42.5+794.2-1.9-2.5</f>
        <v>846.8</v>
      </c>
      <c r="H26" s="78">
        <f>19.5-2.7-2.3+42.5-1.9-2.4+673.8</f>
        <v>726.5</v>
      </c>
      <c r="I26" s="78"/>
      <c r="J26" s="78"/>
      <c r="K26" s="78">
        <f>2.7+2.3+1.9+2.5</f>
        <v>9.4</v>
      </c>
      <c r="L26" s="78">
        <f>2.7+2.3+1.9+2.4</f>
        <v>9.3000000000000007</v>
      </c>
    </row>
    <row r="27" spans="1:12" ht="15.75" x14ac:dyDescent="0.25">
      <c r="A27" s="9">
        <v>18</v>
      </c>
      <c r="B27" s="37" t="s">
        <v>220</v>
      </c>
      <c r="C27" s="69">
        <f t="shared" si="1"/>
        <v>11.2</v>
      </c>
      <c r="D27" s="69">
        <f t="shared" si="2"/>
        <v>11.2</v>
      </c>
      <c r="E27" s="69">
        <f t="shared" si="3"/>
        <v>0</v>
      </c>
      <c r="F27" s="69">
        <f t="shared" si="5"/>
        <v>100</v>
      </c>
      <c r="G27" s="78">
        <v>11.2</v>
      </c>
      <c r="H27" s="78">
        <v>11.2</v>
      </c>
      <c r="I27" s="78"/>
      <c r="J27" s="78"/>
      <c r="K27" s="78"/>
      <c r="L27" s="78"/>
    </row>
    <row r="28" spans="1:12" ht="15.75" x14ac:dyDescent="0.25">
      <c r="A28" s="9">
        <v>19</v>
      </c>
      <c r="B28" s="39" t="s">
        <v>95</v>
      </c>
      <c r="C28" s="69">
        <f t="shared" si="1"/>
        <v>4.9000000000000004</v>
      </c>
      <c r="D28" s="69">
        <f t="shared" si="2"/>
        <v>4.9000000000000004</v>
      </c>
      <c r="E28" s="69">
        <f t="shared" si="3"/>
        <v>0</v>
      </c>
      <c r="F28" s="69">
        <f t="shared" si="5"/>
        <v>100</v>
      </c>
      <c r="G28" s="78">
        <f>0.7+4.2</f>
        <v>4.9000000000000004</v>
      </c>
      <c r="H28" s="78">
        <f>0.7+4.2</f>
        <v>4.9000000000000004</v>
      </c>
      <c r="I28" s="78"/>
      <c r="J28" s="78"/>
      <c r="K28" s="78"/>
      <c r="L28" s="78"/>
    </row>
    <row r="29" spans="1:12" ht="31.5" x14ac:dyDescent="0.25">
      <c r="A29" s="9">
        <v>20</v>
      </c>
      <c r="B29" s="7" t="s">
        <v>222</v>
      </c>
      <c r="C29" s="59">
        <f>+C31+C37+C40+C43+C46+C53+C56</f>
        <v>5619.8</v>
      </c>
      <c r="D29" s="59">
        <f t="shared" ref="D29:L29" si="33">+D31+D37+D40+D43+D46+D53+D56</f>
        <v>3376.8</v>
      </c>
      <c r="E29" s="59">
        <f t="shared" si="33"/>
        <v>-2243</v>
      </c>
      <c r="F29" s="59">
        <f t="shared" si="5"/>
        <v>60.1</v>
      </c>
      <c r="G29" s="59">
        <f t="shared" si="33"/>
        <v>1095.4000000000001</v>
      </c>
      <c r="H29" s="59">
        <f t="shared" si="33"/>
        <v>1059.8</v>
      </c>
      <c r="I29" s="59">
        <f t="shared" si="33"/>
        <v>87.6</v>
      </c>
      <c r="J29" s="59">
        <f t="shared" si="33"/>
        <v>81.5</v>
      </c>
      <c r="K29" s="59">
        <f t="shared" si="33"/>
        <v>4524.3999999999996</v>
      </c>
      <c r="L29" s="59">
        <f t="shared" si="33"/>
        <v>2317</v>
      </c>
    </row>
    <row r="30" spans="1:12" ht="15.75" x14ac:dyDescent="0.25">
      <c r="A30" s="9">
        <v>21</v>
      </c>
      <c r="B30" s="67" t="s">
        <v>2</v>
      </c>
      <c r="C30" s="69">
        <f t="shared" si="1"/>
        <v>0</v>
      </c>
      <c r="D30" s="69">
        <f t="shared" si="2"/>
        <v>0</v>
      </c>
      <c r="E30" s="69">
        <f t="shared" si="3"/>
        <v>0</v>
      </c>
      <c r="F30" s="69"/>
      <c r="G30" s="78"/>
      <c r="H30" s="78"/>
      <c r="I30" s="78"/>
      <c r="J30" s="78"/>
      <c r="K30" s="78"/>
      <c r="L30" s="78"/>
    </row>
    <row r="31" spans="1:12" ht="47.25" x14ac:dyDescent="0.25">
      <c r="A31" s="9">
        <v>22</v>
      </c>
      <c r="B31" s="38" t="s">
        <v>223</v>
      </c>
      <c r="C31" s="59">
        <f>+C33+C35</f>
        <v>118.9</v>
      </c>
      <c r="D31" s="59">
        <f t="shared" ref="D31:L31" si="34">+D33+D35</f>
        <v>40</v>
      </c>
      <c r="E31" s="59">
        <f t="shared" si="34"/>
        <v>-78.900000000000006</v>
      </c>
      <c r="F31" s="59">
        <f t="shared" si="5"/>
        <v>33.6</v>
      </c>
      <c r="G31" s="59">
        <f t="shared" si="34"/>
        <v>53.9</v>
      </c>
      <c r="H31" s="59">
        <f t="shared" si="34"/>
        <v>40</v>
      </c>
      <c r="I31" s="59">
        <f t="shared" si="34"/>
        <v>0</v>
      </c>
      <c r="J31" s="59">
        <f t="shared" si="34"/>
        <v>0</v>
      </c>
      <c r="K31" s="59">
        <f t="shared" si="34"/>
        <v>65</v>
      </c>
      <c r="L31" s="59">
        <f t="shared" si="34"/>
        <v>0</v>
      </c>
    </row>
    <row r="32" spans="1:12" ht="15.75" x14ac:dyDescent="0.25">
      <c r="A32" s="9">
        <v>23</v>
      </c>
      <c r="B32" s="40" t="s">
        <v>2</v>
      </c>
      <c r="C32" s="69">
        <f t="shared" si="1"/>
        <v>0</v>
      </c>
      <c r="D32" s="69">
        <f t="shared" si="2"/>
        <v>0</v>
      </c>
      <c r="E32" s="69">
        <f t="shared" si="3"/>
        <v>0</v>
      </c>
      <c r="F32" s="69"/>
      <c r="G32" s="78"/>
      <c r="H32" s="78"/>
      <c r="I32" s="78"/>
      <c r="J32" s="78"/>
      <c r="K32" s="78"/>
      <c r="L32" s="78"/>
    </row>
    <row r="33" spans="1:12" ht="15.75" x14ac:dyDescent="0.25">
      <c r="A33" s="9">
        <v>24</v>
      </c>
      <c r="B33" s="28" t="s">
        <v>77</v>
      </c>
      <c r="C33" s="59">
        <f>+C34</f>
        <v>65</v>
      </c>
      <c r="D33" s="59">
        <f t="shared" ref="D33:E33" si="35">+D34</f>
        <v>0</v>
      </c>
      <c r="E33" s="59">
        <f t="shared" si="35"/>
        <v>-65</v>
      </c>
      <c r="F33" s="69">
        <f t="shared" si="5"/>
        <v>0</v>
      </c>
      <c r="G33" s="59">
        <f t="shared" ref="G33" si="36">+G34</f>
        <v>0</v>
      </c>
      <c r="H33" s="59">
        <f t="shared" ref="H33" si="37">+H34</f>
        <v>0</v>
      </c>
      <c r="I33" s="59">
        <f t="shared" ref="I33" si="38">+I34</f>
        <v>0</v>
      </c>
      <c r="J33" s="59">
        <f t="shared" ref="J33" si="39">+J34</f>
        <v>0</v>
      </c>
      <c r="K33" s="59">
        <f t="shared" ref="K33" si="40">+K34</f>
        <v>65</v>
      </c>
      <c r="L33" s="59">
        <f t="shared" ref="L33" si="41">+L34</f>
        <v>0</v>
      </c>
    </row>
    <row r="34" spans="1:12" ht="15.75" x14ac:dyDescent="0.25">
      <c r="A34" s="9">
        <v>25</v>
      </c>
      <c r="B34" s="39" t="s">
        <v>78</v>
      </c>
      <c r="C34" s="69">
        <f t="shared" si="1"/>
        <v>65</v>
      </c>
      <c r="D34" s="69">
        <f t="shared" si="2"/>
        <v>0</v>
      </c>
      <c r="E34" s="69">
        <f t="shared" si="3"/>
        <v>-65</v>
      </c>
      <c r="F34" s="69">
        <f t="shared" si="5"/>
        <v>0</v>
      </c>
      <c r="G34" s="78"/>
      <c r="H34" s="78"/>
      <c r="I34" s="78"/>
      <c r="J34" s="78"/>
      <c r="K34" s="78">
        <v>65</v>
      </c>
      <c r="L34" s="78"/>
    </row>
    <row r="35" spans="1:12" ht="15.75" x14ac:dyDescent="0.25">
      <c r="A35" s="9">
        <v>26</v>
      </c>
      <c r="B35" s="38" t="s">
        <v>4</v>
      </c>
      <c r="C35" s="59">
        <f>+C36</f>
        <v>53.9</v>
      </c>
      <c r="D35" s="59">
        <f t="shared" ref="D35:G35" si="42">+D36</f>
        <v>40</v>
      </c>
      <c r="E35" s="59">
        <f t="shared" si="42"/>
        <v>-13.9</v>
      </c>
      <c r="F35" s="69">
        <f t="shared" si="5"/>
        <v>74.2</v>
      </c>
      <c r="G35" s="59">
        <f t="shared" si="42"/>
        <v>53.9</v>
      </c>
      <c r="H35" s="59">
        <f t="shared" ref="H35" si="43">+H36</f>
        <v>40</v>
      </c>
      <c r="I35" s="59">
        <f t="shared" ref="I35" si="44">+I36</f>
        <v>0</v>
      </c>
      <c r="J35" s="59">
        <f t="shared" ref="J35" si="45">+J36</f>
        <v>0</v>
      </c>
      <c r="K35" s="59">
        <f t="shared" ref="K35" si="46">+K36</f>
        <v>0</v>
      </c>
      <c r="L35" s="59">
        <f t="shared" ref="L35" si="47">+L36</f>
        <v>0</v>
      </c>
    </row>
    <row r="36" spans="1:12" ht="15.75" x14ac:dyDescent="0.25">
      <c r="A36" s="9">
        <v>27</v>
      </c>
      <c r="B36" s="39" t="s">
        <v>78</v>
      </c>
      <c r="C36" s="69">
        <f t="shared" si="1"/>
        <v>53.9</v>
      </c>
      <c r="D36" s="69">
        <f t="shared" si="2"/>
        <v>40</v>
      </c>
      <c r="E36" s="69">
        <f t="shared" si="3"/>
        <v>-13.9</v>
      </c>
      <c r="F36" s="69">
        <f t="shared" si="5"/>
        <v>74.2</v>
      </c>
      <c r="G36" s="78">
        <v>53.9</v>
      </c>
      <c r="H36" s="78">
        <v>40</v>
      </c>
      <c r="I36" s="78"/>
      <c r="J36" s="78"/>
      <c r="K36" s="78"/>
      <c r="L36" s="78"/>
    </row>
    <row r="37" spans="1:12" ht="47.25" x14ac:dyDescent="0.25">
      <c r="A37" s="9">
        <v>28</v>
      </c>
      <c r="B37" s="28" t="s">
        <v>224</v>
      </c>
      <c r="C37" s="59">
        <f>+C38</f>
        <v>39</v>
      </c>
      <c r="D37" s="59">
        <f t="shared" ref="D37:E37" si="48">+D38</f>
        <v>37.299999999999997</v>
      </c>
      <c r="E37" s="59">
        <f t="shared" si="48"/>
        <v>-1.7</v>
      </c>
      <c r="F37" s="59">
        <f t="shared" si="5"/>
        <v>95.6</v>
      </c>
      <c r="G37" s="59">
        <f t="shared" ref="G37" si="49">+G38</f>
        <v>39</v>
      </c>
      <c r="H37" s="59">
        <f t="shared" ref="H37" si="50">+H38</f>
        <v>37.299999999999997</v>
      </c>
      <c r="I37" s="59">
        <f t="shared" ref="I37" si="51">+I38</f>
        <v>0</v>
      </c>
      <c r="J37" s="59">
        <f t="shared" ref="J37" si="52">+J38</f>
        <v>0</v>
      </c>
      <c r="K37" s="59">
        <f t="shared" ref="K37" si="53">+K38</f>
        <v>0</v>
      </c>
      <c r="L37" s="59">
        <f t="shared" ref="L37" si="54">+L38</f>
        <v>0</v>
      </c>
    </row>
    <row r="38" spans="1:12" ht="15.75" x14ac:dyDescent="0.25">
      <c r="A38" s="9">
        <v>29</v>
      </c>
      <c r="B38" s="28" t="s">
        <v>6</v>
      </c>
      <c r="C38" s="59">
        <f>+C39</f>
        <v>39</v>
      </c>
      <c r="D38" s="59">
        <f t="shared" ref="D38:E38" si="55">+D39</f>
        <v>37.299999999999997</v>
      </c>
      <c r="E38" s="59">
        <f t="shared" si="55"/>
        <v>-1.7</v>
      </c>
      <c r="F38" s="59">
        <f t="shared" si="5"/>
        <v>95.6</v>
      </c>
      <c r="G38" s="59">
        <f t="shared" ref="G38" si="56">+G39</f>
        <v>39</v>
      </c>
      <c r="H38" s="59">
        <f t="shared" ref="H38" si="57">+H39</f>
        <v>37.299999999999997</v>
      </c>
      <c r="I38" s="59">
        <f t="shared" ref="I38" si="58">+I39</f>
        <v>0</v>
      </c>
      <c r="J38" s="59">
        <f t="shared" ref="J38" si="59">+J39</f>
        <v>0</v>
      </c>
      <c r="K38" s="59">
        <f t="shared" ref="K38" si="60">+K39</f>
        <v>0</v>
      </c>
      <c r="L38" s="59">
        <f t="shared" ref="L38" si="61">+L39</f>
        <v>0</v>
      </c>
    </row>
    <row r="39" spans="1:12" ht="15.75" x14ac:dyDescent="0.25">
      <c r="A39" s="9">
        <v>30</v>
      </c>
      <c r="B39" s="4" t="s">
        <v>95</v>
      </c>
      <c r="C39" s="69">
        <f t="shared" si="1"/>
        <v>39</v>
      </c>
      <c r="D39" s="69">
        <f t="shared" si="2"/>
        <v>37.299999999999997</v>
      </c>
      <c r="E39" s="69">
        <f t="shared" si="3"/>
        <v>-1.7</v>
      </c>
      <c r="F39" s="69">
        <f t="shared" si="5"/>
        <v>95.6</v>
      </c>
      <c r="G39" s="78">
        <v>39</v>
      </c>
      <c r="H39" s="78">
        <v>37.299999999999997</v>
      </c>
      <c r="I39" s="78"/>
      <c r="J39" s="78"/>
      <c r="K39" s="78"/>
      <c r="L39" s="78"/>
    </row>
    <row r="40" spans="1:12" ht="63" x14ac:dyDescent="0.25">
      <c r="A40" s="9">
        <v>31</v>
      </c>
      <c r="B40" s="38" t="s">
        <v>225</v>
      </c>
      <c r="C40" s="59">
        <f>+C41</f>
        <v>603.20000000000005</v>
      </c>
      <c r="D40" s="59">
        <f t="shared" ref="D40:E41" si="62">+D41</f>
        <v>603.20000000000005</v>
      </c>
      <c r="E40" s="59">
        <f t="shared" si="62"/>
        <v>0</v>
      </c>
      <c r="F40" s="59">
        <f t="shared" si="5"/>
        <v>100</v>
      </c>
      <c r="G40" s="59">
        <f t="shared" ref="G40:G41" si="63">+G41</f>
        <v>603.20000000000005</v>
      </c>
      <c r="H40" s="59">
        <f t="shared" ref="H40:H41" si="64">+H41</f>
        <v>603.20000000000005</v>
      </c>
      <c r="I40" s="59">
        <f t="shared" ref="I40:I41" si="65">+I41</f>
        <v>0</v>
      </c>
      <c r="J40" s="59">
        <f t="shared" ref="J40:J41" si="66">+J41</f>
        <v>0</v>
      </c>
      <c r="K40" s="59">
        <f t="shared" ref="K40:K41" si="67">+K41</f>
        <v>0</v>
      </c>
      <c r="L40" s="59">
        <f t="shared" ref="L40:L41" si="68">+L41</f>
        <v>0</v>
      </c>
    </row>
    <row r="41" spans="1:12" ht="15.75" x14ac:dyDescent="0.25">
      <c r="A41" s="9">
        <v>32</v>
      </c>
      <c r="B41" s="38" t="s">
        <v>4</v>
      </c>
      <c r="C41" s="59">
        <f>+C42</f>
        <v>603.20000000000005</v>
      </c>
      <c r="D41" s="59">
        <f t="shared" si="62"/>
        <v>603.20000000000005</v>
      </c>
      <c r="E41" s="59">
        <f t="shared" si="62"/>
        <v>0</v>
      </c>
      <c r="F41" s="59">
        <f t="shared" si="5"/>
        <v>100</v>
      </c>
      <c r="G41" s="59">
        <f t="shared" si="63"/>
        <v>603.20000000000005</v>
      </c>
      <c r="H41" s="59">
        <f t="shared" si="64"/>
        <v>603.20000000000005</v>
      </c>
      <c r="I41" s="59">
        <f t="shared" si="65"/>
        <v>0</v>
      </c>
      <c r="J41" s="59">
        <f t="shared" si="66"/>
        <v>0</v>
      </c>
      <c r="K41" s="59">
        <f t="shared" si="67"/>
        <v>0</v>
      </c>
      <c r="L41" s="59">
        <f t="shared" si="68"/>
        <v>0</v>
      </c>
    </row>
    <row r="42" spans="1:12" ht="15.75" x14ac:dyDescent="0.25">
      <c r="A42" s="9">
        <v>33</v>
      </c>
      <c r="B42" s="39" t="s">
        <v>78</v>
      </c>
      <c r="C42" s="69">
        <f t="shared" si="1"/>
        <v>603.20000000000005</v>
      </c>
      <c r="D42" s="69">
        <f t="shared" si="2"/>
        <v>603.20000000000005</v>
      </c>
      <c r="E42" s="69">
        <f t="shared" si="3"/>
        <v>0</v>
      </c>
      <c r="F42" s="69">
        <f t="shared" si="5"/>
        <v>100</v>
      </c>
      <c r="G42" s="78">
        <v>603.20000000000005</v>
      </c>
      <c r="H42" s="78">
        <v>603.20000000000005</v>
      </c>
      <c r="I42" s="78"/>
      <c r="J42" s="78"/>
      <c r="K42" s="78"/>
      <c r="L42" s="78"/>
    </row>
    <row r="43" spans="1:12" ht="63" x14ac:dyDescent="0.25">
      <c r="A43" s="9">
        <v>34</v>
      </c>
      <c r="B43" s="38" t="s">
        <v>226</v>
      </c>
      <c r="C43" s="59">
        <f>+C44</f>
        <v>353.2</v>
      </c>
      <c r="D43" s="59">
        <f t="shared" ref="D43:G44" si="69">+D44</f>
        <v>285.60000000000002</v>
      </c>
      <c r="E43" s="59">
        <f t="shared" si="69"/>
        <v>-67.599999999999994</v>
      </c>
      <c r="F43" s="59">
        <f t="shared" si="5"/>
        <v>80.900000000000006</v>
      </c>
      <c r="G43" s="59">
        <f t="shared" si="69"/>
        <v>200.4</v>
      </c>
      <c r="H43" s="59">
        <f t="shared" ref="H43:H44" si="70">+H44</f>
        <v>200.4</v>
      </c>
      <c r="I43" s="59">
        <f t="shared" ref="I43:I44" si="71">+I44</f>
        <v>0</v>
      </c>
      <c r="J43" s="59">
        <f t="shared" ref="J43:J44" si="72">+J44</f>
        <v>0</v>
      </c>
      <c r="K43" s="59">
        <f t="shared" ref="K43:K44" si="73">+K44</f>
        <v>152.80000000000001</v>
      </c>
      <c r="L43" s="59">
        <f t="shared" ref="L43:L44" si="74">+L44</f>
        <v>85.2</v>
      </c>
    </row>
    <row r="44" spans="1:12" ht="15.75" x14ac:dyDescent="0.25">
      <c r="A44" s="9">
        <v>35</v>
      </c>
      <c r="B44" s="38" t="s">
        <v>4</v>
      </c>
      <c r="C44" s="59">
        <f>+C45</f>
        <v>353.2</v>
      </c>
      <c r="D44" s="59">
        <f t="shared" si="69"/>
        <v>285.60000000000002</v>
      </c>
      <c r="E44" s="59">
        <f t="shared" si="69"/>
        <v>-67.599999999999994</v>
      </c>
      <c r="F44" s="59">
        <f t="shared" si="5"/>
        <v>80.900000000000006</v>
      </c>
      <c r="G44" s="59">
        <f t="shared" si="69"/>
        <v>200.4</v>
      </c>
      <c r="H44" s="59">
        <f t="shared" si="70"/>
        <v>200.4</v>
      </c>
      <c r="I44" s="59">
        <f t="shared" si="71"/>
        <v>0</v>
      </c>
      <c r="J44" s="59">
        <f t="shared" si="72"/>
        <v>0</v>
      </c>
      <c r="K44" s="59">
        <f t="shared" si="73"/>
        <v>152.80000000000001</v>
      </c>
      <c r="L44" s="59">
        <f t="shared" si="74"/>
        <v>85.2</v>
      </c>
    </row>
    <row r="45" spans="1:12" ht="31.5" x14ac:dyDescent="0.25">
      <c r="A45" s="9">
        <v>36</v>
      </c>
      <c r="B45" s="39" t="s">
        <v>103</v>
      </c>
      <c r="C45" s="69">
        <f t="shared" ref="C45" si="75">+G45+K45</f>
        <v>353.2</v>
      </c>
      <c r="D45" s="69">
        <f t="shared" ref="D45" si="76">+H45+L45</f>
        <v>285.60000000000002</v>
      </c>
      <c r="E45" s="69">
        <f t="shared" ref="E45" si="77">+D45-C45</f>
        <v>-67.599999999999994</v>
      </c>
      <c r="F45" s="69">
        <f t="shared" ref="F45" si="78">+D45/C45*100</f>
        <v>80.900000000000006</v>
      </c>
      <c r="G45" s="78">
        <f>353.2-24.2-128.6</f>
        <v>200.4</v>
      </c>
      <c r="H45" s="78">
        <f>285.6-85.2</f>
        <v>200.4</v>
      </c>
      <c r="I45" s="78"/>
      <c r="J45" s="78"/>
      <c r="K45" s="78">
        <f>24.2+128.6</f>
        <v>152.80000000000001</v>
      </c>
      <c r="L45" s="78">
        <v>85.2</v>
      </c>
    </row>
    <row r="46" spans="1:12" ht="31.5" x14ac:dyDescent="0.25">
      <c r="A46" s="9">
        <v>37</v>
      </c>
      <c r="B46" s="28" t="s">
        <v>227</v>
      </c>
      <c r="C46" s="59">
        <f>+C48+C51</f>
        <v>2947.3</v>
      </c>
      <c r="D46" s="59">
        <f t="shared" ref="D46:L46" si="79">+D48+D51</f>
        <v>1020.5</v>
      </c>
      <c r="E46" s="59">
        <f t="shared" si="79"/>
        <v>-1926.8</v>
      </c>
      <c r="F46" s="69">
        <f t="shared" si="5"/>
        <v>34.6</v>
      </c>
      <c r="G46" s="59">
        <f t="shared" si="79"/>
        <v>0</v>
      </c>
      <c r="H46" s="59">
        <f t="shared" si="79"/>
        <v>0</v>
      </c>
      <c r="I46" s="59">
        <f t="shared" si="79"/>
        <v>0</v>
      </c>
      <c r="J46" s="59">
        <f t="shared" si="79"/>
        <v>0</v>
      </c>
      <c r="K46" s="59">
        <f t="shared" si="79"/>
        <v>2947.3</v>
      </c>
      <c r="L46" s="59">
        <f t="shared" si="79"/>
        <v>1020.5</v>
      </c>
    </row>
    <row r="47" spans="1:12" ht="15.75" x14ac:dyDescent="0.25">
      <c r="A47" s="9">
        <v>38</v>
      </c>
      <c r="B47" s="40" t="s">
        <v>2</v>
      </c>
      <c r="C47" s="69">
        <f t="shared" si="1"/>
        <v>0</v>
      </c>
      <c r="D47" s="69">
        <f t="shared" si="2"/>
        <v>0</v>
      </c>
      <c r="E47" s="69">
        <f t="shared" si="3"/>
        <v>0</v>
      </c>
      <c r="F47" s="69"/>
      <c r="G47" s="78"/>
      <c r="H47" s="78"/>
      <c r="I47" s="78"/>
      <c r="J47" s="78"/>
      <c r="K47" s="78"/>
      <c r="L47" s="78"/>
    </row>
    <row r="48" spans="1:12" ht="15.75" x14ac:dyDescent="0.25">
      <c r="A48" s="9">
        <v>39</v>
      </c>
      <c r="B48" s="38" t="s">
        <v>65</v>
      </c>
      <c r="C48" s="59">
        <f>+C49+C50</f>
        <v>2841.6</v>
      </c>
      <c r="D48" s="59">
        <f t="shared" ref="D48:E48" si="80">+D49+D50</f>
        <v>914.8</v>
      </c>
      <c r="E48" s="59">
        <f t="shared" si="80"/>
        <v>-1926.8</v>
      </c>
      <c r="F48" s="59">
        <f t="shared" si="5"/>
        <v>32.200000000000003</v>
      </c>
      <c r="G48" s="59">
        <f t="shared" ref="G48" si="81">+G49+G50</f>
        <v>0</v>
      </c>
      <c r="H48" s="59">
        <f t="shared" ref="H48" si="82">+H49+H50</f>
        <v>0</v>
      </c>
      <c r="I48" s="59">
        <f t="shared" ref="I48" si="83">+I49+I50</f>
        <v>0</v>
      </c>
      <c r="J48" s="59">
        <f t="shared" ref="J48" si="84">+J49+J50</f>
        <v>0</v>
      </c>
      <c r="K48" s="59">
        <f t="shared" ref="K48" si="85">+K49+K50</f>
        <v>2841.6</v>
      </c>
      <c r="L48" s="59">
        <f t="shared" ref="L48" si="86">+L49+L50</f>
        <v>914.8</v>
      </c>
    </row>
    <row r="49" spans="1:12" ht="31.5" x14ac:dyDescent="0.25">
      <c r="A49" s="9">
        <v>40</v>
      </c>
      <c r="B49" s="39" t="s">
        <v>103</v>
      </c>
      <c r="C49" s="69">
        <f t="shared" si="1"/>
        <v>2117.6</v>
      </c>
      <c r="D49" s="69">
        <f t="shared" si="2"/>
        <v>692.8</v>
      </c>
      <c r="E49" s="69">
        <f t="shared" si="3"/>
        <v>-1424.8</v>
      </c>
      <c r="F49" s="69">
        <f t="shared" si="5"/>
        <v>32.700000000000003</v>
      </c>
      <c r="G49" s="78"/>
      <c r="H49" s="78"/>
      <c r="I49" s="78"/>
      <c r="J49" s="78"/>
      <c r="K49" s="78">
        <v>2117.6</v>
      </c>
      <c r="L49" s="78">
        <v>692.8</v>
      </c>
    </row>
    <row r="50" spans="1:12" ht="31.5" x14ac:dyDescent="0.25">
      <c r="A50" s="9">
        <v>41</v>
      </c>
      <c r="B50" s="4" t="s">
        <v>79</v>
      </c>
      <c r="C50" s="69">
        <f t="shared" si="1"/>
        <v>724</v>
      </c>
      <c r="D50" s="69">
        <f t="shared" si="2"/>
        <v>222</v>
      </c>
      <c r="E50" s="69">
        <f t="shared" si="3"/>
        <v>-502</v>
      </c>
      <c r="F50" s="69">
        <f t="shared" si="5"/>
        <v>30.7</v>
      </c>
      <c r="G50" s="78"/>
      <c r="H50" s="78"/>
      <c r="I50" s="78"/>
      <c r="J50" s="78"/>
      <c r="K50" s="78">
        <v>724</v>
      </c>
      <c r="L50" s="78">
        <v>222</v>
      </c>
    </row>
    <row r="51" spans="1:12" ht="15.75" x14ac:dyDescent="0.25">
      <c r="A51" s="9">
        <v>42</v>
      </c>
      <c r="B51" s="28" t="s">
        <v>77</v>
      </c>
      <c r="C51" s="59">
        <f>+C52</f>
        <v>105.7</v>
      </c>
      <c r="D51" s="59">
        <f t="shared" ref="D51:E51" si="87">+D52</f>
        <v>105.7</v>
      </c>
      <c r="E51" s="59">
        <f t="shared" si="87"/>
        <v>0</v>
      </c>
      <c r="F51" s="59">
        <f t="shared" si="5"/>
        <v>100</v>
      </c>
      <c r="G51" s="59">
        <f t="shared" ref="G51" si="88">+G52</f>
        <v>0</v>
      </c>
      <c r="H51" s="59">
        <f t="shared" ref="H51" si="89">+H52</f>
        <v>0</v>
      </c>
      <c r="I51" s="59">
        <f t="shared" ref="I51" si="90">+I52</f>
        <v>0</v>
      </c>
      <c r="J51" s="59">
        <f t="shared" ref="J51" si="91">+J52</f>
        <v>0</v>
      </c>
      <c r="K51" s="59">
        <f t="shared" ref="K51" si="92">+K52</f>
        <v>105.7</v>
      </c>
      <c r="L51" s="59">
        <f t="shared" ref="L51" si="93">+L52</f>
        <v>105.7</v>
      </c>
    </row>
    <row r="52" spans="1:12" ht="15.75" x14ac:dyDescent="0.25">
      <c r="A52" s="9">
        <v>43</v>
      </c>
      <c r="B52" s="39" t="s">
        <v>141</v>
      </c>
      <c r="C52" s="69">
        <f t="shared" si="1"/>
        <v>105.7</v>
      </c>
      <c r="D52" s="69">
        <f t="shared" si="2"/>
        <v>105.7</v>
      </c>
      <c r="E52" s="69">
        <f t="shared" si="3"/>
        <v>0</v>
      </c>
      <c r="F52" s="69">
        <f t="shared" si="5"/>
        <v>100</v>
      </c>
      <c r="G52" s="78"/>
      <c r="H52" s="78"/>
      <c r="I52" s="78"/>
      <c r="J52" s="78"/>
      <c r="K52" s="78">
        <v>105.7</v>
      </c>
      <c r="L52" s="78">
        <v>105.7</v>
      </c>
    </row>
    <row r="53" spans="1:12" ht="31.5" x14ac:dyDescent="0.25">
      <c r="A53" s="9">
        <v>44</v>
      </c>
      <c r="B53" s="38" t="s">
        <v>228</v>
      </c>
      <c r="C53" s="59">
        <f>+C54</f>
        <v>198.9</v>
      </c>
      <c r="D53" s="59">
        <f t="shared" ref="D53:G54" si="94">+D54</f>
        <v>178.9</v>
      </c>
      <c r="E53" s="59">
        <f t="shared" si="94"/>
        <v>-20</v>
      </c>
      <c r="F53" s="59">
        <f t="shared" si="5"/>
        <v>89.9</v>
      </c>
      <c r="G53" s="59">
        <f t="shared" si="94"/>
        <v>198.9</v>
      </c>
      <c r="H53" s="59">
        <f t="shared" ref="H53:H54" si="95">+H54</f>
        <v>178.9</v>
      </c>
      <c r="I53" s="59">
        <f t="shared" ref="I53:I54" si="96">+I54</f>
        <v>87.6</v>
      </c>
      <c r="J53" s="59">
        <f t="shared" ref="J53:J54" si="97">+J54</f>
        <v>81.5</v>
      </c>
      <c r="K53" s="59">
        <f t="shared" ref="K53:K54" si="98">+K54</f>
        <v>0</v>
      </c>
      <c r="L53" s="59">
        <f t="shared" ref="L53:L54" si="99">+L54</f>
        <v>0</v>
      </c>
    </row>
    <row r="54" spans="1:12" ht="15.75" x14ac:dyDescent="0.25">
      <c r="A54" s="9">
        <v>45</v>
      </c>
      <c r="B54" s="38" t="s">
        <v>6</v>
      </c>
      <c r="C54" s="59">
        <f>+C55</f>
        <v>198.9</v>
      </c>
      <c r="D54" s="59">
        <f t="shared" si="94"/>
        <v>178.9</v>
      </c>
      <c r="E54" s="59">
        <f t="shared" si="94"/>
        <v>-20</v>
      </c>
      <c r="F54" s="59">
        <f t="shared" si="5"/>
        <v>89.9</v>
      </c>
      <c r="G54" s="59">
        <f t="shared" si="94"/>
        <v>198.9</v>
      </c>
      <c r="H54" s="59">
        <f t="shared" si="95"/>
        <v>178.9</v>
      </c>
      <c r="I54" s="59">
        <f t="shared" si="96"/>
        <v>87.6</v>
      </c>
      <c r="J54" s="59">
        <f t="shared" si="97"/>
        <v>81.5</v>
      </c>
      <c r="K54" s="59">
        <f t="shared" si="98"/>
        <v>0</v>
      </c>
      <c r="L54" s="59">
        <f t="shared" si="99"/>
        <v>0</v>
      </c>
    </row>
    <row r="55" spans="1:12" ht="15.75" x14ac:dyDescent="0.25">
      <c r="A55" s="9">
        <v>46</v>
      </c>
      <c r="B55" s="39" t="s">
        <v>89</v>
      </c>
      <c r="C55" s="69">
        <f t="shared" si="1"/>
        <v>198.9</v>
      </c>
      <c r="D55" s="69">
        <f t="shared" si="2"/>
        <v>178.9</v>
      </c>
      <c r="E55" s="69">
        <f t="shared" si="3"/>
        <v>-20</v>
      </c>
      <c r="F55" s="69">
        <f t="shared" si="5"/>
        <v>89.9</v>
      </c>
      <c r="G55" s="78">
        <v>198.9</v>
      </c>
      <c r="H55" s="78">
        <v>178.9</v>
      </c>
      <c r="I55" s="78">
        <v>87.6</v>
      </c>
      <c r="J55" s="78">
        <v>81.5</v>
      </c>
      <c r="K55" s="78"/>
      <c r="L55" s="77"/>
    </row>
    <row r="56" spans="1:12" ht="31.5" x14ac:dyDescent="0.25">
      <c r="A56" s="9">
        <v>47</v>
      </c>
      <c r="B56" s="38" t="s">
        <v>229</v>
      </c>
      <c r="C56" s="59">
        <f>+C57+C59</f>
        <v>1359.3</v>
      </c>
      <c r="D56" s="59">
        <f t="shared" ref="D56:E56" si="100">+D57+D59</f>
        <v>1211.3</v>
      </c>
      <c r="E56" s="59">
        <f t="shared" si="100"/>
        <v>-148</v>
      </c>
      <c r="F56" s="59">
        <f t="shared" si="5"/>
        <v>89.1</v>
      </c>
      <c r="G56" s="59">
        <f t="shared" ref="G56" si="101">+G57+G59</f>
        <v>0</v>
      </c>
      <c r="H56" s="59">
        <f t="shared" ref="H56" si="102">+H57+H59</f>
        <v>0</v>
      </c>
      <c r="I56" s="59">
        <f t="shared" ref="I56" si="103">+I57+I59</f>
        <v>0</v>
      </c>
      <c r="J56" s="59">
        <f t="shared" ref="J56" si="104">+J57+J59</f>
        <v>0</v>
      </c>
      <c r="K56" s="59">
        <f t="shared" ref="K56" si="105">+K57+K59</f>
        <v>1359.3</v>
      </c>
      <c r="L56" s="59">
        <f t="shared" ref="L56" si="106">+L57+L59</f>
        <v>1211.3</v>
      </c>
    </row>
    <row r="57" spans="1:12" ht="15.75" x14ac:dyDescent="0.25">
      <c r="A57" s="9">
        <v>48</v>
      </c>
      <c r="B57" s="38" t="s">
        <v>65</v>
      </c>
      <c r="C57" s="59">
        <f>+C58</f>
        <v>849.3</v>
      </c>
      <c r="D57" s="59">
        <f t="shared" ref="D57:E57" si="107">+D58</f>
        <v>701.3</v>
      </c>
      <c r="E57" s="59">
        <f t="shared" si="107"/>
        <v>-148</v>
      </c>
      <c r="F57" s="59">
        <f t="shared" si="5"/>
        <v>82.6</v>
      </c>
      <c r="G57" s="59">
        <f t="shared" ref="G57" si="108">+G58</f>
        <v>0</v>
      </c>
      <c r="H57" s="59">
        <f t="shared" ref="H57" si="109">+H58</f>
        <v>0</v>
      </c>
      <c r="I57" s="59">
        <f t="shared" ref="I57" si="110">+I58</f>
        <v>0</v>
      </c>
      <c r="J57" s="59">
        <f t="shared" ref="J57" si="111">+J58</f>
        <v>0</v>
      </c>
      <c r="K57" s="59">
        <f t="shared" ref="K57" si="112">+K58</f>
        <v>849.3</v>
      </c>
      <c r="L57" s="59">
        <f t="shared" ref="L57" si="113">+L58</f>
        <v>701.3</v>
      </c>
    </row>
    <row r="58" spans="1:12" ht="15.75" x14ac:dyDescent="0.25">
      <c r="A58" s="9">
        <v>49</v>
      </c>
      <c r="B58" s="39" t="s">
        <v>89</v>
      </c>
      <c r="C58" s="69">
        <f t="shared" si="1"/>
        <v>849.3</v>
      </c>
      <c r="D58" s="69">
        <f t="shared" si="2"/>
        <v>701.3</v>
      </c>
      <c r="E58" s="69">
        <f t="shared" si="3"/>
        <v>-148</v>
      </c>
      <c r="F58" s="69">
        <f t="shared" si="5"/>
        <v>82.6</v>
      </c>
      <c r="G58" s="78"/>
      <c r="H58" s="78"/>
      <c r="I58" s="78"/>
      <c r="J58" s="78"/>
      <c r="K58" s="78">
        <v>849.3</v>
      </c>
      <c r="L58" s="78">
        <v>701.3</v>
      </c>
    </row>
    <row r="59" spans="1:12" ht="15.75" x14ac:dyDescent="0.25">
      <c r="A59" s="9">
        <v>50</v>
      </c>
      <c r="B59" s="28" t="s">
        <v>3</v>
      </c>
      <c r="C59" s="59">
        <f>+C60</f>
        <v>510</v>
      </c>
      <c r="D59" s="59">
        <f t="shared" ref="D59:E59" si="114">+D60</f>
        <v>510</v>
      </c>
      <c r="E59" s="59">
        <f t="shared" si="114"/>
        <v>0</v>
      </c>
      <c r="F59" s="59">
        <f t="shared" si="5"/>
        <v>100</v>
      </c>
      <c r="G59" s="59">
        <f t="shared" ref="G59" si="115">+G60</f>
        <v>0</v>
      </c>
      <c r="H59" s="59">
        <f t="shared" ref="H59" si="116">+H60</f>
        <v>0</v>
      </c>
      <c r="I59" s="59">
        <f t="shared" ref="I59" si="117">+I60</f>
        <v>0</v>
      </c>
      <c r="J59" s="59">
        <f t="shared" ref="J59" si="118">+J60</f>
        <v>0</v>
      </c>
      <c r="K59" s="59">
        <f t="shared" ref="K59" si="119">+K60</f>
        <v>510</v>
      </c>
      <c r="L59" s="59">
        <f t="shared" ref="L59" si="120">+L60</f>
        <v>510</v>
      </c>
    </row>
    <row r="60" spans="1:12" ht="15.75" x14ac:dyDescent="0.25">
      <c r="A60" s="9">
        <v>51</v>
      </c>
      <c r="B60" s="39" t="s">
        <v>89</v>
      </c>
      <c r="C60" s="69">
        <f t="shared" si="1"/>
        <v>510</v>
      </c>
      <c r="D60" s="69">
        <f t="shared" si="2"/>
        <v>510</v>
      </c>
      <c r="E60" s="69">
        <f t="shared" si="3"/>
        <v>0</v>
      </c>
      <c r="F60" s="69">
        <f t="shared" si="5"/>
        <v>100</v>
      </c>
      <c r="G60" s="78"/>
      <c r="H60" s="78"/>
      <c r="I60" s="78"/>
      <c r="J60" s="78"/>
      <c r="K60" s="78">
        <v>510</v>
      </c>
      <c r="L60" s="78">
        <v>510</v>
      </c>
    </row>
    <row r="61" spans="1:12" ht="31.5" x14ac:dyDescent="0.25">
      <c r="A61" s="9">
        <v>52</v>
      </c>
      <c r="B61" s="7" t="s">
        <v>230</v>
      </c>
      <c r="C61" s="59">
        <f>+C62+C65+C75+C88+C90</f>
        <v>13408.6</v>
      </c>
      <c r="D61" s="59">
        <f t="shared" ref="D61:E61" si="121">+D62+D65+D75+D88+D90</f>
        <v>12529.9</v>
      </c>
      <c r="E61" s="59">
        <f t="shared" si="121"/>
        <v>-878.7</v>
      </c>
      <c r="F61" s="59">
        <f t="shared" si="5"/>
        <v>93.4</v>
      </c>
      <c r="G61" s="59">
        <f t="shared" ref="G61" si="122">+G62+G65+G75+G88+G90</f>
        <v>3361</v>
      </c>
      <c r="H61" s="59">
        <f t="shared" ref="H61" si="123">+H62+H65+H75+H88+H90</f>
        <v>3269.6</v>
      </c>
      <c r="I61" s="59">
        <f t="shared" ref="I61" si="124">+I62+I65+I75+I88+I90</f>
        <v>0</v>
      </c>
      <c r="J61" s="59">
        <f t="shared" ref="J61" si="125">+J62+J65+J75+J88+J90</f>
        <v>0</v>
      </c>
      <c r="K61" s="59">
        <f t="shared" ref="K61" si="126">+K62+K65+K75+K88+K90</f>
        <v>10047.6</v>
      </c>
      <c r="L61" s="59">
        <f t="shared" ref="L61" si="127">+L62+L65+L75+L88+L90</f>
        <v>9260.2999999999993</v>
      </c>
    </row>
    <row r="62" spans="1:12" ht="15.75" x14ac:dyDescent="0.25">
      <c r="A62" s="9">
        <v>53</v>
      </c>
      <c r="B62" s="28" t="s">
        <v>3</v>
      </c>
      <c r="C62" s="59">
        <f>+C63</f>
        <v>2977.2</v>
      </c>
      <c r="D62" s="59">
        <f t="shared" ref="D62:E62" si="128">+D63</f>
        <v>2966.1</v>
      </c>
      <c r="E62" s="59">
        <f t="shared" si="128"/>
        <v>-11.1</v>
      </c>
      <c r="F62" s="59">
        <f t="shared" si="5"/>
        <v>99.6</v>
      </c>
      <c r="G62" s="59">
        <f t="shared" ref="G62" si="129">+G63</f>
        <v>37</v>
      </c>
      <c r="H62" s="59">
        <f t="shared" ref="H62" si="130">+H63</f>
        <v>27.2</v>
      </c>
      <c r="I62" s="59">
        <f t="shared" ref="I62" si="131">+I63</f>
        <v>0</v>
      </c>
      <c r="J62" s="59">
        <f t="shared" ref="J62" si="132">+J63</f>
        <v>0</v>
      </c>
      <c r="K62" s="59">
        <f t="shared" ref="K62" si="133">+K63</f>
        <v>2940.2</v>
      </c>
      <c r="L62" s="59">
        <f t="shared" ref="L62" si="134">+L63</f>
        <v>2938.9</v>
      </c>
    </row>
    <row r="63" spans="1:12" ht="15.75" x14ac:dyDescent="0.25">
      <c r="A63" s="9">
        <v>54</v>
      </c>
      <c r="B63" s="4" t="s">
        <v>49</v>
      </c>
      <c r="C63" s="69">
        <f t="shared" si="1"/>
        <v>2977.2</v>
      </c>
      <c r="D63" s="69">
        <f t="shared" si="2"/>
        <v>2966.1</v>
      </c>
      <c r="E63" s="69">
        <f t="shared" si="3"/>
        <v>-11.1</v>
      </c>
      <c r="F63" s="69">
        <f t="shared" si="5"/>
        <v>99.6</v>
      </c>
      <c r="G63" s="78">
        <f>2977.2-31-5-2904.2</f>
        <v>37</v>
      </c>
      <c r="H63" s="78">
        <f>2966.1-31-3.7-2904.2</f>
        <v>27.2</v>
      </c>
      <c r="I63" s="78"/>
      <c r="J63" s="78"/>
      <c r="K63" s="78">
        <f>31+5+2904.2</f>
        <v>2940.2</v>
      </c>
      <c r="L63" s="78">
        <f>31+3.7+2904.2</f>
        <v>2938.9</v>
      </c>
    </row>
    <row r="64" spans="1:12" ht="31.5" x14ac:dyDescent="0.25">
      <c r="A64" s="9">
        <v>55</v>
      </c>
      <c r="B64" s="41" t="s">
        <v>231</v>
      </c>
      <c r="C64" s="69">
        <f t="shared" si="1"/>
        <v>2930.7</v>
      </c>
      <c r="D64" s="69">
        <f t="shared" si="2"/>
        <v>2930.7</v>
      </c>
      <c r="E64" s="69">
        <f t="shared" si="3"/>
        <v>0</v>
      </c>
      <c r="F64" s="69">
        <f t="shared" si="5"/>
        <v>100</v>
      </c>
      <c r="G64" s="78">
        <v>26.5</v>
      </c>
      <c r="H64" s="78">
        <v>26.5</v>
      </c>
      <c r="I64" s="78"/>
      <c r="J64" s="78"/>
      <c r="K64" s="78">
        <v>2904.2</v>
      </c>
      <c r="L64" s="78">
        <v>2904.2</v>
      </c>
    </row>
    <row r="65" spans="1:12" ht="15.75" x14ac:dyDescent="0.25">
      <c r="A65" s="9">
        <v>56</v>
      </c>
      <c r="B65" s="38" t="s">
        <v>65</v>
      </c>
      <c r="C65" s="59">
        <f>+C66+C67+C68+C69+C70+C71+C72+C73+C74</f>
        <v>6547.5</v>
      </c>
      <c r="D65" s="59">
        <f t="shared" ref="D65:E65" si="135">+D66+D67+D68+D69+D70+D71+D72+D73+D74</f>
        <v>5927.2</v>
      </c>
      <c r="E65" s="59">
        <f t="shared" si="135"/>
        <v>-620.29999999999995</v>
      </c>
      <c r="F65" s="59">
        <f t="shared" si="5"/>
        <v>90.5</v>
      </c>
      <c r="G65" s="59">
        <f t="shared" ref="G65" si="136">+G66+G67+G68+G69+G70+G71+G72+G73+G74</f>
        <v>26.1</v>
      </c>
      <c r="H65" s="59">
        <f t="shared" ref="H65" si="137">+H66+H67+H68+H69+H70+H71+H72+H73+H74</f>
        <v>26.1</v>
      </c>
      <c r="I65" s="59">
        <f t="shared" ref="I65" si="138">+I66+I67+I68+I69+I70+I71+I72+I73+I74</f>
        <v>0</v>
      </c>
      <c r="J65" s="59">
        <f t="shared" ref="J65" si="139">+J66+J67+J68+J69+J70+J71+J72+J73+J74</f>
        <v>0</v>
      </c>
      <c r="K65" s="59">
        <f t="shared" ref="K65" si="140">+K66+K67+K68+K69+K70+K71+K72+K73+K74</f>
        <v>6521.4</v>
      </c>
      <c r="L65" s="59">
        <f t="shared" ref="L65" si="141">+L66+L67+L68+L69+L70+L71+L72+L73+L74</f>
        <v>5901.1</v>
      </c>
    </row>
    <row r="66" spans="1:12" ht="15.75" x14ac:dyDescent="0.25">
      <c r="A66" s="9">
        <v>57</v>
      </c>
      <c r="B66" s="4" t="s">
        <v>49</v>
      </c>
      <c r="C66" s="69">
        <f t="shared" si="1"/>
        <v>4.5999999999999996</v>
      </c>
      <c r="D66" s="69">
        <f t="shared" si="2"/>
        <v>4.5999999999999996</v>
      </c>
      <c r="E66" s="69">
        <f t="shared" si="3"/>
        <v>0</v>
      </c>
      <c r="F66" s="69">
        <f t="shared" si="5"/>
        <v>100</v>
      </c>
      <c r="G66" s="78">
        <v>4.5999999999999996</v>
      </c>
      <c r="H66" s="78">
        <v>4.5999999999999996</v>
      </c>
      <c r="I66" s="78"/>
      <c r="J66" s="78"/>
      <c r="K66" s="78"/>
      <c r="L66" s="78"/>
    </row>
    <row r="67" spans="1:12" ht="31.5" x14ac:dyDescent="0.25">
      <c r="A67" s="9">
        <v>58</v>
      </c>
      <c r="B67" s="4" t="s">
        <v>112</v>
      </c>
      <c r="C67" s="69">
        <f t="shared" si="1"/>
        <v>2424.4</v>
      </c>
      <c r="D67" s="69">
        <f t="shared" si="2"/>
        <v>2163.5</v>
      </c>
      <c r="E67" s="69">
        <f t="shared" si="3"/>
        <v>-260.89999999999998</v>
      </c>
      <c r="F67" s="69">
        <f t="shared" si="5"/>
        <v>89.2</v>
      </c>
      <c r="G67" s="78"/>
      <c r="H67" s="78"/>
      <c r="I67" s="78"/>
      <c r="J67" s="78"/>
      <c r="K67" s="78">
        <v>2424.4</v>
      </c>
      <c r="L67" s="78">
        <v>2163.5</v>
      </c>
    </row>
    <row r="68" spans="1:12" ht="15.75" x14ac:dyDescent="0.25">
      <c r="A68" s="9">
        <v>59</v>
      </c>
      <c r="B68" s="39" t="s">
        <v>78</v>
      </c>
      <c r="C68" s="69">
        <f t="shared" si="1"/>
        <v>886.4</v>
      </c>
      <c r="D68" s="69">
        <f t="shared" si="2"/>
        <v>885.5</v>
      </c>
      <c r="E68" s="69">
        <f t="shared" si="3"/>
        <v>-0.9</v>
      </c>
      <c r="F68" s="69">
        <f t="shared" si="5"/>
        <v>99.9</v>
      </c>
      <c r="G68" s="78"/>
      <c r="H68" s="78"/>
      <c r="I68" s="78"/>
      <c r="J68" s="78"/>
      <c r="K68" s="78">
        <v>886.4</v>
      </c>
      <c r="L68" s="78">
        <v>885.5</v>
      </c>
    </row>
    <row r="69" spans="1:12" ht="31.5" x14ac:dyDescent="0.25">
      <c r="A69" s="9">
        <v>60</v>
      </c>
      <c r="B69" s="39" t="s">
        <v>103</v>
      </c>
      <c r="C69" s="69">
        <f t="shared" si="1"/>
        <v>450</v>
      </c>
      <c r="D69" s="69">
        <f t="shared" si="2"/>
        <v>199.1</v>
      </c>
      <c r="E69" s="69">
        <f t="shared" si="3"/>
        <v>-250.9</v>
      </c>
      <c r="F69" s="69">
        <f t="shared" si="5"/>
        <v>44.2</v>
      </c>
      <c r="G69" s="78"/>
      <c r="H69" s="78"/>
      <c r="I69" s="78"/>
      <c r="J69" s="78"/>
      <c r="K69" s="78">
        <v>450</v>
      </c>
      <c r="L69" s="78">
        <v>199.1</v>
      </c>
    </row>
    <row r="70" spans="1:12" ht="31.5" x14ac:dyDescent="0.25">
      <c r="A70" s="9">
        <v>61</v>
      </c>
      <c r="B70" s="4" t="s">
        <v>79</v>
      </c>
      <c r="C70" s="69">
        <f t="shared" si="1"/>
        <v>44.8</v>
      </c>
      <c r="D70" s="69">
        <f t="shared" si="2"/>
        <v>22.4</v>
      </c>
      <c r="E70" s="69">
        <f t="shared" si="3"/>
        <v>-22.4</v>
      </c>
      <c r="F70" s="69">
        <f t="shared" si="5"/>
        <v>50</v>
      </c>
      <c r="G70" s="78"/>
      <c r="H70" s="78"/>
      <c r="I70" s="78"/>
      <c r="J70" s="78"/>
      <c r="K70" s="78">
        <v>44.8</v>
      </c>
      <c r="L70" s="78">
        <v>22.4</v>
      </c>
    </row>
    <row r="71" spans="1:12" ht="15.75" x14ac:dyDescent="0.25">
      <c r="A71" s="9">
        <v>62</v>
      </c>
      <c r="B71" s="4" t="s">
        <v>150</v>
      </c>
      <c r="C71" s="69">
        <f t="shared" si="1"/>
        <v>21.5</v>
      </c>
      <c r="D71" s="69">
        <f t="shared" si="2"/>
        <v>21.5</v>
      </c>
      <c r="E71" s="69">
        <f t="shared" si="3"/>
        <v>0</v>
      </c>
      <c r="F71" s="69">
        <f t="shared" si="5"/>
        <v>100</v>
      </c>
      <c r="G71" s="78">
        <v>21.5</v>
      </c>
      <c r="H71" s="78">
        <v>21.5</v>
      </c>
      <c r="I71" s="78"/>
      <c r="J71" s="78"/>
      <c r="K71" s="78"/>
      <c r="L71" s="78"/>
    </row>
    <row r="72" spans="1:12" ht="15.75" x14ac:dyDescent="0.25">
      <c r="A72" s="9">
        <v>63</v>
      </c>
      <c r="B72" s="4" t="s">
        <v>72</v>
      </c>
      <c r="C72" s="69">
        <f t="shared" si="1"/>
        <v>2098</v>
      </c>
      <c r="D72" s="69">
        <f t="shared" si="2"/>
        <v>2067.9</v>
      </c>
      <c r="E72" s="69">
        <f t="shared" si="3"/>
        <v>-30.1</v>
      </c>
      <c r="F72" s="69">
        <f t="shared" si="5"/>
        <v>98.6</v>
      </c>
      <c r="G72" s="78"/>
      <c r="H72" s="78"/>
      <c r="I72" s="78"/>
      <c r="J72" s="78"/>
      <c r="K72" s="78">
        <v>2098</v>
      </c>
      <c r="L72" s="78">
        <v>2067.9</v>
      </c>
    </row>
    <row r="73" spans="1:12" ht="15.75" x14ac:dyDescent="0.25">
      <c r="A73" s="9">
        <v>64</v>
      </c>
      <c r="B73" s="39" t="s">
        <v>86</v>
      </c>
      <c r="C73" s="69">
        <f t="shared" si="1"/>
        <v>552.79999999999995</v>
      </c>
      <c r="D73" s="69">
        <f t="shared" si="2"/>
        <v>512.5</v>
      </c>
      <c r="E73" s="69">
        <f t="shared" si="3"/>
        <v>-40.299999999999997</v>
      </c>
      <c r="F73" s="69">
        <f t="shared" si="5"/>
        <v>92.7</v>
      </c>
      <c r="G73" s="78"/>
      <c r="H73" s="78"/>
      <c r="I73" s="78"/>
      <c r="J73" s="78"/>
      <c r="K73" s="78">
        <v>552.79999999999995</v>
      </c>
      <c r="L73" s="78">
        <v>512.5</v>
      </c>
    </row>
    <row r="74" spans="1:12" ht="15.75" x14ac:dyDescent="0.25">
      <c r="A74" s="9">
        <v>65</v>
      </c>
      <c r="B74" s="4" t="s">
        <v>95</v>
      </c>
      <c r="C74" s="69">
        <f t="shared" si="1"/>
        <v>65</v>
      </c>
      <c r="D74" s="69">
        <f t="shared" si="2"/>
        <v>50.2</v>
      </c>
      <c r="E74" s="69">
        <f t="shared" si="3"/>
        <v>-14.8</v>
      </c>
      <c r="F74" s="69">
        <f t="shared" si="5"/>
        <v>77.2</v>
      </c>
      <c r="G74" s="78"/>
      <c r="H74" s="78"/>
      <c r="I74" s="78"/>
      <c r="J74" s="78"/>
      <c r="K74" s="78">
        <v>65</v>
      </c>
      <c r="L74" s="78">
        <v>50.2</v>
      </c>
    </row>
    <row r="75" spans="1:12" ht="15.75" x14ac:dyDescent="0.25">
      <c r="A75" s="9">
        <v>66</v>
      </c>
      <c r="B75" s="38" t="s">
        <v>4</v>
      </c>
      <c r="C75" s="59">
        <f>+C76+C78+C80+C82+C84+C86</f>
        <v>3739.9</v>
      </c>
      <c r="D75" s="59">
        <f t="shared" ref="D75:E75" si="142">+D76+D78+D80+D82+D84+D86</f>
        <v>3501</v>
      </c>
      <c r="E75" s="59">
        <f t="shared" si="142"/>
        <v>-238.9</v>
      </c>
      <c r="F75" s="59">
        <f t="shared" ref="F75:F97" si="143">+D75/C75*100</f>
        <v>93.6</v>
      </c>
      <c r="G75" s="59">
        <f t="shared" ref="G75" si="144">+G76+G78+G80+G82+G84+G86</f>
        <v>3153.9</v>
      </c>
      <c r="H75" s="59">
        <f t="shared" ref="H75" si="145">+H76+H78+H80+H82+H84+H86</f>
        <v>3080.7</v>
      </c>
      <c r="I75" s="59">
        <f t="shared" ref="I75" si="146">+I76+I78+I80+I82+I84+I86</f>
        <v>0</v>
      </c>
      <c r="J75" s="59">
        <f t="shared" ref="J75" si="147">+J76+J78+J80+J82+J84+J86</f>
        <v>0</v>
      </c>
      <c r="K75" s="59">
        <f t="shared" ref="K75" si="148">+K76+K78+K80+K82+K84+K86</f>
        <v>586</v>
      </c>
      <c r="L75" s="59">
        <f t="shared" ref="L75" si="149">+L76+L78+L80+L82+L84+L86</f>
        <v>420.3</v>
      </c>
    </row>
    <row r="76" spans="1:12" ht="31.5" x14ac:dyDescent="0.25">
      <c r="A76" s="9">
        <v>67</v>
      </c>
      <c r="B76" s="39" t="s">
        <v>103</v>
      </c>
      <c r="C76" s="69">
        <f t="shared" ref="C76:C96" si="150">+G76+K76</f>
        <v>2417.1999999999998</v>
      </c>
      <c r="D76" s="69">
        <f t="shared" ref="D76:D96" si="151">+H76+L76</f>
        <v>2417.1999999999998</v>
      </c>
      <c r="E76" s="69">
        <f t="shared" ref="E76:E96" si="152">+D76-C76</f>
        <v>0</v>
      </c>
      <c r="F76" s="69">
        <f t="shared" si="143"/>
        <v>100</v>
      </c>
      <c r="G76" s="78">
        <v>2417.1999999999998</v>
      </c>
      <c r="H76" s="78">
        <v>2417.1999999999998</v>
      </c>
      <c r="I76" s="78"/>
      <c r="J76" s="78"/>
      <c r="K76" s="78"/>
      <c r="L76" s="78"/>
    </row>
    <row r="77" spans="1:12" ht="15.75" x14ac:dyDescent="0.25">
      <c r="A77" s="9">
        <v>68</v>
      </c>
      <c r="B77" s="37" t="s">
        <v>220</v>
      </c>
      <c r="C77" s="69">
        <f t="shared" si="150"/>
        <v>132.30000000000001</v>
      </c>
      <c r="D77" s="69">
        <f t="shared" si="151"/>
        <v>132.30000000000001</v>
      </c>
      <c r="E77" s="69">
        <f t="shared" si="152"/>
        <v>0</v>
      </c>
      <c r="F77" s="69">
        <f t="shared" si="143"/>
        <v>100</v>
      </c>
      <c r="G77" s="78">
        <v>132.30000000000001</v>
      </c>
      <c r="H77" s="78">
        <v>132.30000000000001</v>
      </c>
      <c r="I77" s="78"/>
      <c r="J77" s="78"/>
      <c r="K77" s="78"/>
      <c r="L77" s="78"/>
    </row>
    <row r="78" spans="1:12" ht="31.5" x14ac:dyDescent="0.25">
      <c r="A78" s="9">
        <v>69</v>
      </c>
      <c r="B78" s="4" t="s">
        <v>79</v>
      </c>
      <c r="C78" s="69">
        <f t="shared" si="150"/>
        <v>957.9</v>
      </c>
      <c r="D78" s="69">
        <f t="shared" si="151"/>
        <v>719</v>
      </c>
      <c r="E78" s="69">
        <f t="shared" si="152"/>
        <v>-238.9</v>
      </c>
      <c r="F78" s="69">
        <f t="shared" si="143"/>
        <v>75.099999999999994</v>
      </c>
      <c r="G78" s="78">
        <f>957.9-586</f>
        <v>371.9</v>
      </c>
      <c r="H78" s="78">
        <f>719-420.3</f>
        <v>298.7</v>
      </c>
      <c r="I78" s="78"/>
      <c r="J78" s="78"/>
      <c r="K78" s="78">
        <v>586</v>
      </c>
      <c r="L78" s="78">
        <v>420.3</v>
      </c>
    </row>
    <row r="79" spans="1:12" ht="15.75" x14ac:dyDescent="0.25">
      <c r="A79" s="9">
        <v>70</v>
      </c>
      <c r="B79" s="37" t="s">
        <v>220</v>
      </c>
      <c r="C79" s="69">
        <f t="shared" si="150"/>
        <v>236.8</v>
      </c>
      <c r="D79" s="69">
        <f t="shared" si="151"/>
        <v>236.8</v>
      </c>
      <c r="E79" s="69">
        <f t="shared" si="152"/>
        <v>0</v>
      </c>
      <c r="F79" s="69">
        <f t="shared" si="143"/>
        <v>100</v>
      </c>
      <c r="G79" s="78">
        <v>236.8</v>
      </c>
      <c r="H79" s="78">
        <v>236.8</v>
      </c>
      <c r="I79" s="78"/>
      <c r="J79" s="78"/>
      <c r="K79" s="78"/>
      <c r="L79" s="78"/>
    </row>
    <row r="80" spans="1:12" ht="15.75" x14ac:dyDescent="0.25">
      <c r="A80" s="9">
        <v>71</v>
      </c>
      <c r="B80" s="4" t="s">
        <v>150</v>
      </c>
      <c r="C80" s="69">
        <f t="shared" si="150"/>
        <v>18</v>
      </c>
      <c r="D80" s="69">
        <f t="shared" si="151"/>
        <v>18</v>
      </c>
      <c r="E80" s="69">
        <f t="shared" si="152"/>
        <v>0</v>
      </c>
      <c r="F80" s="69">
        <f t="shared" si="143"/>
        <v>100</v>
      </c>
      <c r="G80" s="78">
        <v>18</v>
      </c>
      <c r="H80" s="78">
        <v>18</v>
      </c>
      <c r="I80" s="78"/>
      <c r="J80" s="78"/>
      <c r="K80" s="78"/>
      <c r="L80" s="78"/>
    </row>
    <row r="81" spans="1:12" ht="15.75" x14ac:dyDescent="0.25">
      <c r="A81" s="9">
        <v>72</v>
      </c>
      <c r="B81" s="37" t="s">
        <v>220</v>
      </c>
      <c r="C81" s="69">
        <f t="shared" si="150"/>
        <v>18</v>
      </c>
      <c r="D81" s="69">
        <f t="shared" si="151"/>
        <v>18</v>
      </c>
      <c r="E81" s="69">
        <f t="shared" si="152"/>
        <v>0</v>
      </c>
      <c r="F81" s="69">
        <f t="shared" si="143"/>
        <v>100</v>
      </c>
      <c r="G81" s="78">
        <v>18</v>
      </c>
      <c r="H81" s="78">
        <v>18</v>
      </c>
      <c r="I81" s="78"/>
      <c r="J81" s="78"/>
      <c r="K81" s="78"/>
      <c r="L81" s="78"/>
    </row>
    <row r="82" spans="1:12" ht="15.75" x14ac:dyDescent="0.25">
      <c r="A82" s="9">
        <v>73</v>
      </c>
      <c r="B82" s="4" t="s">
        <v>72</v>
      </c>
      <c r="C82" s="69">
        <f t="shared" si="150"/>
        <v>315.10000000000002</v>
      </c>
      <c r="D82" s="69">
        <f t="shared" si="151"/>
        <v>315.10000000000002</v>
      </c>
      <c r="E82" s="69">
        <f t="shared" si="152"/>
        <v>0</v>
      </c>
      <c r="F82" s="69">
        <f t="shared" si="143"/>
        <v>100</v>
      </c>
      <c r="G82" s="78">
        <v>315.10000000000002</v>
      </c>
      <c r="H82" s="78">
        <v>315.10000000000002</v>
      </c>
      <c r="I82" s="78"/>
      <c r="J82" s="78"/>
      <c r="K82" s="78"/>
      <c r="L82" s="78"/>
    </row>
    <row r="83" spans="1:12" ht="15.75" x14ac:dyDescent="0.25">
      <c r="A83" s="9">
        <v>74</v>
      </c>
      <c r="B83" s="37" t="s">
        <v>220</v>
      </c>
      <c r="C83" s="69">
        <f t="shared" si="150"/>
        <v>315.10000000000002</v>
      </c>
      <c r="D83" s="69">
        <f t="shared" si="151"/>
        <v>315.10000000000002</v>
      </c>
      <c r="E83" s="69">
        <f t="shared" si="152"/>
        <v>0</v>
      </c>
      <c r="F83" s="69">
        <f t="shared" si="143"/>
        <v>100</v>
      </c>
      <c r="G83" s="78">
        <v>315.10000000000002</v>
      </c>
      <c r="H83" s="78">
        <v>315.10000000000002</v>
      </c>
      <c r="I83" s="78"/>
      <c r="J83" s="78"/>
      <c r="K83" s="78"/>
      <c r="L83" s="78"/>
    </row>
    <row r="84" spans="1:12" ht="15.75" x14ac:dyDescent="0.25">
      <c r="A84" s="9">
        <v>75</v>
      </c>
      <c r="B84" s="39" t="s">
        <v>86</v>
      </c>
      <c r="C84" s="69">
        <f t="shared" si="150"/>
        <v>21.1</v>
      </c>
      <c r="D84" s="69">
        <f t="shared" si="151"/>
        <v>21.1</v>
      </c>
      <c r="E84" s="69">
        <f t="shared" si="152"/>
        <v>0</v>
      </c>
      <c r="F84" s="69">
        <f t="shared" si="143"/>
        <v>100</v>
      </c>
      <c r="G84" s="78">
        <v>21.1</v>
      </c>
      <c r="H84" s="78">
        <v>21.1</v>
      </c>
      <c r="I84" s="78"/>
      <c r="J84" s="78"/>
      <c r="K84" s="78"/>
      <c r="L84" s="78"/>
    </row>
    <row r="85" spans="1:12" ht="15.75" x14ac:dyDescent="0.25">
      <c r="A85" s="9">
        <v>76</v>
      </c>
      <c r="B85" s="37" t="s">
        <v>220</v>
      </c>
      <c r="C85" s="69">
        <f t="shared" si="150"/>
        <v>21.1</v>
      </c>
      <c r="D85" s="69">
        <f t="shared" si="151"/>
        <v>21.1</v>
      </c>
      <c r="E85" s="69">
        <f t="shared" si="152"/>
        <v>0</v>
      </c>
      <c r="F85" s="69">
        <f t="shared" si="143"/>
        <v>100</v>
      </c>
      <c r="G85" s="78">
        <v>21.1</v>
      </c>
      <c r="H85" s="78">
        <v>21.1</v>
      </c>
      <c r="I85" s="78"/>
      <c r="J85" s="78"/>
      <c r="K85" s="78"/>
      <c r="L85" s="78"/>
    </row>
    <row r="86" spans="1:12" ht="15.75" x14ac:dyDescent="0.25">
      <c r="A86" s="9">
        <v>77</v>
      </c>
      <c r="B86" s="39" t="s">
        <v>89</v>
      </c>
      <c r="C86" s="69">
        <f t="shared" si="150"/>
        <v>10.6</v>
      </c>
      <c r="D86" s="69">
        <f t="shared" si="151"/>
        <v>10.6</v>
      </c>
      <c r="E86" s="69">
        <f t="shared" si="152"/>
        <v>0</v>
      </c>
      <c r="F86" s="69">
        <f t="shared" si="143"/>
        <v>100</v>
      </c>
      <c r="G86" s="78">
        <v>10.6</v>
      </c>
      <c r="H86" s="78">
        <v>10.6</v>
      </c>
      <c r="I86" s="78"/>
      <c r="J86" s="78"/>
      <c r="K86" s="78"/>
      <c r="L86" s="78"/>
    </row>
    <row r="87" spans="1:12" ht="15.75" x14ac:dyDescent="0.25">
      <c r="A87" s="9">
        <v>78</v>
      </c>
      <c r="B87" s="37" t="s">
        <v>220</v>
      </c>
      <c r="C87" s="69">
        <f t="shared" si="150"/>
        <v>10.6</v>
      </c>
      <c r="D87" s="69">
        <f t="shared" si="151"/>
        <v>10.6</v>
      </c>
      <c r="E87" s="69">
        <f t="shared" si="152"/>
        <v>0</v>
      </c>
      <c r="F87" s="69">
        <f t="shared" si="143"/>
        <v>100</v>
      </c>
      <c r="G87" s="78">
        <v>10.6</v>
      </c>
      <c r="H87" s="78">
        <v>10.6</v>
      </c>
      <c r="I87" s="78"/>
      <c r="J87" s="78"/>
      <c r="K87" s="78"/>
      <c r="L87" s="78"/>
    </row>
    <row r="88" spans="1:12" ht="15.75" x14ac:dyDescent="0.25">
      <c r="A88" s="9">
        <v>79</v>
      </c>
      <c r="B88" s="38" t="s">
        <v>221</v>
      </c>
      <c r="C88" s="59">
        <f>+C89</f>
        <v>75</v>
      </c>
      <c r="D88" s="59">
        <f t="shared" ref="D88:E88" si="153">+D89</f>
        <v>66.7</v>
      </c>
      <c r="E88" s="59">
        <f t="shared" si="153"/>
        <v>-8.3000000000000007</v>
      </c>
      <c r="F88" s="59">
        <f t="shared" si="143"/>
        <v>88.9</v>
      </c>
      <c r="G88" s="59">
        <f t="shared" ref="G88" si="154">+G89</f>
        <v>75</v>
      </c>
      <c r="H88" s="59">
        <f t="shared" ref="H88" si="155">+H89</f>
        <v>66.7</v>
      </c>
      <c r="I88" s="59">
        <f t="shared" ref="I88" si="156">+I89</f>
        <v>0</v>
      </c>
      <c r="J88" s="59">
        <f t="shared" ref="J88" si="157">+J89</f>
        <v>0</v>
      </c>
      <c r="K88" s="59">
        <f t="shared" ref="K88" si="158">+K89</f>
        <v>0</v>
      </c>
      <c r="L88" s="59">
        <f t="shared" ref="L88" si="159">+L89</f>
        <v>0</v>
      </c>
    </row>
    <row r="89" spans="1:12" ht="15.75" x14ac:dyDescent="0.25">
      <c r="A89" s="9">
        <v>80</v>
      </c>
      <c r="B89" s="4" t="s">
        <v>72</v>
      </c>
      <c r="C89" s="69">
        <f t="shared" si="150"/>
        <v>75</v>
      </c>
      <c r="D89" s="69">
        <f t="shared" si="151"/>
        <v>66.7</v>
      </c>
      <c r="E89" s="69">
        <f t="shared" si="152"/>
        <v>-8.3000000000000007</v>
      </c>
      <c r="F89" s="69">
        <f t="shared" si="143"/>
        <v>88.9</v>
      </c>
      <c r="G89" s="78">
        <v>75</v>
      </c>
      <c r="H89" s="78">
        <v>66.7</v>
      </c>
      <c r="I89" s="78"/>
      <c r="J89" s="78"/>
      <c r="K89" s="78"/>
      <c r="L89" s="78"/>
    </row>
    <row r="90" spans="1:12" ht="15.75" x14ac:dyDescent="0.25">
      <c r="A90" s="9">
        <v>81</v>
      </c>
      <c r="B90" s="38" t="s">
        <v>6</v>
      </c>
      <c r="C90" s="59">
        <f>+C91+C93</f>
        <v>69</v>
      </c>
      <c r="D90" s="59">
        <f t="shared" ref="D90:E90" si="160">+D91+D93</f>
        <v>68.900000000000006</v>
      </c>
      <c r="E90" s="59">
        <f t="shared" si="160"/>
        <v>-0.1</v>
      </c>
      <c r="F90" s="59">
        <f t="shared" si="143"/>
        <v>99.9</v>
      </c>
      <c r="G90" s="59">
        <f t="shared" ref="G90" si="161">+G91+G93</f>
        <v>69</v>
      </c>
      <c r="H90" s="59">
        <f t="shared" ref="H90" si="162">+H91+H93</f>
        <v>68.900000000000006</v>
      </c>
      <c r="I90" s="59">
        <f t="shared" ref="I90" si="163">+I91+I93</f>
        <v>0</v>
      </c>
      <c r="J90" s="59">
        <f t="shared" ref="J90" si="164">+J91+J93</f>
        <v>0</v>
      </c>
      <c r="K90" s="59">
        <f t="shared" ref="K90" si="165">+K91+K93</f>
        <v>0</v>
      </c>
      <c r="L90" s="59">
        <f t="shared" ref="L90" si="166">+L91+L93</f>
        <v>0</v>
      </c>
    </row>
    <row r="91" spans="1:12" ht="15.75" x14ac:dyDescent="0.25">
      <c r="A91" s="9">
        <v>82</v>
      </c>
      <c r="B91" s="39" t="s">
        <v>89</v>
      </c>
      <c r="C91" s="69">
        <f t="shared" si="150"/>
        <v>59</v>
      </c>
      <c r="D91" s="69">
        <f t="shared" si="151"/>
        <v>59</v>
      </c>
      <c r="E91" s="69">
        <f t="shared" si="152"/>
        <v>0</v>
      </c>
      <c r="F91" s="69">
        <f t="shared" si="143"/>
        <v>100</v>
      </c>
      <c r="G91" s="78">
        <v>59</v>
      </c>
      <c r="H91" s="78">
        <v>59</v>
      </c>
      <c r="I91" s="78"/>
      <c r="J91" s="78"/>
      <c r="K91" s="78"/>
      <c r="L91" s="78"/>
    </row>
    <row r="92" spans="1:12" ht="15.75" x14ac:dyDescent="0.25">
      <c r="A92" s="9">
        <v>83</v>
      </c>
      <c r="B92" s="37" t="s">
        <v>220</v>
      </c>
      <c r="C92" s="69">
        <f t="shared" si="150"/>
        <v>59</v>
      </c>
      <c r="D92" s="69">
        <f t="shared" si="151"/>
        <v>59</v>
      </c>
      <c r="E92" s="69">
        <f t="shared" si="152"/>
        <v>0</v>
      </c>
      <c r="F92" s="69">
        <f t="shared" si="143"/>
        <v>100</v>
      </c>
      <c r="G92" s="78">
        <v>59</v>
      </c>
      <c r="H92" s="78">
        <v>59</v>
      </c>
      <c r="I92" s="78"/>
      <c r="J92" s="78"/>
      <c r="K92" s="78"/>
      <c r="L92" s="78"/>
    </row>
    <row r="93" spans="1:12" ht="15.75" x14ac:dyDescent="0.25">
      <c r="A93" s="9">
        <v>84</v>
      </c>
      <c r="B93" s="4" t="s">
        <v>95</v>
      </c>
      <c r="C93" s="69">
        <f t="shared" si="150"/>
        <v>10</v>
      </c>
      <c r="D93" s="69">
        <f t="shared" si="151"/>
        <v>9.9</v>
      </c>
      <c r="E93" s="69">
        <f t="shared" si="152"/>
        <v>-0.1</v>
      </c>
      <c r="F93" s="69">
        <f t="shared" si="143"/>
        <v>99</v>
      </c>
      <c r="G93" s="78">
        <v>10</v>
      </c>
      <c r="H93" s="78">
        <v>9.9</v>
      </c>
      <c r="I93" s="78"/>
      <c r="J93" s="78"/>
      <c r="K93" s="78"/>
      <c r="L93" s="78"/>
    </row>
    <row r="94" spans="1:12" ht="15.75" x14ac:dyDescent="0.25">
      <c r="A94" s="9">
        <v>85</v>
      </c>
      <c r="B94" s="28" t="s">
        <v>232</v>
      </c>
      <c r="C94" s="59">
        <f>+C10+C29+C61</f>
        <v>20661.099999999999</v>
      </c>
      <c r="D94" s="59">
        <f t="shared" ref="D94:L94" si="167">+D10+D29+D61</f>
        <v>17416.900000000001</v>
      </c>
      <c r="E94" s="59">
        <f t="shared" si="167"/>
        <v>-3244.2</v>
      </c>
      <c r="F94" s="59">
        <f t="shared" si="143"/>
        <v>84.3</v>
      </c>
      <c r="G94" s="59">
        <f t="shared" si="167"/>
        <v>5904.1</v>
      </c>
      <c r="H94" s="59">
        <f t="shared" si="167"/>
        <v>5654.7</v>
      </c>
      <c r="I94" s="59">
        <f t="shared" si="167"/>
        <v>154.5</v>
      </c>
      <c r="J94" s="59">
        <f t="shared" si="167"/>
        <v>148.4</v>
      </c>
      <c r="K94" s="59">
        <f t="shared" si="167"/>
        <v>14757</v>
      </c>
      <c r="L94" s="59">
        <f t="shared" si="167"/>
        <v>11762.2</v>
      </c>
    </row>
    <row r="95" spans="1:12" ht="15.75" x14ac:dyDescent="0.25">
      <c r="A95" s="9">
        <v>86</v>
      </c>
      <c r="B95" s="67" t="s">
        <v>2</v>
      </c>
      <c r="C95" s="69">
        <f t="shared" si="150"/>
        <v>0</v>
      </c>
      <c r="D95" s="69">
        <f t="shared" si="151"/>
        <v>0</v>
      </c>
      <c r="E95" s="69">
        <f t="shared" si="152"/>
        <v>0</v>
      </c>
      <c r="F95" s="69"/>
      <c r="G95" s="78"/>
      <c r="H95" s="78"/>
      <c r="I95" s="78"/>
      <c r="J95" s="78"/>
      <c r="K95" s="78"/>
      <c r="L95" s="78"/>
    </row>
    <row r="96" spans="1:12" ht="15.75" x14ac:dyDescent="0.25">
      <c r="A96" s="9">
        <v>87</v>
      </c>
      <c r="B96" s="4" t="s">
        <v>233</v>
      </c>
      <c r="C96" s="69">
        <f t="shared" si="150"/>
        <v>2904.2</v>
      </c>
      <c r="D96" s="69">
        <f t="shared" si="151"/>
        <v>2904.2</v>
      </c>
      <c r="E96" s="69">
        <f t="shared" si="152"/>
        <v>0</v>
      </c>
      <c r="F96" s="69">
        <f t="shared" si="143"/>
        <v>100</v>
      </c>
      <c r="G96" s="78"/>
      <c r="H96" s="78"/>
      <c r="I96" s="78"/>
      <c r="J96" s="78"/>
      <c r="K96" s="78">
        <v>2904.2</v>
      </c>
      <c r="L96" s="78">
        <v>2904.2</v>
      </c>
    </row>
    <row r="97" spans="1:12" ht="15.75" x14ac:dyDescent="0.25">
      <c r="A97" s="9">
        <v>88</v>
      </c>
      <c r="B97" s="28" t="s">
        <v>234</v>
      </c>
      <c r="C97" s="59">
        <f>+C94-C96</f>
        <v>17756.900000000001</v>
      </c>
      <c r="D97" s="59">
        <f t="shared" ref="D97:E97" si="168">+D94-D96</f>
        <v>14512.7</v>
      </c>
      <c r="E97" s="59">
        <f t="shared" si="168"/>
        <v>-3244.2</v>
      </c>
      <c r="F97" s="59">
        <f t="shared" si="143"/>
        <v>81.7</v>
      </c>
      <c r="G97" s="77">
        <f>+G94-G96</f>
        <v>5904.1</v>
      </c>
      <c r="H97" s="77">
        <f t="shared" ref="H97:L97" si="169">+H94-H96</f>
        <v>5654.7</v>
      </c>
      <c r="I97" s="77">
        <f t="shared" si="169"/>
        <v>154.5</v>
      </c>
      <c r="J97" s="77">
        <f t="shared" si="169"/>
        <v>148.4</v>
      </c>
      <c r="K97" s="77">
        <f t="shared" si="169"/>
        <v>11852.8</v>
      </c>
      <c r="L97" s="77">
        <f t="shared" si="169"/>
        <v>8858</v>
      </c>
    </row>
    <row r="98" spans="1:12" x14ac:dyDescent="0.25">
      <c r="B98" s="74"/>
      <c r="C98" s="60"/>
      <c r="D98" s="60"/>
      <c r="E98" s="60"/>
      <c r="F98" s="60"/>
      <c r="G98" s="60"/>
      <c r="H98" s="60"/>
      <c r="I98" s="60"/>
      <c r="J98" s="60"/>
      <c r="K98" s="60"/>
      <c r="L98" s="60"/>
    </row>
    <row r="99" spans="1:12" x14ac:dyDescent="0.25">
      <c r="B99" s="42"/>
      <c r="C99" s="75"/>
      <c r="D99" s="72"/>
      <c r="E99" s="72"/>
      <c r="F99" s="72"/>
      <c r="G99" s="72"/>
      <c r="H99" s="72"/>
      <c r="I99" s="72"/>
      <c r="J99" s="72"/>
      <c r="K99" s="72"/>
      <c r="L99" s="73"/>
    </row>
    <row r="100" spans="1:12" x14ac:dyDescent="0.25">
      <c r="C100" s="60"/>
      <c r="D100" s="60"/>
      <c r="E100" s="60"/>
      <c r="F100" s="60"/>
      <c r="G100" s="60"/>
      <c r="H100" s="60"/>
      <c r="I100" s="60"/>
      <c r="J100" s="60"/>
      <c r="K100" s="60"/>
      <c r="L100" s="60"/>
    </row>
    <row r="101" spans="1:12" x14ac:dyDescent="0.25">
      <c r="C101" s="60"/>
    </row>
    <row r="102" spans="1:12" x14ac:dyDescent="0.25">
      <c r="E102" s="60"/>
    </row>
  </sheetData>
  <mergeCells count="15">
    <mergeCell ref="A5:A8"/>
    <mergeCell ref="B5:B8"/>
    <mergeCell ref="A2:L2"/>
    <mergeCell ref="C5:C8"/>
    <mergeCell ref="D5:D8"/>
    <mergeCell ref="E5:E8"/>
    <mergeCell ref="F5:F8"/>
    <mergeCell ref="G5:L5"/>
    <mergeCell ref="G6:J6"/>
    <mergeCell ref="K6:L6"/>
    <mergeCell ref="G7:G8"/>
    <mergeCell ref="H7:H8"/>
    <mergeCell ref="I7:J7"/>
    <mergeCell ref="K7:K8"/>
    <mergeCell ref="L7:L8"/>
  </mergeCells>
  <pageMargins left="0.94488188976377963" right="0.35433070866141736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Zeros="0" zoomScale="103" zoomScaleNormal="103" workbookViewId="0">
      <selection activeCell="E43" sqref="E43"/>
    </sheetView>
  </sheetViews>
  <sheetFormatPr defaultRowHeight="15.75" x14ac:dyDescent="0.25"/>
  <cols>
    <col min="1" max="1" width="5.140625" style="1" customWidth="1"/>
    <col min="2" max="2" width="32.42578125" style="1" customWidth="1"/>
    <col min="3" max="3" width="10.5703125" style="2" customWidth="1"/>
    <col min="4" max="4" width="9.140625" style="2"/>
    <col min="5" max="5" width="11.7109375" style="2" customWidth="1"/>
    <col min="6" max="6" width="11" style="2" customWidth="1"/>
    <col min="7" max="7" width="9.140625" style="2"/>
    <col min="8" max="8" width="10.28515625" style="2" customWidth="1"/>
    <col min="9" max="9" width="10" style="2" customWidth="1"/>
    <col min="10" max="10" width="9.140625" style="2"/>
    <col min="11" max="11" width="10.5703125" style="2" customWidth="1"/>
    <col min="12" max="12" width="10.7109375" style="2" customWidth="1"/>
    <col min="13" max="13" width="8.28515625" style="2" customWidth="1"/>
    <col min="14" max="14" width="10.28515625" style="2" customWidth="1"/>
    <col min="15" max="16384" width="9.140625" style="2"/>
  </cols>
  <sheetData>
    <row r="1" spans="1:14" x14ac:dyDescent="0.25">
      <c r="B1" s="43"/>
    </row>
    <row r="2" spans="1:14" ht="18" customHeight="1" x14ac:dyDescent="0.25">
      <c r="A2" s="122" t="s">
        <v>273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ht="15" customHeight="1" x14ac:dyDescent="0.25">
      <c r="A3" s="44"/>
      <c r="B3" s="44"/>
    </row>
    <row r="4" spans="1:14" ht="15.75" customHeight="1" x14ac:dyDescent="0.25">
      <c r="A4" s="45"/>
      <c r="B4" s="46"/>
      <c r="N4" s="47" t="s">
        <v>139</v>
      </c>
    </row>
    <row r="5" spans="1:14" ht="17.25" customHeight="1" x14ac:dyDescent="0.25">
      <c r="A5" s="119" t="s">
        <v>0</v>
      </c>
      <c r="B5" s="119" t="s">
        <v>235</v>
      </c>
      <c r="C5" s="123" t="s">
        <v>1</v>
      </c>
      <c r="D5" s="123"/>
      <c r="E5" s="123"/>
      <c r="F5" s="109" t="s">
        <v>2</v>
      </c>
      <c r="G5" s="109"/>
      <c r="H5" s="109"/>
      <c r="I5" s="109"/>
      <c r="J5" s="109"/>
      <c r="K5" s="109"/>
      <c r="L5" s="109"/>
      <c r="M5" s="109"/>
      <c r="N5" s="109"/>
    </row>
    <row r="6" spans="1:14" ht="51" customHeight="1" x14ac:dyDescent="0.2">
      <c r="A6" s="120"/>
      <c r="B6" s="120"/>
      <c r="C6" s="123"/>
      <c r="D6" s="123"/>
      <c r="E6" s="123"/>
      <c r="F6" s="124" t="s">
        <v>252</v>
      </c>
      <c r="G6" s="124"/>
      <c r="H6" s="124"/>
      <c r="I6" s="125" t="s">
        <v>253</v>
      </c>
      <c r="J6" s="125"/>
      <c r="K6" s="125"/>
      <c r="L6" s="125" t="s">
        <v>254</v>
      </c>
      <c r="M6" s="125"/>
      <c r="N6" s="125"/>
    </row>
    <row r="7" spans="1:14" ht="47.25" customHeight="1" x14ac:dyDescent="0.2">
      <c r="A7" s="121"/>
      <c r="B7" s="121"/>
      <c r="C7" s="48" t="s">
        <v>246</v>
      </c>
      <c r="D7" s="48" t="s">
        <v>247</v>
      </c>
      <c r="E7" s="31" t="s">
        <v>255</v>
      </c>
      <c r="F7" s="48" t="s">
        <v>246</v>
      </c>
      <c r="G7" s="48" t="s">
        <v>247</v>
      </c>
      <c r="H7" s="31" t="s">
        <v>255</v>
      </c>
      <c r="I7" s="48" t="s">
        <v>246</v>
      </c>
      <c r="J7" s="48" t="s">
        <v>247</v>
      </c>
      <c r="K7" s="31" t="s">
        <v>255</v>
      </c>
      <c r="L7" s="48" t="s">
        <v>246</v>
      </c>
      <c r="M7" s="48" t="s">
        <v>247</v>
      </c>
      <c r="N7" s="31" t="s">
        <v>255</v>
      </c>
    </row>
    <row r="8" spans="1:14" ht="13.5" customHeight="1" x14ac:dyDescent="0.25">
      <c r="A8" s="3">
        <v>1</v>
      </c>
      <c r="B8" s="49" t="s">
        <v>236</v>
      </c>
      <c r="C8" s="3">
        <v>3</v>
      </c>
      <c r="D8" s="49" t="s">
        <v>237</v>
      </c>
      <c r="E8" s="3">
        <v>5</v>
      </c>
      <c r="F8" s="49" t="s">
        <v>238</v>
      </c>
      <c r="G8" s="3">
        <v>7</v>
      </c>
      <c r="H8" s="49" t="s">
        <v>256</v>
      </c>
      <c r="I8" s="3">
        <v>9</v>
      </c>
      <c r="J8" s="49" t="s">
        <v>257</v>
      </c>
      <c r="K8" s="3">
        <v>11</v>
      </c>
      <c r="L8" s="49" t="s">
        <v>258</v>
      </c>
      <c r="M8" s="3">
        <v>13</v>
      </c>
      <c r="N8" s="49" t="s">
        <v>259</v>
      </c>
    </row>
    <row r="9" spans="1:14" ht="21" customHeight="1" x14ac:dyDescent="0.25">
      <c r="A9" s="50">
        <v>1</v>
      </c>
      <c r="B9" s="38" t="s">
        <v>3</v>
      </c>
      <c r="C9" s="25">
        <f>+F9+I9+L9</f>
        <v>133.80000000000001</v>
      </c>
      <c r="D9" s="25">
        <f>+G9+J9+M9</f>
        <v>121.1</v>
      </c>
      <c r="E9" s="25">
        <f>+H9+K9+N9</f>
        <v>-12.7</v>
      </c>
      <c r="F9" s="25"/>
      <c r="G9" s="25"/>
      <c r="H9" s="25">
        <f>+G9-F9</f>
        <v>0</v>
      </c>
      <c r="I9" s="25"/>
      <c r="J9" s="25"/>
      <c r="K9" s="25">
        <f>+J9-I9</f>
        <v>0</v>
      </c>
      <c r="L9" s="25">
        <v>133.80000000000001</v>
      </c>
      <c r="M9" s="25">
        <v>121.1</v>
      </c>
      <c r="N9" s="25">
        <f>+M9-L9</f>
        <v>-12.7</v>
      </c>
    </row>
    <row r="10" spans="1:14" ht="19.5" customHeight="1" x14ac:dyDescent="0.25">
      <c r="A10" s="50">
        <v>2</v>
      </c>
      <c r="B10" s="38" t="s">
        <v>4</v>
      </c>
      <c r="C10" s="25">
        <f>+C12+C13</f>
        <v>33.5</v>
      </c>
      <c r="D10" s="25">
        <f t="shared" ref="D10:N10" si="0">+D12+D13</f>
        <v>34.5</v>
      </c>
      <c r="E10" s="25">
        <f t="shared" si="0"/>
        <v>1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25.8</v>
      </c>
      <c r="J10" s="25">
        <f t="shared" si="0"/>
        <v>28.1</v>
      </c>
      <c r="K10" s="25">
        <f t="shared" si="0"/>
        <v>2.2999999999999998</v>
      </c>
      <c r="L10" s="25">
        <f t="shared" si="0"/>
        <v>7.7</v>
      </c>
      <c r="M10" s="25">
        <f t="shared" si="0"/>
        <v>6.4</v>
      </c>
      <c r="N10" s="25">
        <f t="shared" si="0"/>
        <v>-1.3</v>
      </c>
    </row>
    <row r="11" spans="1:14" ht="19.5" customHeight="1" x14ac:dyDescent="0.25">
      <c r="A11" s="50">
        <v>3</v>
      </c>
      <c r="B11" s="30" t="s">
        <v>2</v>
      </c>
      <c r="C11" s="24">
        <f t="shared" ref="C11:C23" si="1">+F11+I11+L11</f>
        <v>0</v>
      </c>
      <c r="D11" s="24">
        <f t="shared" ref="D11:D23" si="2">+G11+J11+M11</f>
        <v>0</v>
      </c>
      <c r="E11" s="24">
        <f t="shared" ref="E11:E23" si="3">+H11+K11+N11</f>
        <v>0</v>
      </c>
      <c r="F11" s="24"/>
      <c r="G11" s="24"/>
      <c r="H11" s="24">
        <f t="shared" ref="H11:H23" si="4">+G11-F11</f>
        <v>0</v>
      </c>
      <c r="I11" s="24"/>
      <c r="J11" s="24"/>
      <c r="K11" s="24">
        <f t="shared" ref="K11:K23" si="5">+J11-I11</f>
        <v>0</v>
      </c>
      <c r="L11" s="24"/>
      <c r="M11" s="24"/>
      <c r="N11" s="24">
        <f t="shared" ref="N11:N23" si="6">+M11-L11</f>
        <v>0</v>
      </c>
    </row>
    <row r="12" spans="1:14" ht="19.5" customHeight="1" x14ac:dyDescent="0.25">
      <c r="A12" s="50">
        <v>4</v>
      </c>
      <c r="B12" s="39" t="s">
        <v>4</v>
      </c>
      <c r="C12" s="24">
        <f t="shared" si="1"/>
        <v>0.8</v>
      </c>
      <c r="D12" s="24">
        <f t="shared" si="2"/>
        <v>0.4</v>
      </c>
      <c r="E12" s="24">
        <f t="shared" si="3"/>
        <v>-0.4</v>
      </c>
      <c r="F12" s="24"/>
      <c r="G12" s="24"/>
      <c r="H12" s="24">
        <f t="shared" si="4"/>
        <v>0</v>
      </c>
      <c r="I12" s="24">
        <v>0.8</v>
      </c>
      <c r="J12" s="24">
        <v>0.4</v>
      </c>
      <c r="K12" s="24">
        <f t="shared" si="5"/>
        <v>-0.4</v>
      </c>
      <c r="L12" s="24"/>
      <c r="M12" s="24"/>
      <c r="N12" s="24">
        <f t="shared" si="6"/>
        <v>0</v>
      </c>
    </row>
    <row r="13" spans="1:14" ht="31.5" x14ac:dyDescent="0.25">
      <c r="A13" s="50">
        <v>5</v>
      </c>
      <c r="B13" s="4" t="s">
        <v>239</v>
      </c>
      <c r="C13" s="24">
        <f t="shared" si="1"/>
        <v>32.700000000000003</v>
      </c>
      <c r="D13" s="24">
        <f t="shared" si="2"/>
        <v>34.1</v>
      </c>
      <c r="E13" s="24">
        <f t="shared" si="3"/>
        <v>1.4</v>
      </c>
      <c r="F13" s="24"/>
      <c r="G13" s="24"/>
      <c r="H13" s="24">
        <f t="shared" si="4"/>
        <v>0</v>
      </c>
      <c r="I13" s="24">
        <v>25</v>
      </c>
      <c r="J13" s="24">
        <v>27.7</v>
      </c>
      <c r="K13" s="24">
        <f t="shared" si="5"/>
        <v>2.7</v>
      </c>
      <c r="L13" s="24">
        <v>7.7</v>
      </c>
      <c r="M13" s="24">
        <v>6.4</v>
      </c>
      <c r="N13" s="24">
        <f t="shared" si="6"/>
        <v>-1.3</v>
      </c>
    </row>
    <row r="14" spans="1:14" s="51" customFormat="1" ht="31.5" x14ac:dyDescent="0.25">
      <c r="A14" s="50">
        <v>6</v>
      </c>
      <c r="B14" s="38" t="s">
        <v>5</v>
      </c>
      <c r="C14" s="25">
        <f>+C16+C17+C18</f>
        <v>6170</v>
      </c>
      <c r="D14" s="25">
        <f t="shared" ref="D14:N14" si="7">+D16+D17+D18</f>
        <v>6041.1</v>
      </c>
      <c r="E14" s="25">
        <f t="shared" si="7"/>
        <v>-128.9</v>
      </c>
      <c r="F14" s="25">
        <f t="shared" si="7"/>
        <v>4764.1000000000004</v>
      </c>
      <c r="G14" s="25">
        <f t="shared" si="7"/>
        <v>4644.3</v>
      </c>
      <c r="H14" s="25">
        <f t="shared" si="7"/>
        <v>-119.8</v>
      </c>
      <c r="I14" s="25">
        <f t="shared" si="7"/>
        <v>1286</v>
      </c>
      <c r="J14" s="25">
        <f t="shared" si="7"/>
        <v>1273.9000000000001</v>
      </c>
      <c r="K14" s="25">
        <f t="shared" si="7"/>
        <v>-12.1</v>
      </c>
      <c r="L14" s="25">
        <f t="shared" si="7"/>
        <v>119.9</v>
      </c>
      <c r="M14" s="25">
        <f t="shared" si="7"/>
        <v>122.9</v>
      </c>
      <c r="N14" s="25">
        <f t="shared" si="7"/>
        <v>3</v>
      </c>
    </row>
    <row r="15" spans="1:14" s="51" customFormat="1" x14ac:dyDescent="0.25">
      <c r="A15" s="50">
        <v>7</v>
      </c>
      <c r="B15" s="30" t="s">
        <v>2</v>
      </c>
      <c r="C15" s="24">
        <f t="shared" si="1"/>
        <v>0</v>
      </c>
      <c r="D15" s="24">
        <f t="shared" si="2"/>
        <v>0</v>
      </c>
      <c r="E15" s="24">
        <f t="shared" si="3"/>
        <v>0</v>
      </c>
      <c r="F15" s="24"/>
      <c r="G15" s="24"/>
      <c r="H15" s="24">
        <f t="shared" si="4"/>
        <v>0</v>
      </c>
      <c r="I15" s="24"/>
      <c r="J15" s="24"/>
      <c r="K15" s="24">
        <f t="shared" si="5"/>
        <v>0</v>
      </c>
      <c r="L15" s="24"/>
      <c r="M15" s="24"/>
      <c r="N15" s="24">
        <f t="shared" si="6"/>
        <v>0</v>
      </c>
    </row>
    <row r="16" spans="1:14" s="51" customFormat="1" x14ac:dyDescent="0.25">
      <c r="A16" s="50">
        <v>8</v>
      </c>
      <c r="B16" s="52" t="s">
        <v>240</v>
      </c>
      <c r="C16" s="24">
        <f t="shared" si="1"/>
        <v>5464.2</v>
      </c>
      <c r="D16" s="24">
        <f t="shared" si="2"/>
        <v>5286.1</v>
      </c>
      <c r="E16" s="24">
        <f t="shared" si="3"/>
        <v>-178.1</v>
      </c>
      <c r="F16" s="24">
        <v>4661.8999999999996</v>
      </c>
      <c r="G16" s="24">
        <v>4538.8999999999996</v>
      </c>
      <c r="H16" s="24">
        <f t="shared" si="4"/>
        <v>-123</v>
      </c>
      <c r="I16" s="24">
        <v>751.2</v>
      </c>
      <c r="J16" s="24">
        <v>700.5</v>
      </c>
      <c r="K16" s="24">
        <f t="shared" si="5"/>
        <v>-50.7</v>
      </c>
      <c r="L16" s="24">
        <v>51.1</v>
      </c>
      <c r="M16" s="24">
        <v>46.7</v>
      </c>
      <c r="N16" s="24">
        <f t="shared" si="6"/>
        <v>-4.4000000000000004</v>
      </c>
    </row>
    <row r="17" spans="1:14" s="51" customFormat="1" x14ac:dyDescent="0.25">
      <c r="A17" s="50">
        <v>9</v>
      </c>
      <c r="B17" s="52" t="s">
        <v>241</v>
      </c>
      <c r="C17" s="24">
        <f t="shared" si="1"/>
        <v>227.1</v>
      </c>
      <c r="D17" s="24">
        <f t="shared" si="2"/>
        <v>246.3</v>
      </c>
      <c r="E17" s="24">
        <f t="shared" si="3"/>
        <v>19.2</v>
      </c>
      <c r="F17" s="24">
        <v>102.2</v>
      </c>
      <c r="G17" s="24">
        <v>105.4</v>
      </c>
      <c r="H17" s="24">
        <f t="shared" si="4"/>
        <v>3.2</v>
      </c>
      <c r="I17" s="24">
        <v>112.8</v>
      </c>
      <c r="J17" s="24">
        <v>132.69999999999999</v>
      </c>
      <c r="K17" s="24">
        <f t="shared" si="5"/>
        <v>19.899999999999999</v>
      </c>
      <c r="L17" s="24">
        <v>12.1</v>
      </c>
      <c r="M17" s="24">
        <v>8.1999999999999993</v>
      </c>
      <c r="N17" s="24">
        <f t="shared" si="6"/>
        <v>-3.9</v>
      </c>
    </row>
    <row r="18" spans="1:14" s="51" customFormat="1" x14ac:dyDescent="0.25">
      <c r="A18" s="50">
        <v>10</v>
      </c>
      <c r="B18" s="52" t="s">
        <v>242</v>
      </c>
      <c r="C18" s="24">
        <f t="shared" si="1"/>
        <v>478.7</v>
      </c>
      <c r="D18" s="24">
        <f t="shared" si="2"/>
        <v>508.7</v>
      </c>
      <c r="E18" s="24">
        <f t="shared" si="3"/>
        <v>30</v>
      </c>
      <c r="F18" s="24"/>
      <c r="G18" s="24"/>
      <c r="H18" s="24">
        <f t="shared" si="4"/>
        <v>0</v>
      </c>
      <c r="I18" s="24">
        <v>422</v>
      </c>
      <c r="J18" s="24">
        <v>440.7</v>
      </c>
      <c r="K18" s="24">
        <f t="shared" si="5"/>
        <v>18.7</v>
      </c>
      <c r="L18" s="24">
        <v>56.7</v>
      </c>
      <c r="M18" s="24">
        <v>68</v>
      </c>
      <c r="N18" s="24">
        <f t="shared" si="6"/>
        <v>11.3</v>
      </c>
    </row>
    <row r="19" spans="1:14" ht="15" customHeight="1" x14ac:dyDescent="0.25">
      <c r="A19" s="50">
        <v>11</v>
      </c>
      <c r="B19" s="28" t="s">
        <v>6</v>
      </c>
      <c r="C19" s="25">
        <f>+C21+C22+C23</f>
        <v>1788.3</v>
      </c>
      <c r="D19" s="25">
        <f t="shared" ref="D19:N19" si="8">+D21+D22+D23</f>
        <v>1774.5</v>
      </c>
      <c r="E19" s="25">
        <f t="shared" si="8"/>
        <v>-13.8</v>
      </c>
      <c r="F19" s="25">
        <f t="shared" si="8"/>
        <v>519</v>
      </c>
      <c r="G19" s="25">
        <f t="shared" si="8"/>
        <v>530.70000000000005</v>
      </c>
      <c r="H19" s="25">
        <f t="shared" si="8"/>
        <v>11.7</v>
      </c>
      <c r="I19" s="25">
        <f t="shared" si="8"/>
        <v>153.30000000000001</v>
      </c>
      <c r="J19" s="25">
        <f t="shared" si="8"/>
        <v>165.3</v>
      </c>
      <c r="K19" s="25">
        <f t="shared" si="8"/>
        <v>12</v>
      </c>
      <c r="L19" s="25">
        <f t="shared" si="8"/>
        <v>1116</v>
      </c>
      <c r="M19" s="25">
        <f t="shared" si="8"/>
        <v>1078.5</v>
      </c>
      <c r="N19" s="25">
        <f t="shared" si="8"/>
        <v>-37.5</v>
      </c>
    </row>
    <row r="20" spans="1:14" ht="15" customHeight="1" x14ac:dyDescent="0.25">
      <c r="A20" s="50">
        <v>12</v>
      </c>
      <c r="B20" s="30" t="s">
        <v>2</v>
      </c>
      <c r="C20" s="24">
        <f t="shared" si="1"/>
        <v>0</v>
      </c>
      <c r="D20" s="24">
        <f t="shared" si="2"/>
        <v>0</v>
      </c>
      <c r="E20" s="24">
        <f t="shared" si="3"/>
        <v>0</v>
      </c>
      <c r="F20" s="24"/>
      <c r="G20" s="24"/>
      <c r="H20" s="24">
        <f t="shared" si="4"/>
        <v>0</v>
      </c>
      <c r="I20" s="24"/>
      <c r="J20" s="24"/>
      <c r="K20" s="24">
        <f t="shared" si="5"/>
        <v>0</v>
      </c>
      <c r="L20" s="24"/>
      <c r="M20" s="24"/>
      <c r="N20" s="24">
        <f t="shared" si="6"/>
        <v>0</v>
      </c>
    </row>
    <row r="21" spans="1:14" ht="33" customHeight="1" x14ac:dyDescent="0.25">
      <c r="A21" s="50">
        <v>13</v>
      </c>
      <c r="B21" s="4" t="s">
        <v>243</v>
      </c>
      <c r="C21" s="24">
        <f t="shared" si="1"/>
        <v>1116</v>
      </c>
      <c r="D21" s="24">
        <f t="shared" si="2"/>
        <v>1078.5</v>
      </c>
      <c r="E21" s="24">
        <f t="shared" si="3"/>
        <v>-37.5</v>
      </c>
      <c r="F21" s="24"/>
      <c r="G21" s="24"/>
      <c r="H21" s="24">
        <f t="shared" si="4"/>
        <v>0</v>
      </c>
      <c r="I21" s="24"/>
      <c r="J21" s="24"/>
      <c r="K21" s="24">
        <f t="shared" si="5"/>
        <v>0</v>
      </c>
      <c r="L21" s="24">
        <v>1116</v>
      </c>
      <c r="M21" s="24">
        <v>1078.5</v>
      </c>
      <c r="N21" s="24">
        <f t="shared" si="6"/>
        <v>-37.5</v>
      </c>
    </row>
    <row r="22" spans="1:14" ht="15" customHeight="1" x14ac:dyDescent="0.25">
      <c r="A22" s="50">
        <v>14</v>
      </c>
      <c r="B22" s="52" t="s">
        <v>244</v>
      </c>
      <c r="C22" s="24">
        <f t="shared" si="1"/>
        <v>637.29999999999995</v>
      </c>
      <c r="D22" s="24">
        <f t="shared" si="2"/>
        <v>660</v>
      </c>
      <c r="E22" s="24">
        <f t="shared" si="3"/>
        <v>22.7</v>
      </c>
      <c r="F22" s="24">
        <v>504.3</v>
      </c>
      <c r="G22" s="24">
        <v>518.9</v>
      </c>
      <c r="H22" s="24">
        <f t="shared" si="4"/>
        <v>14.6</v>
      </c>
      <c r="I22" s="24">
        <v>133</v>
      </c>
      <c r="J22" s="24">
        <v>141.1</v>
      </c>
      <c r="K22" s="24">
        <f t="shared" si="5"/>
        <v>8.1</v>
      </c>
      <c r="L22" s="24"/>
      <c r="M22" s="24"/>
      <c r="N22" s="24">
        <f t="shared" si="6"/>
        <v>0</v>
      </c>
    </row>
    <row r="23" spans="1:14" ht="15" customHeight="1" x14ac:dyDescent="0.25">
      <c r="A23" s="50">
        <v>15</v>
      </c>
      <c r="B23" s="52" t="s">
        <v>245</v>
      </c>
      <c r="C23" s="24">
        <f t="shared" si="1"/>
        <v>35</v>
      </c>
      <c r="D23" s="24">
        <f t="shared" si="2"/>
        <v>36</v>
      </c>
      <c r="E23" s="24">
        <f t="shared" si="3"/>
        <v>1</v>
      </c>
      <c r="F23" s="24">
        <v>14.7</v>
      </c>
      <c r="G23" s="24">
        <v>11.8</v>
      </c>
      <c r="H23" s="24">
        <f t="shared" si="4"/>
        <v>-2.9</v>
      </c>
      <c r="I23" s="24">
        <v>20.3</v>
      </c>
      <c r="J23" s="24">
        <v>24.2</v>
      </c>
      <c r="K23" s="24">
        <f t="shared" si="5"/>
        <v>3.9</v>
      </c>
      <c r="L23" s="24"/>
      <c r="M23" s="24"/>
      <c r="N23" s="24">
        <f t="shared" si="6"/>
        <v>0</v>
      </c>
    </row>
    <row r="24" spans="1:14" x14ac:dyDescent="0.25">
      <c r="A24" s="50">
        <v>16</v>
      </c>
      <c r="B24" s="38" t="s">
        <v>1</v>
      </c>
      <c r="C24" s="25">
        <f>+C9+C10+C14+C19</f>
        <v>8125.6</v>
      </c>
      <c r="D24" s="25">
        <f t="shared" ref="D24:N24" si="9">+D9+D10+D14+D19</f>
        <v>7971.2</v>
      </c>
      <c r="E24" s="25">
        <f t="shared" si="9"/>
        <v>-154.4</v>
      </c>
      <c r="F24" s="25">
        <f t="shared" si="9"/>
        <v>5283.1</v>
      </c>
      <c r="G24" s="25">
        <f t="shared" si="9"/>
        <v>5175</v>
      </c>
      <c r="H24" s="25">
        <f t="shared" si="9"/>
        <v>-108.1</v>
      </c>
      <c r="I24" s="25">
        <f t="shared" si="9"/>
        <v>1465.1</v>
      </c>
      <c r="J24" s="25">
        <f t="shared" si="9"/>
        <v>1467.3</v>
      </c>
      <c r="K24" s="25">
        <f t="shared" si="9"/>
        <v>2.2000000000000002</v>
      </c>
      <c r="L24" s="25">
        <f t="shared" si="9"/>
        <v>1377.4</v>
      </c>
      <c r="M24" s="59">
        <f t="shared" si="9"/>
        <v>1328.9</v>
      </c>
      <c r="N24" s="25">
        <f t="shared" si="9"/>
        <v>-48.5</v>
      </c>
    </row>
    <row r="25" spans="1:14" x14ac:dyDescent="0.25">
      <c r="A25" s="53"/>
      <c r="B25" s="54"/>
      <c r="M25" s="56"/>
    </row>
    <row r="26" spans="1:14" s="56" customFormat="1" x14ac:dyDescent="0.25">
      <c r="A26" s="53"/>
      <c r="B26" s="55"/>
      <c r="C26" s="76"/>
    </row>
    <row r="27" spans="1:14" x14ac:dyDescent="0.25">
      <c r="A27" s="53"/>
      <c r="B27" s="57"/>
    </row>
    <row r="28" spans="1:14" x14ac:dyDescent="0.25">
      <c r="A28" s="53"/>
      <c r="B28" s="57"/>
    </row>
    <row r="29" spans="1:14" x14ac:dyDescent="0.25">
      <c r="A29" s="27"/>
      <c r="B29" s="58"/>
    </row>
    <row r="30" spans="1:14" x14ac:dyDescent="0.25">
      <c r="B30" s="5"/>
    </row>
    <row r="31" spans="1:14" x14ac:dyDescent="0.25">
      <c r="B31" s="5"/>
    </row>
    <row r="32" spans="1:14" x14ac:dyDescent="0.25">
      <c r="B32" s="5"/>
    </row>
    <row r="33" spans="2:2" x14ac:dyDescent="0.25">
      <c r="B33" s="5"/>
    </row>
  </sheetData>
  <mergeCells count="8">
    <mergeCell ref="A5:A7"/>
    <mergeCell ref="B5:B7"/>
    <mergeCell ref="A2:N2"/>
    <mergeCell ref="C5:E6"/>
    <mergeCell ref="F5:N5"/>
    <mergeCell ref="F6:H6"/>
    <mergeCell ref="I6:K6"/>
    <mergeCell ref="L6:N6"/>
  </mergeCells>
  <pageMargins left="0.78740157480314965" right="0.31496062992125984" top="0.78740157480314965" bottom="0.39370078740157483" header="0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"/>
  <sheetViews>
    <sheetView workbookViewId="0">
      <selection activeCell="E20" sqref="E20"/>
    </sheetView>
  </sheetViews>
  <sheetFormatPr defaultRowHeight="15" x14ac:dyDescent="0.2"/>
  <cols>
    <col min="1" max="1" width="4.28515625" style="82" customWidth="1"/>
    <col min="2" max="2" width="56.42578125" style="82" customWidth="1"/>
    <col min="3" max="3" width="11.42578125" style="82" customWidth="1"/>
    <col min="4" max="4" width="10.5703125" style="103" customWidth="1"/>
    <col min="5" max="5" width="10.5703125" style="82" customWidth="1"/>
    <col min="6" max="7" width="9.140625" style="82"/>
    <col min="8" max="8" width="10.7109375" style="82" bestFit="1" customWidth="1"/>
    <col min="9" max="256" width="9.140625" style="82"/>
    <col min="257" max="257" width="4.28515625" style="82" customWidth="1"/>
    <col min="258" max="258" width="56.42578125" style="82" customWidth="1"/>
    <col min="259" max="259" width="11.42578125" style="82" customWidth="1"/>
    <col min="260" max="261" width="10.5703125" style="82" customWidth="1"/>
    <col min="262" max="263" width="9.140625" style="82"/>
    <col min="264" max="264" width="10.7109375" style="82" bestFit="1" customWidth="1"/>
    <col min="265" max="512" width="9.140625" style="82"/>
    <col min="513" max="513" width="4.28515625" style="82" customWidth="1"/>
    <col min="514" max="514" width="56.42578125" style="82" customWidth="1"/>
    <col min="515" max="515" width="11.42578125" style="82" customWidth="1"/>
    <col min="516" max="517" width="10.5703125" style="82" customWidth="1"/>
    <col min="518" max="519" width="9.140625" style="82"/>
    <col min="520" max="520" width="10.7109375" style="82" bestFit="1" customWidth="1"/>
    <col min="521" max="768" width="9.140625" style="82"/>
    <col min="769" max="769" width="4.28515625" style="82" customWidth="1"/>
    <col min="770" max="770" width="56.42578125" style="82" customWidth="1"/>
    <col min="771" max="771" width="11.42578125" style="82" customWidth="1"/>
    <col min="772" max="773" width="10.5703125" style="82" customWidth="1"/>
    <col min="774" max="775" width="9.140625" style="82"/>
    <col min="776" max="776" width="10.7109375" style="82" bestFit="1" customWidth="1"/>
    <col min="777" max="1024" width="9.140625" style="82"/>
    <col min="1025" max="1025" width="4.28515625" style="82" customWidth="1"/>
    <col min="1026" max="1026" width="56.42578125" style="82" customWidth="1"/>
    <col min="1027" max="1027" width="11.42578125" style="82" customWidth="1"/>
    <col min="1028" max="1029" width="10.5703125" style="82" customWidth="1"/>
    <col min="1030" max="1031" width="9.140625" style="82"/>
    <col min="1032" max="1032" width="10.7109375" style="82" bestFit="1" customWidth="1"/>
    <col min="1033" max="1280" width="9.140625" style="82"/>
    <col min="1281" max="1281" width="4.28515625" style="82" customWidth="1"/>
    <col min="1282" max="1282" width="56.42578125" style="82" customWidth="1"/>
    <col min="1283" max="1283" width="11.42578125" style="82" customWidth="1"/>
    <col min="1284" max="1285" width="10.5703125" style="82" customWidth="1"/>
    <col min="1286" max="1287" width="9.140625" style="82"/>
    <col min="1288" max="1288" width="10.7109375" style="82" bestFit="1" customWidth="1"/>
    <col min="1289" max="1536" width="9.140625" style="82"/>
    <col min="1537" max="1537" width="4.28515625" style="82" customWidth="1"/>
    <col min="1538" max="1538" width="56.42578125" style="82" customWidth="1"/>
    <col min="1539" max="1539" width="11.42578125" style="82" customWidth="1"/>
    <col min="1540" max="1541" width="10.5703125" style="82" customWidth="1"/>
    <col min="1542" max="1543" width="9.140625" style="82"/>
    <col min="1544" max="1544" width="10.7109375" style="82" bestFit="1" customWidth="1"/>
    <col min="1545" max="1792" width="9.140625" style="82"/>
    <col min="1793" max="1793" width="4.28515625" style="82" customWidth="1"/>
    <col min="1794" max="1794" width="56.42578125" style="82" customWidth="1"/>
    <col min="1795" max="1795" width="11.42578125" style="82" customWidth="1"/>
    <col min="1796" max="1797" width="10.5703125" style="82" customWidth="1"/>
    <col min="1798" max="1799" width="9.140625" style="82"/>
    <col min="1800" max="1800" width="10.7109375" style="82" bestFit="1" customWidth="1"/>
    <col min="1801" max="2048" width="9.140625" style="82"/>
    <col min="2049" max="2049" width="4.28515625" style="82" customWidth="1"/>
    <col min="2050" max="2050" width="56.42578125" style="82" customWidth="1"/>
    <col min="2051" max="2051" width="11.42578125" style="82" customWidth="1"/>
    <col min="2052" max="2053" width="10.5703125" style="82" customWidth="1"/>
    <col min="2054" max="2055" width="9.140625" style="82"/>
    <col min="2056" max="2056" width="10.7109375" style="82" bestFit="1" customWidth="1"/>
    <col min="2057" max="2304" width="9.140625" style="82"/>
    <col min="2305" max="2305" width="4.28515625" style="82" customWidth="1"/>
    <col min="2306" max="2306" width="56.42578125" style="82" customWidth="1"/>
    <col min="2307" max="2307" width="11.42578125" style="82" customWidth="1"/>
    <col min="2308" max="2309" width="10.5703125" style="82" customWidth="1"/>
    <col min="2310" max="2311" width="9.140625" style="82"/>
    <col min="2312" max="2312" width="10.7109375" style="82" bestFit="1" customWidth="1"/>
    <col min="2313" max="2560" width="9.140625" style="82"/>
    <col min="2561" max="2561" width="4.28515625" style="82" customWidth="1"/>
    <col min="2562" max="2562" width="56.42578125" style="82" customWidth="1"/>
    <col min="2563" max="2563" width="11.42578125" style="82" customWidth="1"/>
    <col min="2564" max="2565" width="10.5703125" style="82" customWidth="1"/>
    <col min="2566" max="2567" width="9.140625" style="82"/>
    <col min="2568" max="2568" width="10.7109375" style="82" bestFit="1" customWidth="1"/>
    <col min="2569" max="2816" width="9.140625" style="82"/>
    <col min="2817" max="2817" width="4.28515625" style="82" customWidth="1"/>
    <col min="2818" max="2818" width="56.42578125" style="82" customWidth="1"/>
    <col min="2819" max="2819" width="11.42578125" style="82" customWidth="1"/>
    <col min="2820" max="2821" width="10.5703125" style="82" customWidth="1"/>
    <col min="2822" max="2823" width="9.140625" style="82"/>
    <col min="2824" max="2824" width="10.7109375" style="82" bestFit="1" customWidth="1"/>
    <col min="2825" max="3072" width="9.140625" style="82"/>
    <col min="3073" max="3073" width="4.28515625" style="82" customWidth="1"/>
    <col min="3074" max="3074" width="56.42578125" style="82" customWidth="1"/>
    <col min="3075" max="3075" width="11.42578125" style="82" customWidth="1"/>
    <col min="3076" max="3077" width="10.5703125" style="82" customWidth="1"/>
    <col min="3078" max="3079" width="9.140625" style="82"/>
    <col min="3080" max="3080" width="10.7109375" style="82" bestFit="1" customWidth="1"/>
    <col min="3081" max="3328" width="9.140625" style="82"/>
    <col min="3329" max="3329" width="4.28515625" style="82" customWidth="1"/>
    <col min="3330" max="3330" width="56.42578125" style="82" customWidth="1"/>
    <col min="3331" max="3331" width="11.42578125" style="82" customWidth="1"/>
    <col min="3332" max="3333" width="10.5703125" style="82" customWidth="1"/>
    <col min="3334" max="3335" width="9.140625" style="82"/>
    <col min="3336" max="3336" width="10.7109375" style="82" bestFit="1" customWidth="1"/>
    <col min="3337" max="3584" width="9.140625" style="82"/>
    <col min="3585" max="3585" width="4.28515625" style="82" customWidth="1"/>
    <col min="3586" max="3586" width="56.42578125" style="82" customWidth="1"/>
    <col min="3587" max="3587" width="11.42578125" style="82" customWidth="1"/>
    <col min="3588" max="3589" width="10.5703125" style="82" customWidth="1"/>
    <col min="3590" max="3591" width="9.140625" style="82"/>
    <col min="3592" max="3592" width="10.7109375" style="82" bestFit="1" customWidth="1"/>
    <col min="3593" max="3840" width="9.140625" style="82"/>
    <col min="3841" max="3841" width="4.28515625" style="82" customWidth="1"/>
    <col min="3842" max="3842" width="56.42578125" style="82" customWidth="1"/>
    <col min="3843" max="3843" width="11.42578125" style="82" customWidth="1"/>
    <col min="3844" max="3845" width="10.5703125" style="82" customWidth="1"/>
    <col min="3846" max="3847" width="9.140625" style="82"/>
    <col min="3848" max="3848" width="10.7109375" style="82" bestFit="1" customWidth="1"/>
    <col min="3849" max="4096" width="9.140625" style="82"/>
    <col min="4097" max="4097" width="4.28515625" style="82" customWidth="1"/>
    <col min="4098" max="4098" width="56.42578125" style="82" customWidth="1"/>
    <col min="4099" max="4099" width="11.42578125" style="82" customWidth="1"/>
    <col min="4100" max="4101" width="10.5703125" style="82" customWidth="1"/>
    <col min="4102" max="4103" width="9.140625" style="82"/>
    <col min="4104" max="4104" width="10.7109375" style="82" bestFit="1" customWidth="1"/>
    <col min="4105" max="4352" width="9.140625" style="82"/>
    <col min="4353" max="4353" width="4.28515625" style="82" customWidth="1"/>
    <col min="4354" max="4354" width="56.42578125" style="82" customWidth="1"/>
    <col min="4355" max="4355" width="11.42578125" style="82" customWidth="1"/>
    <col min="4356" max="4357" width="10.5703125" style="82" customWidth="1"/>
    <col min="4358" max="4359" width="9.140625" style="82"/>
    <col min="4360" max="4360" width="10.7109375" style="82" bestFit="1" customWidth="1"/>
    <col min="4361" max="4608" width="9.140625" style="82"/>
    <col min="4609" max="4609" width="4.28515625" style="82" customWidth="1"/>
    <col min="4610" max="4610" width="56.42578125" style="82" customWidth="1"/>
    <col min="4611" max="4611" width="11.42578125" style="82" customWidth="1"/>
    <col min="4612" max="4613" width="10.5703125" style="82" customWidth="1"/>
    <col min="4614" max="4615" width="9.140625" style="82"/>
    <col min="4616" max="4616" width="10.7109375" style="82" bestFit="1" customWidth="1"/>
    <col min="4617" max="4864" width="9.140625" style="82"/>
    <col min="4865" max="4865" width="4.28515625" style="82" customWidth="1"/>
    <col min="4866" max="4866" width="56.42578125" style="82" customWidth="1"/>
    <col min="4867" max="4867" width="11.42578125" style="82" customWidth="1"/>
    <col min="4868" max="4869" width="10.5703125" style="82" customWidth="1"/>
    <col min="4870" max="4871" width="9.140625" style="82"/>
    <col min="4872" max="4872" width="10.7109375" style="82" bestFit="1" customWidth="1"/>
    <col min="4873" max="5120" width="9.140625" style="82"/>
    <col min="5121" max="5121" width="4.28515625" style="82" customWidth="1"/>
    <col min="5122" max="5122" width="56.42578125" style="82" customWidth="1"/>
    <col min="5123" max="5123" width="11.42578125" style="82" customWidth="1"/>
    <col min="5124" max="5125" width="10.5703125" style="82" customWidth="1"/>
    <col min="5126" max="5127" width="9.140625" style="82"/>
    <col min="5128" max="5128" width="10.7109375" style="82" bestFit="1" customWidth="1"/>
    <col min="5129" max="5376" width="9.140625" style="82"/>
    <col min="5377" max="5377" width="4.28515625" style="82" customWidth="1"/>
    <col min="5378" max="5378" width="56.42578125" style="82" customWidth="1"/>
    <col min="5379" max="5379" width="11.42578125" style="82" customWidth="1"/>
    <col min="5380" max="5381" width="10.5703125" style="82" customWidth="1"/>
    <col min="5382" max="5383" width="9.140625" style="82"/>
    <col min="5384" max="5384" width="10.7109375" style="82" bestFit="1" customWidth="1"/>
    <col min="5385" max="5632" width="9.140625" style="82"/>
    <col min="5633" max="5633" width="4.28515625" style="82" customWidth="1"/>
    <col min="5634" max="5634" width="56.42578125" style="82" customWidth="1"/>
    <col min="5635" max="5635" width="11.42578125" style="82" customWidth="1"/>
    <col min="5636" max="5637" width="10.5703125" style="82" customWidth="1"/>
    <col min="5638" max="5639" width="9.140625" style="82"/>
    <col min="5640" max="5640" width="10.7109375" style="82" bestFit="1" customWidth="1"/>
    <col min="5641" max="5888" width="9.140625" style="82"/>
    <col min="5889" max="5889" width="4.28515625" style="82" customWidth="1"/>
    <col min="5890" max="5890" width="56.42578125" style="82" customWidth="1"/>
    <col min="5891" max="5891" width="11.42578125" style="82" customWidth="1"/>
    <col min="5892" max="5893" width="10.5703125" style="82" customWidth="1"/>
    <col min="5894" max="5895" width="9.140625" style="82"/>
    <col min="5896" max="5896" width="10.7109375" style="82" bestFit="1" customWidth="1"/>
    <col min="5897" max="6144" width="9.140625" style="82"/>
    <col min="6145" max="6145" width="4.28515625" style="82" customWidth="1"/>
    <col min="6146" max="6146" width="56.42578125" style="82" customWidth="1"/>
    <col min="6147" max="6147" width="11.42578125" style="82" customWidth="1"/>
    <col min="6148" max="6149" width="10.5703125" style="82" customWidth="1"/>
    <col min="6150" max="6151" width="9.140625" style="82"/>
    <col min="6152" max="6152" width="10.7109375" style="82" bestFit="1" customWidth="1"/>
    <col min="6153" max="6400" width="9.140625" style="82"/>
    <col min="6401" max="6401" width="4.28515625" style="82" customWidth="1"/>
    <col min="6402" max="6402" width="56.42578125" style="82" customWidth="1"/>
    <col min="6403" max="6403" width="11.42578125" style="82" customWidth="1"/>
    <col min="6404" max="6405" width="10.5703125" style="82" customWidth="1"/>
    <col min="6406" max="6407" width="9.140625" style="82"/>
    <col min="6408" max="6408" width="10.7109375" style="82" bestFit="1" customWidth="1"/>
    <col min="6409" max="6656" width="9.140625" style="82"/>
    <col min="6657" max="6657" width="4.28515625" style="82" customWidth="1"/>
    <col min="6658" max="6658" width="56.42578125" style="82" customWidth="1"/>
    <col min="6659" max="6659" width="11.42578125" style="82" customWidth="1"/>
    <col min="6660" max="6661" width="10.5703125" style="82" customWidth="1"/>
    <col min="6662" max="6663" width="9.140625" style="82"/>
    <col min="6664" max="6664" width="10.7109375" style="82" bestFit="1" customWidth="1"/>
    <col min="6665" max="6912" width="9.140625" style="82"/>
    <col min="6913" max="6913" width="4.28515625" style="82" customWidth="1"/>
    <col min="6914" max="6914" width="56.42578125" style="82" customWidth="1"/>
    <col min="6915" max="6915" width="11.42578125" style="82" customWidth="1"/>
    <col min="6916" max="6917" width="10.5703125" style="82" customWidth="1"/>
    <col min="6918" max="6919" width="9.140625" style="82"/>
    <col min="6920" max="6920" width="10.7109375" style="82" bestFit="1" customWidth="1"/>
    <col min="6921" max="7168" width="9.140625" style="82"/>
    <col min="7169" max="7169" width="4.28515625" style="82" customWidth="1"/>
    <col min="7170" max="7170" width="56.42578125" style="82" customWidth="1"/>
    <col min="7171" max="7171" width="11.42578125" style="82" customWidth="1"/>
    <col min="7172" max="7173" width="10.5703125" style="82" customWidth="1"/>
    <col min="7174" max="7175" width="9.140625" style="82"/>
    <col min="7176" max="7176" width="10.7109375" style="82" bestFit="1" customWidth="1"/>
    <col min="7177" max="7424" width="9.140625" style="82"/>
    <col min="7425" max="7425" width="4.28515625" style="82" customWidth="1"/>
    <col min="7426" max="7426" width="56.42578125" style="82" customWidth="1"/>
    <col min="7427" max="7427" width="11.42578125" style="82" customWidth="1"/>
    <col min="7428" max="7429" width="10.5703125" style="82" customWidth="1"/>
    <col min="7430" max="7431" width="9.140625" style="82"/>
    <col min="7432" max="7432" width="10.7109375" style="82" bestFit="1" customWidth="1"/>
    <col min="7433" max="7680" width="9.140625" style="82"/>
    <col min="7681" max="7681" width="4.28515625" style="82" customWidth="1"/>
    <col min="7682" max="7682" width="56.42578125" style="82" customWidth="1"/>
    <col min="7683" max="7683" width="11.42578125" style="82" customWidth="1"/>
    <col min="7684" max="7685" width="10.5703125" style="82" customWidth="1"/>
    <col min="7686" max="7687" width="9.140625" style="82"/>
    <col min="7688" max="7688" width="10.7109375" style="82" bestFit="1" customWidth="1"/>
    <col min="7689" max="7936" width="9.140625" style="82"/>
    <col min="7937" max="7937" width="4.28515625" style="82" customWidth="1"/>
    <col min="7938" max="7938" width="56.42578125" style="82" customWidth="1"/>
    <col min="7939" max="7939" width="11.42578125" style="82" customWidth="1"/>
    <col min="7940" max="7941" width="10.5703125" style="82" customWidth="1"/>
    <col min="7942" max="7943" width="9.140625" style="82"/>
    <col min="7944" max="7944" width="10.7109375" style="82" bestFit="1" customWidth="1"/>
    <col min="7945" max="8192" width="9.140625" style="82"/>
    <col min="8193" max="8193" width="4.28515625" style="82" customWidth="1"/>
    <col min="8194" max="8194" width="56.42578125" style="82" customWidth="1"/>
    <col min="8195" max="8195" width="11.42578125" style="82" customWidth="1"/>
    <col min="8196" max="8197" width="10.5703125" style="82" customWidth="1"/>
    <col min="8198" max="8199" width="9.140625" style="82"/>
    <col min="8200" max="8200" width="10.7109375" style="82" bestFit="1" customWidth="1"/>
    <col min="8201" max="8448" width="9.140625" style="82"/>
    <col min="8449" max="8449" width="4.28515625" style="82" customWidth="1"/>
    <col min="8450" max="8450" width="56.42578125" style="82" customWidth="1"/>
    <col min="8451" max="8451" width="11.42578125" style="82" customWidth="1"/>
    <col min="8452" max="8453" width="10.5703125" style="82" customWidth="1"/>
    <col min="8454" max="8455" width="9.140625" style="82"/>
    <col min="8456" max="8456" width="10.7109375" style="82" bestFit="1" customWidth="1"/>
    <col min="8457" max="8704" width="9.140625" style="82"/>
    <col min="8705" max="8705" width="4.28515625" style="82" customWidth="1"/>
    <col min="8706" max="8706" width="56.42578125" style="82" customWidth="1"/>
    <col min="8707" max="8707" width="11.42578125" style="82" customWidth="1"/>
    <col min="8708" max="8709" width="10.5703125" style="82" customWidth="1"/>
    <col min="8710" max="8711" width="9.140625" style="82"/>
    <col min="8712" max="8712" width="10.7109375" style="82" bestFit="1" customWidth="1"/>
    <col min="8713" max="8960" width="9.140625" style="82"/>
    <col min="8961" max="8961" width="4.28515625" style="82" customWidth="1"/>
    <col min="8962" max="8962" width="56.42578125" style="82" customWidth="1"/>
    <col min="8963" max="8963" width="11.42578125" style="82" customWidth="1"/>
    <col min="8964" max="8965" width="10.5703125" style="82" customWidth="1"/>
    <col min="8966" max="8967" width="9.140625" style="82"/>
    <col min="8968" max="8968" width="10.7109375" style="82" bestFit="1" customWidth="1"/>
    <col min="8969" max="9216" width="9.140625" style="82"/>
    <col min="9217" max="9217" width="4.28515625" style="82" customWidth="1"/>
    <col min="9218" max="9218" width="56.42578125" style="82" customWidth="1"/>
    <col min="9219" max="9219" width="11.42578125" style="82" customWidth="1"/>
    <col min="9220" max="9221" width="10.5703125" style="82" customWidth="1"/>
    <col min="9222" max="9223" width="9.140625" style="82"/>
    <col min="9224" max="9224" width="10.7109375" style="82" bestFit="1" customWidth="1"/>
    <col min="9225" max="9472" width="9.140625" style="82"/>
    <col min="9473" max="9473" width="4.28515625" style="82" customWidth="1"/>
    <col min="9474" max="9474" width="56.42578125" style="82" customWidth="1"/>
    <col min="9475" max="9475" width="11.42578125" style="82" customWidth="1"/>
    <col min="9476" max="9477" width="10.5703125" style="82" customWidth="1"/>
    <col min="9478" max="9479" width="9.140625" style="82"/>
    <col min="9480" max="9480" width="10.7109375" style="82" bestFit="1" customWidth="1"/>
    <col min="9481" max="9728" width="9.140625" style="82"/>
    <col min="9729" max="9729" width="4.28515625" style="82" customWidth="1"/>
    <col min="9730" max="9730" width="56.42578125" style="82" customWidth="1"/>
    <col min="9731" max="9731" width="11.42578125" style="82" customWidth="1"/>
    <col min="9732" max="9733" width="10.5703125" style="82" customWidth="1"/>
    <col min="9734" max="9735" width="9.140625" style="82"/>
    <col min="9736" max="9736" width="10.7109375" style="82" bestFit="1" customWidth="1"/>
    <col min="9737" max="9984" width="9.140625" style="82"/>
    <col min="9985" max="9985" width="4.28515625" style="82" customWidth="1"/>
    <col min="9986" max="9986" width="56.42578125" style="82" customWidth="1"/>
    <col min="9987" max="9987" width="11.42578125" style="82" customWidth="1"/>
    <col min="9988" max="9989" width="10.5703125" style="82" customWidth="1"/>
    <col min="9990" max="9991" width="9.140625" style="82"/>
    <col min="9992" max="9992" width="10.7109375" style="82" bestFit="1" customWidth="1"/>
    <col min="9993" max="10240" width="9.140625" style="82"/>
    <col min="10241" max="10241" width="4.28515625" style="82" customWidth="1"/>
    <col min="10242" max="10242" width="56.42578125" style="82" customWidth="1"/>
    <col min="10243" max="10243" width="11.42578125" style="82" customWidth="1"/>
    <col min="10244" max="10245" width="10.5703125" style="82" customWidth="1"/>
    <col min="10246" max="10247" width="9.140625" style="82"/>
    <col min="10248" max="10248" width="10.7109375" style="82" bestFit="1" customWidth="1"/>
    <col min="10249" max="10496" width="9.140625" style="82"/>
    <col min="10497" max="10497" width="4.28515625" style="82" customWidth="1"/>
    <col min="10498" max="10498" width="56.42578125" style="82" customWidth="1"/>
    <col min="10499" max="10499" width="11.42578125" style="82" customWidth="1"/>
    <col min="10500" max="10501" width="10.5703125" style="82" customWidth="1"/>
    <col min="10502" max="10503" width="9.140625" style="82"/>
    <col min="10504" max="10504" width="10.7109375" style="82" bestFit="1" customWidth="1"/>
    <col min="10505" max="10752" width="9.140625" style="82"/>
    <col min="10753" max="10753" width="4.28515625" style="82" customWidth="1"/>
    <col min="10754" max="10754" width="56.42578125" style="82" customWidth="1"/>
    <col min="10755" max="10755" width="11.42578125" style="82" customWidth="1"/>
    <col min="10756" max="10757" width="10.5703125" style="82" customWidth="1"/>
    <col min="10758" max="10759" width="9.140625" style="82"/>
    <col min="10760" max="10760" width="10.7109375" style="82" bestFit="1" customWidth="1"/>
    <col min="10761" max="11008" width="9.140625" style="82"/>
    <col min="11009" max="11009" width="4.28515625" style="82" customWidth="1"/>
    <col min="11010" max="11010" width="56.42578125" style="82" customWidth="1"/>
    <col min="11011" max="11011" width="11.42578125" style="82" customWidth="1"/>
    <col min="11012" max="11013" width="10.5703125" style="82" customWidth="1"/>
    <col min="11014" max="11015" width="9.140625" style="82"/>
    <col min="11016" max="11016" width="10.7109375" style="82" bestFit="1" customWidth="1"/>
    <col min="11017" max="11264" width="9.140625" style="82"/>
    <col min="11265" max="11265" width="4.28515625" style="82" customWidth="1"/>
    <col min="11266" max="11266" width="56.42578125" style="82" customWidth="1"/>
    <col min="11267" max="11267" width="11.42578125" style="82" customWidth="1"/>
    <col min="11268" max="11269" width="10.5703125" style="82" customWidth="1"/>
    <col min="11270" max="11271" width="9.140625" style="82"/>
    <col min="11272" max="11272" width="10.7109375" style="82" bestFit="1" customWidth="1"/>
    <col min="11273" max="11520" width="9.140625" style="82"/>
    <col min="11521" max="11521" width="4.28515625" style="82" customWidth="1"/>
    <col min="11522" max="11522" width="56.42578125" style="82" customWidth="1"/>
    <col min="11523" max="11523" width="11.42578125" style="82" customWidth="1"/>
    <col min="11524" max="11525" width="10.5703125" style="82" customWidth="1"/>
    <col min="11526" max="11527" width="9.140625" style="82"/>
    <col min="11528" max="11528" width="10.7109375" style="82" bestFit="1" customWidth="1"/>
    <col min="11529" max="11776" width="9.140625" style="82"/>
    <col min="11777" max="11777" width="4.28515625" style="82" customWidth="1"/>
    <col min="11778" max="11778" width="56.42578125" style="82" customWidth="1"/>
    <col min="11779" max="11779" width="11.42578125" style="82" customWidth="1"/>
    <col min="11780" max="11781" width="10.5703125" style="82" customWidth="1"/>
    <col min="11782" max="11783" width="9.140625" style="82"/>
    <col min="11784" max="11784" width="10.7109375" style="82" bestFit="1" customWidth="1"/>
    <col min="11785" max="12032" width="9.140625" style="82"/>
    <col min="12033" max="12033" width="4.28515625" style="82" customWidth="1"/>
    <col min="12034" max="12034" width="56.42578125" style="82" customWidth="1"/>
    <col min="12035" max="12035" width="11.42578125" style="82" customWidth="1"/>
    <col min="12036" max="12037" width="10.5703125" style="82" customWidth="1"/>
    <col min="12038" max="12039" width="9.140625" style="82"/>
    <col min="12040" max="12040" width="10.7109375" style="82" bestFit="1" customWidth="1"/>
    <col min="12041" max="12288" width="9.140625" style="82"/>
    <col min="12289" max="12289" width="4.28515625" style="82" customWidth="1"/>
    <col min="12290" max="12290" width="56.42578125" style="82" customWidth="1"/>
    <col min="12291" max="12291" width="11.42578125" style="82" customWidth="1"/>
    <col min="12292" max="12293" width="10.5703125" style="82" customWidth="1"/>
    <col min="12294" max="12295" width="9.140625" style="82"/>
    <col min="12296" max="12296" width="10.7109375" style="82" bestFit="1" customWidth="1"/>
    <col min="12297" max="12544" width="9.140625" style="82"/>
    <col min="12545" max="12545" width="4.28515625" style="82" customWidth="1"/>
    <col min="12546" max="12546" width="56.42578125" style="82" customWidth="1"/>
    <col min="12547" max="12547" width="11.42578125" style="82" customWidth="1"/>
    <col min="12548" max="12549" width="10.5703125" style="82" customWidth="1"/>
    <col min="12550" max="12551" width="9.140625" style="82"/>
    <col min="12552" max="12552" width="10.7109375" style="82" bestFit="1" customWidth="1"/>
    <col min="12553" max="12800" width="9.140625" style="82"/>
    <col min="12801" max="12801" width="4.28515625" style="82" customWidth="1"/>
    <col min="12802" max="12802" width="56.42578125" style="82" customWidth="1"/>
    <col min="12803" max="12803" width="11.42578125" style="82" customWidth="1"/>
    <col min="12804" max="12805" width="10.5703125" style="82" customWidth="1"/>
    <col min="12806" max="12807" width="9.140625" style="82"/>
    <col min="12808" max="12808" width="10.7109375" style="82" bestFit="1" customWidth="1"/>
    <col min="12809" max="13056" width="9.140625" style="82"/>
    <col min="13057" max="13057" width="4.28515625" style="82" customWidth="1"/>
    <col min="13058" max="13058" width="56.42578125" style="82" customWidth="1"/>
    <col min="13059" max="13059" width="11.42578125" style="82" customWidth="1"/>
    <col min="13060" max="13061" width="10.5703125" style="82" customWidth="1"/>
    <col min="13062" max="13063" width="9.140625" style="82"/>
    <col min="13064" max="13064" width="10.7109375" style="82" bestFit="1" customWidth="1"/>
    <col min="13065" max="13312" width="9.140625" style="82"/>
    <col min="13313" max="13313" width="4.28515625" style="82" customWidth="1"/>
    <col min="13314" max="13314" width="56.42578125" style="82" customWidth="1"/>
    <col min="13315" max="13315" width="11.42578125" style="82" customWidth="1"/>
    <col min="13316" max="13317" width="10.5703125" style="82" customWidth="1"/>
    <col min="13318" max="13319" width="9.140625" style="82"/>
    <col min="13320" max="13320" width="10.7109375" style="82" bestFit="1" customWidth="1"/>
    <col min="13321" max="13568" width="9.140625" style="82"/>
    <col min="13569" max="13569" width="4.28515625" style="82" customWidth="1"/>
    <col min="13570" max="13570" width="56.42578125" style="82" customWidth="1"/>
    <col min="13571" max="13571" width="11.42578125" style="82" customWidth="1"/>
    <col min="13572" max="13573" width="10.5703125" style="82" customWidth="1"/>
    <col min="13574" max="13575" width="9.140625" style="82"/>
    <col min="13576" max="13576" width="10.7109375" style="82" bestFit="1" customWidth="1"/>
    <col min="13577" max="13824" width="9.140625" style="82"/>
    <col min="13825" max="13825" width="4.28515625" style="82" customWidth="1"/>
    <col min="13826" max="13826" width="56.42578125" style="82" customWidth="1"/>
    <col min="13827" max="13827" width="11.42578125" style="82" customWidth="1"/>
    <col min="13828" max="13829" width="10.5703125" style="82" customWidth="1"/>
    <col min="13830" max="13831" width="9.140625" style="82"/>
    <col min="13832" max="13832" width="10.7109375" style="82" bestFit="1" customWidth="1"/>
    <col min="13833" max="14080" width="9.140625" style="82"/>
    <col min="14081" max="14081" width="4.28515625" style="82" customWidth="1"/>
    <col min="14082" max="14082" width="56.42578125" style="82" customWidth="1"/>
    <col min="14083" max="14083" width="11.42578125" style="82" customWidth="1"/>
    <col min="14084" max="14085" width="10.5703125" style="82" customWidth="1"/>
    <col min="14086" max="14087" width="9.140625" style="82"/>
    <col min="14088" max="14088" width="10.7109375" style="82" bestFit="1" customWidth="1"/>
    <col min="14089" max="14336" width="9.140625" style="82"/>
    <col min="14337" max="14337" width="4.28515625" style="82" customWidth="1"/>
    <col min="14338" max="14338" width="56.42578125" style="82" customWidth="1"/>
    <col min="14339" max="14339" width="11.42578125" style="82" customWidth="1"/>
    <col min="14340" max="14341" width="10.5703125" style="82" customWidth="1"/>
    <col min="14342" max="14343" width="9.140625" style="82"/>
    <col min="14344" max="14344" width="10.7109375" style="82" bestFit="1" customWidth="1"/>
    <col min="14345" max="14592" width="9.140625" style="82"/>
    <col min="14593" max="14593" width="4.28515625" style="82" customWidth="1"/>
    <col min="14594" max="14594" width="56.42578125" style="82" customWidth="1"/>
    <col min="14595" max="14595" width="11.42578125" style="82" customWidth="1"/>
    <col min="14596" max="14597" width="10.5703125" style="82" customWidth="1"/>
    <col min="14598" max="14599" width="9.140625" style="82"/>
    <col min="14600" max="14600" width="10.7109375" style="82" bestFit="1" customWidth="1"/>
    <col min="14601" max="14848" width="9.140625" style="82"/>
    <col min="14849" max="14849" width="4.28515625" style="82" customWidth="1"/>
    <col min="14850" max="14850" width="56.42578125" style="82" customWidth="1"/>
    <col min="14851" max="14851" width="11.42578125" style="82" customWidth="1"/>
    <col min="14852" max="14853" width="10.5703125" style="82" customWidth="1"/>
    <col min="14854" max="14855" width="9.140625" style="82"/>
    <col min="14856" max="14856" width="10.7109375" style="82" bestFit="1" customWidth="1"/>
    <col min="14857" max="15104" width="9.140625" style="82"/>
    <col min="15105" max="15105" width="4.28515625" style="82" customWidth="1"/>
    <col min="15106" max="15106" width="56.42578125" style="82" customWidth="1"/>
    <col min="15107" max="15107" width="11.42578125" style="82" customWidth="1"/>
    <col min="15108" max="15109" width="10.5703125" style="82" customWidth="1"/>
    <col min="15110" max="15111" width="9.140625" style="82"/>
    <col min="15112" max="15112" width="10.7109375" style="82" bestFit="1" customWidth="1"/>
    <col min="15113" max="15360" width="9.140625" style="82"/>
    <col min="15361" max="15361" width="4.28515625" style="82" customWidth="1"/>
    <col min="15362" max="15362" width="56.42578125" style="82" customWidth="1"/>
    <col min="15363" max="15363" width="11.42578125" style="82" customWidth="1"/>
    <col min="15364" max="15365" width="10.5703125" style="82" customWidth="1"/>
    <col min="15366" max="15367" width="9.140625" style="82"/>
    <col min="15368" max="15368" width="10.7109375" style="82" bestFit="1" customWidth="1"/>
    <col min="15369" max="15616" width="9.140625" style="82"/>
    <col min="15617" max="15617" width="4.28515625" style="82" customWidth="1"/>
    <col min="15618" max="15618" width="56.42578125" style="82" customWidth="1"/>
    <col min="15619" max="15619" width="11.42578125" style="82" customWidth="1"/>
    <col min="15620" max="15621" width="10.5703125" style="82" customWidth="1"/>
    <col min="15622" max="15623" width="9.140625" style="82"/>
    <col min="15624" max="15624" width="10.7109375" style="82" bestFit="1" customWidth="1"/>
    <col min="15625" max="15872" width="9.140625" style="82"/>
    <col min="15873" max="15873" width="4.28515625" style="82" customWidth="1"/>
    <col min="15874" max="15874" width="56.42578125" style="82" customWidth="1"/>
    <col min="15875" max="15875" width="11.42578125" style="82" customWidth="1"/>
    <col min="15876" max="15877" width="10.5703125" style="82" customWidth="1"/>
    <col min="15878" max="15879" width="9.140625" style="82"/>
    <col min="15880" max="15880" width="10.7109375" style="82" bestFit="1" customWidth="1"/>
    <col min="15881" max="16128" width="9.140625" style="82"/>
    <col min="16129" max="16129" width="4.28515625" style="82" customWidth="1"/>
    <col min="16130" max="16130" width="56.42578125" style="82" customWidth="1"/>
    <col min="16131" max="16131" width="11.42578125" style="82" customWidth="1"/>
    <col min="16132" max="16133" width="10.5703125" style="82" customWidth="1"/>
    <col min="16134" max="16135" width="9.140625" style="82"/>
    <col min="16136" max="16136" width="10.7109375" style="82" bestFit="1" customWidth="1"/>
    <col min="16137" max="16384" width="9.140625" style="82"/>
  </cols>
  <sheetData>
    <row r="1" spans="1:256" ht="15.75" x14ac:dyDescent="0.25">
      <c r="A1" s="79"/>
      <c r="B1" s="80"/>
      <c r="C1" s="80"/>
      <c r="D1" s="81"/>
      <c r="E1" s="80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</row>
    <row r="2" spans="1:256" ht="39.75" customHeight="1" x14ac:dyDescent="0.25">
      <c r="A2" s="79"/>
      <c r="B2" s="126" t="s">
        <v>274</v>
      </c>
      <c r="C2" s="126"/>
      <c r="D2" s="126"/>
      <c r="E2" s="126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</row>
    <row r="3" spans="1:256" ht="14.25" customHeight="1" x14ac:dyDescent="0.25">
      <c r="A3" s="79"/>
      <c r="B3" s="83"/>
      <c r="C3" s="83"/>
      <c r="D3" s="83"/>
      <c r="E3" s="83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</row>
    <row r="4" spans="1:256" ht="15.75" x14ac:dyDescent="0.25">
      <c r="A4" s="79"/>
      <c r="B4" s="84"/>
      <c r="C4" s="84"/>
      <c r="D4" s="85"/>
      <c r="E4" s="86" t="s">
        <v>275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</row>
    <row r="5" spans="1:256" ht="47.25" x14ac:dyDescent="0.25">
      <c r="A5" s="87" t="s">
        <v>276</v>
      </c>
      <c r="B5" s="87" t="s">
        <v>277</v>
      </c>
      <c r="C5" s="87" t="s">
        <v>214</v>
      </c>
      <c r="D5" s="88" t="s">
        <v>247</v>
      </c>
      <c r="E5" s="87" t="s">
        <v>278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</row>
    <row r="6" spans="1:256" ht="15.75" x14ac:dyDescent="0.25">
      <c r="A6" s="87">
        <v>1</v>
      </c>
      <c r="B6" s="87">
        <v>2</v>
      </c>
      <c r="C6" s="89">
        <v>3</v>
      </c>
      <c r="D6" s="89">
        <v>4</v>
      </c>
      <c r="E6" s="87">
        <v>5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</row>
    <row r="7" spans="1:256" ht="63" x14ac:dyDescent="0.25">
      <c r="A7" s="90">
        <v>1</v>
      </c>
      <c r="B7" s="91" t="s">
        <v>279</v>
      </c>
      <c r="C7" s="89"/>
      <c r="D7" s="92">
        <v>2489</v>
      </c>
      <c r="E7" s="87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</row>
    <row r="8" spans="1:256" ht="15.75" x14ac:dyDescent="0.25">
      <c r="A8" s="90">
        <v>7</v>
      </c>
      <c r="B8" s="93" t="s">
        <v>1</v>
      </c>
      <c r="C8" s="94">
        <v>29000</v>
      </c>
      <c r="D8" s="95">
        <f>+D7</f>
        <v>2489</v>
      </c>
      <c r="E8" s="94">
        <f>C8-D8</f>
        <v>26511</v>
      </c>
    </row>
    <row r="9" spans="1:256" ht="15.75" x14ac:dyDescent="0.25">
      <c r="A9" s="96"/>
      <c r="B9" s="97"/>
      <c r="C9" s="98"/>
      <c r="D9" s="99"/>
      <c r="E9" s="100"/>
    </row>
    <row r="10" spans="1:256" x14ac:dyDescent="0.2">
      <c r="B10" s="101"/>
      <c r="C10" s="101"/>
      <c r="D10" s="102"/>
    </row>
    <row r="12" spans="1:256" ht="15.75" x14ac:dyDescent="0.25">
      <c r="B12" s="1"/>
    </row>
    <row r="14" spans="1:256" x14ac:dyDescent="0.2">
      <c r="D14" s="104"/>
    </row>
  </sheetData>
  <mergeCells count="1">
    <mergeCell ref="B2:E2"/>
  </mergeCells>
  <pageMargins left="0.70866141732283472" right="0.39370078740157483" top="0.74803149606299213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7</vt:i4>
      </vt:variant>
    </vt:vector>
  </HeadingPairs>
  <TitlesOfParts>
    <vt:vector size="13" baseType="lpstr">
      <vt:lpstr>1 priedas. pajamos </vt:lpstr>
      <vt:lpstr>1 priedas. asignavimai</vt:lpstr>
      <vt:lpstr>2 priedas.</vt:lpstr>
      <vt:lpstr>3 priedas</vt:lpstr>
      <vt:lpstr>4 priedas</vt:lpstr>
      <vt:lpstr>5 priedas</vt:lpstr>
      <vt:lpstr>'1 priedas. asignavimai'!Print_Titles</vt:lpstr>
      <vt:lpstr>'1 priedas. pajamos '!Print_Titles</vt:lpstr>
      <vt:lpstr>'2 priedas.'!Print_Titles</vt:lpstr>
      <vt:lpstr>'3 priedas'!Print_Titles</vt:lpstr>
      <vt:lpstr>'4 priedas'!Print_Titles</vt:lpstr>
      <vt:lpstr>'1 priedas. pajamos '!registravimoDataIlga</vt:lpstr>
      <vt:lpstr>'1 priedas. pajamos '!registravimoNr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2018-05-23T12:59:19Z</cp:lastPrinted>
  <dcterms:created xsi:type="dcterms:W3CDTF">2013-11-22T06:09:34Z</dcterms:created>
  <dcterms:modified xsi:type="dcterms:W3CDTF">2018-09-18T07:17:38Z</dcterms:modified>
</cp:coreProperties>
</file>