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Palaimiene\Desktop\GRUODŽIO PROJEKTAI\"/>
    </mc:Choice>
  </mc:AlternateContent>
  <bookViews>
    <workbookView xWindow="30" yWindow="3105" windowWidth="15480" windowHeight="8280"/>
  </bookViews>
  <sheets>
    <sheet name="6 programa" sheetId="9" r:id="rId1"/>
    <sheet name="Lyginamasis variantas" sheetId="10" r:id="rId2"/>
    <sheet name="aiškinamoji lentelė" sheetId="5" state="hidden" r:id="rId3"/>
  </sheets>
  <definedNames>
    <definedName name="_xlnm.Print_Area" localSheetId="0">'6 programa'!$A$1:$N$264</definedName>
    <definedName name="_xlnm.Print_Area" localSheetId="2">'aiškinamoji lentelė'!$A$1:$S$272</definedName>
    <definedName name="_xlnm.Print_Area" localSheetId="1">'Lyginamasis variantas'!$A$1:$U$270</definedName>
    <definedName name="_xlnm.Print_Titles" localSheetId="0">'6 programa'!$8:$10</definedName>
    <definedName name="_xlnm.Print_Titles" localSheetId="2">'aiškinamoji lentelė'!$6:$8</definedName>
    <definedName name="_xlnm.Print_Titles" localSheetId="1">'Lyginamasis variantas'!$7:$9</definedName>
  </definedNames>
  <calcPr calcId="162913" fullPrecision="0"/>
</workbook>
</file>

<file path=xl/calcChain.xml><?xml version="1.0" encoding="utf-8"?>
<calcChain xmlns="http://schemas.openxmlformats.org/spreadsheetml/2006/main">
  <c r="I97" i="10" l="1"/>
  <c r="J97" i="10" l="1"/>
  <c r="H97" i="10"/>
  <c r="H56" i="9"/>
  <c r="J62" i="10"/>
  <c r="I62" i="10"/>
  <c r="H62" i="10"/>
  <c r="H80" i="10"/>
  <c r="I80" i="10"/>
  <c r="I78" i="10"/>
  <c r="H78" i="10"/>
  <c r="K78" i="10"/>
  <c r="L78" i="10"/>
  <c r="K56" i="10"/>
  <c r="L56" i="10"/>
  <c r="H56" i="10"/>
  <c r="I56" i="10"/>
  <c r="H60" i="10"/>
  <c r="I60" i="10"/>
  <c r="H58" i="10"/>
  <c r="I58" i="10"/>
  <c r="K38" i="10"/>
  <c r="L38" i="10"/>
  <c r="H38" i="10"/>
  <c r="I38" i="10"/>
  <c r="N14" i="10"/>
  <c r="O14" i="10"/>
  <c r="K14" i="10"/>
  <c r="L14" i="10"/>
  <c r="H14" i="10"/>
  <c r="I14" i="10"/>
  <c r="K90" i="10"/>
  <c r="L90" i="10"/>
  <c r="H90" i="10"/>
  <c r="I90" i="10"/>
  <c r="K112" i="10"/>
  <c r="H167" i="10"/>
  <c r="I167" i="10"/>
  <c r="H203" i="10"/>
  <c r="K241" i="10"/>
  <c r="H241" i="10"/>
  <c r="H105" i="9" l="1"/>
  <c r="L264" i="10" l="1"/>
  <c r="I108" i="9" l="1"/>
  <c r="L112" i="10"/>
  <c r="L119" i="10" s="1"/>
  <c r="K119" i="10" l="1"/>
  <c r="L101" i="5"/>
  <c r="P119" i="10" l="1"/>
  <c r="I111" i="10"/>
  <c r="M119" i="10"/>
  <c r="I119" i="10" l="1"/>
  <c r="I203" i="10" l="1"/>
  <c r="J119" i="10" l="1"/>
  <c r="L265" i="5" l="1"/>
  <c r="J260" i="9"/>
  <c r="I260" i="9"/>
  <c r="H260" i="9"/>
  <c r="H266" i="10"/>
  <c r="N261" i="10"/>
  <c r="K261" i="10"/>
  <c r="O261" i="10"/>
  <c r="L83" i="5"/>
  <c r="I264" i="10"/>
  <c r="I235" i="9"/>
  <c r="H235" i="9"/>
  <c r="L244" i="5"/>
  <c r="K244" i="5"/>
  <c r="L241" i="10"/>
  <c r="I241" i="10"/>
  <c r="H87" i="9"/>
  <c r="K83" i="5"/>
  <c r="H91" i="9"/>
  <c r="H59" i="9"/>
  <c r="K55" i="5"/>
  <c r="H57" i="9" l="1"/>
  <c r="I55" i="9"/>
  <c r="H55" i="9"/>
  <c r="H60" i="9"/>
  <c r="L61" i="5"/>
  <c r="K62" i="5"/>
  <c r="K61" i="5"/>
  <c r="K60" i="5"/>
  <c r="I38" i="9"/>
  <c r="H38" i="9"/>
  <c r="L46" i="5"/>
  <c r="K46" i="5"/>
  <c r="L42" i="5"/>
  <c r="K42" i="5"/>
  <c r="I55" i="10"/>
  <c r="I15" i="9" l="1"/>
  <c r="H15" i="9"/>
  <c r="L24" i="5"/>
  <c r="K24" i="5"/>
  <c r="I37" i="10" l="1"/>
  <c r="M37" i="10"/>
  <c r="J15" i="9"/>
  <c r="K17" i="5"/>
  <c r="K73" i="5" l="1"/>
  <c r="L70" i="5"/>
  <c r="K70" i="5"/>
  <c r="K69" i="5"/>
  <c r="I79" i="10"/>
  <c r="I266" i="10" s="1"/>
  <c r="I76" i="9" l="1"/>
  <c r="H76" i="9"/>
  <c r="H79" i="9"/>
  <c r="P93" i="10" l="1"/>
  <c r="K207" i="5" l="1"/>
  <c r="H197" i="9"/>
  <c r="K168" i="5" l="1"/>
  <c r="H160" i="9"/>
  <c r="J261" i="10"/>
  <c r="K241" i="5" l="1"/>
  <c r="K238" i="5"/>
  <c r="K233" i="5"/>
  <c r="K231" i="5"/>
  <c r="K177" i="5"/>
  <c r="H55" i="10" l="1"/>
  <c r="H205" i="10"/>
  <c r="H240" i="10" s="1"/>
  <c r="K200" i="10"/>
  <c r="H165" i="10"/>
  <c r="H131" i="10"/>
  <c r="H129" i="10"/>
  <c r="L87" i="5" l="1"/>
  <c r="N90" i="10" l="1"/>
  <c r="O90" i="10"/>
  <c r="K109" i="10"/>
  <c r="L109" i="10"/>
  <c r="I109" i="10"/>
  <c r="H77" i="10"/>
  <c r="N56" i="10"/>
  <c r="H261" i="10"/>
  <c r="O56" i="10"/>
  <c r="O75" i="10" s="1"/>
  <c r="I75" i="10" l="1"/>
  <c r="O109" i="10"/>
  <c r="J87" i="9" l="1"/>
  <c r="N109" i="10" l="1"/>
  <c r="K125" i="5" l="1"/>
  <c r="K119" i="5"/>
  <c r="H158" i="9"/>
  <c r="H122" i="9"/>
  <c r="I165" i="10"/>
  <c r="I129" i="10"/>
  <c r="J55" i="9" l="1"/>
  <c r="N155" i="5" l="1"/>
  <c r="M155" i="5"/>
  <c r="L155" i="5"/>
  <c r="K155" i="5"/>
  <c r="M260" i="5" l="1"/>
  <c r="L247" i="5"/>
  <c r="L149" i="5"/>
  <c r="M264" i="5"/>
  <c r="M262" i="5"/>
  <c r="N269" i="5"/>
  <c r="M270" i="5"/>
  <c r="M269" i="5"/>
  <c r="M268" i="5"/>
  <c r="M267" i="5"/>
  <c r="M265" i="5"/>
  <c r="M263" i="5"/>
  <c r="M259" i="5"/>
  <c r="K229" i="5"/>
  <c r="K228" i="5"/>
  <c r="M203" i="5"/>
  <c r="N203" i="5"/>
  <c r="K118" i="5"/>
  <c r="K142" i="5" s="1"/>
  <c r="M83" i="5"/>
  <c r="M96" i="5" s="1"/>
  <c r="N96" i="5"/>
  <c r="M266" i="5" l="1"/>
  <c r="L67" i="5" l="1"/>
  <c r="K52" i="5"/>
  <c r="K57" i="5"/>
  <c r="K261" i="5" l="1"/>
  <c r="M67" i="5"/>
  <c r="M41" i="5"/>
  <c r="M261" i="5" s="1"/>
  <c r="L41" i="5"/>
  <c r="L50" i="5" s="1"/>
  <c r="R122" i="5" l="1"/>
  <c r="R121" i="5"/>
  <c r="M247" i="5"/>
  <c r="M238" i="5"/>
  <c r="M243" i="5" s="1"/>
  <c r="M184" i="5"/>
  <c r="M178" i="5"/>
  <c r="M180" i="5" s="1"/>
  <c r="M152" i="5"/>
  <c r="M149" i="5"/>
  <c r="M122" i="5"/>
  <c r="M113" i="5"/>
  <c r="M108" i="5"/>
  <c r="M80" i="5"/>
  <c r="M50" i="5"/>
  <c r="M35" i="5"/>
  <c r="M204" i="5" l="1"/>
  <c r="M248" i="5"/>
  <c r="M142" i="5"/>
  <c r="M156" i="5" s="1"/>
  <c r="M258" i="5"/>
  <c r="M257" i="5" s="1"/>
  <c r="M256" i="5" s="1"/>
  <c r="M271" i="5" s="1"/>
  <c r="M114" i="5"/>
  <c r="M249" i="5" l="1"/>
  <c r="M250" i="5" s="1"/>
  <c r="L200" i="10" l="1"/>
  <c r="I178" i="9"/>
  <c r="I194" i="9" s="1"/>
  <c r="J158" i="10" l="1"/>
  <c r="H37" i="9" l="1"/>
  <c r="O89" i="10" l="1"/>
  <c r="N89" i="10"/>
  <c r="O55" i="10"/>
  <c r="N254" i="10"/>
  <c r="O258" i="10"/>
  <c r="P162" i="10"/>
  <c r="P264" i="10"/>
  <c r="O264" i="10"/>
  <c r="M109" i="10" l="1"/>
  <c r="P109" i="10"/>
  <c r="P37" i="10" l="1"/>
  <c r="O254" i="10" l="1"/>
  <c r="O37" i="10"/>
  <c r="L75" i="10"/>
  <c r="M75" i="10" l="1"/>
  <c r="J39" i="9"/>
  <c r="I39" i="9"/>
  <c r="H39" i="9"/>
  <c r="P55" i="10"/>
  <c r="M55" i="10"/>
  <c r="P200" i="10" l="1"/>
  <c r="P201" i="10" s="1"/>
  <c r="M200" i="10"/>
  <c r="J200" i="10"/>
  <c r="J55" i="10" l="1"/>
  <c r="J37" i="10"/>
  <c r="M162" i="10"/>
  <c r="M201" i="10"/>
  <c r="J125" i="10"/>
  <c r="I125" i="10"/>
  <c r="P75" i="10" l="1"/>
  <c r="H75" i="9" l="1"/>
  <c r="I77" i="10"/>
  <c r="P89" i="10"/>
  <c r="P126" i="10" s="1"/>
  <c r="M126" i="10" l="1"/>
  <c r="J258" i="10"/>
  <c r="H123" i="9" l="1"/>
  <c r="H124" i="9" l="1"/>
  <c r="H255" i="9" l="1"/>
  <c r="J75" i="10"/>
  <c r="H174" i="9"/>
  <c r="O257" i="10"/>
  <c r="N257" i="10"/>
  <c r="L257" i="10"/>
  <c r="K257" i="10"/>
  <c r="I257" i="10"/>
  <c r="H257" i="10"/>
  <c r="M257" i="10" l="1"/>
  <c r="P257" i="10"/>
  <c r="J257" i="10"/>
  <c r="J260" i="10"/>
  <c r="J161" i="10"/>
  <c r="P240" i="10"/>
  <c r="M240" i="10"/>
  <c r="P244" i="10"/>
  <c r="M244" i="10"/>
  <c r="M245" i="10" l="1"/>
  <c r="M246" i="10" s="1"/>
  <c r="M247" i="10" s="1"/>
  <c r="P245" i="10"/>
  <c r="P246" i="10" s="1"/>
  <c r="P247" i="10" s="1"/>
  <c r="L37" i="10"/>
  <c r="H199" i="9" l="1"/>
  <c r="J181" i="10"/>
  <c r="J201" i="10" s="1"/>
  <c r="I131" i="10"/>
  <c r="I261" i="10" s="1"/>
  <c r="I154" i="10" l="1"/>
  <c r="J154" i="10"/>
  <c r="J162" i="10" s="1"/>
  <c r="J240" i="10"/>
  <c r="L258" i="10"/>
  <c r="N266" i="10"/>
  <c r="N265" i="10"/>
  <c r="N264" i="10"/>
  <c r="N260" i="10"/>
  <c r="N258" i="10"/>
  <c r="P258" i="10" s="1"/>
  <c r="N256" i="10"/>
  <c r="N255" i="10"/>
  <c r="P254" i="10"/>
  <c r="L266" i="10"/>
  <c r="L265" i="10"/>
  <c r="L263" i="10"/>
  <c r="L261" i="10"/>
  <c r="L260" i="10"/>
  <c r="L255" i="10"/>
  <c r="L254" i="10"/>
  <c r="I265" i="10"/>
  <c r="I263" i="10"/>
  <c r="I260" i="10"/>
  <c r="I256" i="10"/>
  <c r="I255" i="10"/>
  <c r="N253" i="10" l="1"/>
  <c r="T136" i="10" l="1"/>
  <c r="T135" i="10"/>
  <c r="N244" i="10"/>
  <c r="N240" i="10"/>
  <c r="N187" i="10"/>
  <c r="N200" i="10" s="1"/>
  <c r="N184" i="10"/>
  <c r="N181" i="10"/>
  <c r="N161" i="10"/>
  <c r="N158" i="10"/>
  <c r="N130" i="10"/>
  <c r="N125" i="10"/>
  <c r="N119" i="10"/>
  <c r="N75" i="10"/>
  <c r="N55" i="10"/>
  <c r="N37" i="10"/>
  <c r="L244" i="10"/>
  <c r="L240" i="10"/>
  <c r="L184" i="10"/>
  <c r="L181" i="10"/>
  <c r="L161" i="10"/>
  <c r="L155" i="10"/>
  <c r="L130" i="10"/>
  <c r="L125" i="10"/>
  <c r="L89" i="10"/>
  <c r="L55" i="10"/>
  <c r="I244" i="10"/>
  <c r="I205" i="10"/>
  <c r="I198" i="10"/>
  <c r="I184" i="10"/>
  <c r="I181" i="10"/>
  <c r="I161" i="10"/>
  <c r="I158" i="10"/>
  <c r="I89" i="10"/>
  <c r="K266" i="10"/>
  <c r="M266" i="10" s="1"/>
  <c r="J266" i="10"/>
  <c r="O265" i="10"/>
  <c r="P265" i="10" s="1"/>
  <c r="K265" i="10"/>
  <c r="M265" i="10" s="1"/>
  <c r="H265" i="10"/>
  <c r="J265" i="10" s="1"/>
  <c r="K264" i="10"/>
  <c r="M264" i="10" s="1"/>
  <c r="H264" i="10"/>
  <c r="J264" i="10" s="1"/>
  <c r="K263" i="10"/>
  <c r="H263" i="10"/>
  <c r="J263" i="10" s="1"/>
  <c r="P261" i="10"/>
  <c r="M261" i="10"/>
  <c r="O260" i="10"/>
  <c r="P260" i="10" s="1"/>
  <c r="K260" i="10"/>
  <c r="M260" i="10" s="1"/>
  <c r="H260" i="10"/>
  <c r="K258" i="10"/>
  <c r="M258" i="10" s="1"/>
  <c r="O256" i="10"/>
  <c r="P256" i="10" s="1"/>
  <c r="H256" i="10"/>
  <c r="J256" i="10" s="1"/>
  <c r="O255" i="10"/>
  <c r="K255" i="10"/>
  <c r="M255" i="10" s="1"/>
  <c r="H255" i="10"/>
  <c r="J255" i="10" s="1"/>
  <c r="K254" i="10"/>
  <c r="M254" i="10" s="1"/>
  <c r="O244" i="10"/>
  <c r="K244" i="10"/>
  <c r="O240" i="10"/>
  <c r="K240" i="10"/>
  <c r="H258" i="10"/>
  <c r="H198" i="10"/>
  <c r="O187" i="10"/>
  <c r="O184" i="10"/>
  <c r="K184" i="10"/>
  <c r="H184" i="10"/>
  <c r="O181" i="10"/>
  <c r="K181" i="10"/>
  <c r="H181" i="10"/>
  <c r="O161" i="10"/>
  <c r="K161" i="10"/>
  <c r="H161" i="10"/>
  <c r="O158" i="10"/>
  <c r="H158" i="10"/>
  <c r="K155" i="10"/>
  <c r="K256" i="10" s="1"/>
  <c r="H154" i="10"/>
  <c r="S136" i="10"/>
  <c r="S135" i="10"/>
  <c r="O130" i="10"/>
  <c r="O259" i="10" s="1"/>
  <c r="K130" i="10"/>
  <c r="K259" i="10" s="1"/>
  <c r="O125" i="10"/>
  <c r="K125" i="10"/>
  <c r="H125" i="10"/>
  <c r="O119" i="10"/>
  <c r="H119" i="10"/>
  <c r="J109" i="10"/>
  <c r="K89" i="10"/>
  <c r="H89" i="10"/>
  <c r="K75" i="10"/>
  <c r="H75" i="10"/>
  <c r="K55" i="10"/>
  <c r="K37" i="10"/>
  <c r="H37" i="10"/>
  <c r="H244" i="10" l="1"/>
  <c r="H245" i="10" s="1"/>
  <c r="H259" i="10"/>
  <c r="H200" i="10"/>
  <c r="H201" i="10" s="1"/>
  <c r="K245" i="10"/>
  <c r="O263" i="10"/>
  <c r="O200" i="10"/>
  <c r="O201" i="10" s="1"/>
  <c r="I200" i="10"/>
  <c r="I201" i="10" s="1"/>
  <c r="I259" i="10"/>
  <c r="H109" i="10"/>
  <c r="H126" i="10" s="1"/>
  <c r="I254" i="10"/>
  <c r="I126" i="10"/>
  <c r="P255" i="10"/>
  <c r="P253" i="10" s="1"/>
  <c r="O253" i="10"/>
  <c r="J126" i="10"/>
  <c r="J262" i="10"/>
  <c r="H254" i="10"/>
  <c r="H253" i="10" s="1"/>
  <c r="K154" i="10"/>
  <c r="H162" i="10"/>
  <c r="N245" i="10"/>
  <c r="I240" i="10"/>
  <c r="I245" i="10" s="1"/>
  <c r="I258" i="10"/>
  <c r="N154" i="10"/>
  <c r="N162" i="10" s="1"/>
  <c r="N259" i="10"/>
  <c r="N252" i="10" s="1"/>
  <c r="L154" i="10"/>
  <c r="L259" i="10"/>
  <c r="M259" i="10" s="1"/>
  <c r="N201" i="10"/>
  <c r="N263" i="10"/>
  <c r="N262" i="10" s="1"/>
  <c r="I162" i="10"/>
  <c r="L158" i="10"/>
  <c r="L256" i="10"/>
  <c r="M256" i="10" s="1"/>
  <c r="K262" i="10"/>
  <c r="M263" i="10"/>
  <c r="L126" i="10"/>
  <c r="L245" i="10"/>
  <c r="N126" i="10"/>
  <c r="H262" i="10"/>
  <c r="K126" i="10"/>
  <c r="K201" i="10"/>
  <c r="O245" i="10"/>
  <c r="L201" i="10"/>
  <c r="K253" i="10"/>
  <c r="K252" i="10" s="1"/>
  <c r="K158" i="10"/>
  <c r="O154" i="10"/>
  <c r="O162" i="10" s="1"/>
  <c r="J244" i="10" l="1"/>
  <c r="J245" i="10" s="1"/>
  <c r="J246" i="10" s="1"/>
  <c r="J247" i="10" s="1"/>
  <c r="J254" i="10"/>
  <c r="J253" i="10" s="1"/>
  <c r="N246" i="10"/>
  <c r="N247" i="10" s="1"/>
  <c r="J259" i="10"/>
  <c r="I253" i="10"/>
  <c r="K162" i="10"/>
  <c r="K246" i="10" s="1"/>
  <c r="K247" i="10" s="1"/>
  <c r="H252" i="10"/>
  <c r="H267" i="10" s="1"/>
  <c r="N267" i="10"/>
  <c r="K267" i="10"/>
  <c r="L162" i="10"/>
  <c r="L246" i="10" s="1"/>
  <c r="L247" i="10" s="1"/>
  <c r="I246" i="10"/>
  <c r="I247" i="10" s="1"/>
  <c r="P259" i="10"/>
  <c r="P252" i="10" s="1"/>
  <c r="P263" i="10"/>
  <c r="O252" i="10"/>
  <c r="H246" i="10"/>
  <c r="H247" i="10" s="1"/>
  <c r="L253" i="10"/>
  <c r="L262" i="10"/>
  <c r="M262" i="10" s="1"/>
  <c r="K96" i="5"/>
  <c r="J252" i="10" l="1"/>
  <c r="J267" i="10" s="1"/>
  <c r="L252" i="10"/>
  <c r="M252" i="10" s="1"/>
  <c r="M253" i="10"/>
  <c r="I252" i="10" l="1"/>
  <c r="L267" i="10"/>
  <c r="M267" i="10" s="1"/>
  <c r="I262" i="10"/>
  <c r="H103" i="9"/>
  <c r="I267" i="10" l="1"/>
  <c r="J181" i="9"/>
  <c r="J194" i="9" s="1"/>
  <c r="L188" i="5" l="1"/>
  <c r="L203" i="5" s="1"/>
  <c r="K188" i="5"/>
  <c r="K203" i="5" s="1"/>
  <c r="H192" i="9" l="1"/>
  <c r="H194" i="9" s="1"/>
  <c r="H147" i="9" l="1"/>
  <c r="K264" i="5" l="1"/>
  <c r="I254" i="9"/>
  <c r="H254" i="9"/>
  <c r="I234" i="9"/>
  <c r="J234" i="9"/>
  <c r="H234" i="9"/>
  <c r="N152" i="5"/>
  <c r="L152" i="5"/>
  <c r="K152" i="5"/>
  <c r="J154" i="9" l="1"/>
  <c r="I154" i="9"/>
  <c r="H154" i="9"/>
  <c r="I174" i="9" l="1"/>
  <c r="J174" i="9"/>
  <c r="H151" i="9" l="1"/>
  <c r="H155" i="9" s="1"/>
  <c r="I148" i="9"/>
  <c r="I151" i="9" s="1"/>
  <c r="J151" i="9"/>
  <c r="I123" i="9"/>
  <c r="I147" i="9" s="1"/>
  <c r="J123" i="9"/>
  <c r="J147" i="9" s="1"/>
  <c r="J155" i="9" l="1"/>
  <c r="I155" i="9"/>
  <c r="I86" i="9"/>
  <c r="J86" i="9"/>
  <c r="H86" i="9"/>
  <c r="H118" i="9"/>
  <c r="I118" i="9"/>
  <c r="J118" i="9"/>
  <c r="I112" i="9"/>
  <c r="J112" i="9"/>
  <c r="H112" i="9"/>
  <c r="I103" i="9"/>
  <c r="J103" i="9"/>
  <c r="H73" i="9"/>
  <c r="I73" i="9"/>
  <c r="J73" i="9"/>
  <c r="H54" i="9"/>
  <c r="J54" i="9"/>
  <c r="I54" i="9"/>
  <c r="L96" i="5" l="1"/>
  <c r="K176" i="5" l="1"/>
  <c r="K180" i="5" s="1"/>
  <c r="L176" i="5" l="1"/>
  <c r="L180" i="5" s="1"/>
  <c r="H119" i="9" l="1"/>
  <c r="J37" i="9" l="1"/>
  <c r="I37" i="9"/>
  <c r="J259" i="9" l="1"/>
  <c r="I259" i="9"/>
  <c r="H259" i="9"/>
  <c r="J258" i="9"/>
  <c r="I258" i="9"/>
  <c r="H258" i="9"/>
  <c r="J257" i="9"/>
  <c r="I257" i="9"/>
  <c r="H257" i="9"/>
  <c r="J255" i="9"/>
  <c r="I255" i="9"/>
  <c r="J254" i="9"/>
  <c r="J253" i="9"/>
  <c r="I253" i="9"/>
  <c r="H253" i="9"/>
  <c r="J252" i="9"/>
  <c r="I252" i="9"/>
  <c r="H252" i="9"/>
  <c r="H251" i="9"/>
  <c r="I250" i="9"/>
  <c r="H250" i="9"/>
  <c r="J249" i="9"/>
  <c r="I249" i="9"/>
  <c r="H249" i="9"/>
  <c r="J238" i="9"/>
  <c r="I238" i="9"/>
  <c r="H238" i="9"/>
  <c r="J248" i="9"/>
  <c r="I251" i="9"/>
  <c r="J177" i="9"/>
  <c r="J195" i="9" s="1"/>
  <c r="I177" i="9"/>
  <c r="I195" i="9" s="1"/>
  <c r="H177" i="9"/>
  <c r="H195" i="9" s="1"/>
  <c r="J251" i="9"/>
  <c r="J250" i="9"/>
  <c r="M129" i="9"/>
  <c r="N129" i="9" s="1"/>
  <c r="M128" i="9"/>
  <c r="N128" i="9" s="1"/>
  <c r="I248" i="9" l="1"/>
  <c r="I247" i="9" s="1"/>
  <c r="I246" i="9" s="1"/>
  <c r="H248" i="9"/>
  <c r="H256" i="9"/>
  <c r="H239" i="9"/>
  <c r="J239" i="9"/>
  <c r="J119" i="9"/>
  <c r="J256" i="9"/>
  <c r="I256" i="9"/>
  <c r="J247" i="9"/>
  <c r="J246" i="9" s="1"/>
  <c r="I119" i="9"/>
  <c r="I239" i="9"/>
  <c r="J261" i="9" l="1"/>
  <c r="I261" i="9"/>
  <c r="H247" i="9"/>
  <c r="H246" i="9" s="1"/>
  <c r="H261" i="9" s="1"/>
  <c r="I240" i="9"/>
  <c r="I241" i="9" s="1"/>
  <c r="J240" i="9"/>
  <c r="J241" i="9" s="1"/>
  <c r="H240" i="9"/>
  <c r="H241" i="9" s="1"/>
  <c r="K184" i="5" l="1"/>
  <c r="N238" i="5" l="1"/>
  <c r="L238" i="5"/>
  <c r="L243" i="5" s="1"/>
  <c r="K35" i="5" l="1"/>
  <c r="L35" i="5"/>
  <c r="K243" i="5" l="1"/>
  <c r="K80" i="5" l="1"/>
  <c r="K247" i="5" l="1"/>
  <c r="K248" i="5" l="1"/>
  <c r="K149" i="5"/>
  <c r="K156" i="5" s="1"/>
  <c r="N149" i="5"/>
  <c r="K38" i="5"/>
  <c r="K53" i="5"/>
  <c r="K67" i="5" s="1"/>
  <c r="K50" i="5" l="1"/>
  <c r="K258" i="5"/>
  <c r="K113" i="5"/>
  <c r="N108" i="5" l="1"/>
  <c r="L108" i="5"/>
  <c r="K108" i="5"/>
  <c r="N80" i="5"/>
  <c r="L80" i="5"/>
  <c r="N67" i="5"/>
  <c r="N50" i="5"/>
  <c r="K114" i="5" l="1"/>
  <c r="N35" i="5"/>
  <c r="K270" i="5" l="1"/>
  <c r="K269" i="5"/>
  <c r="K268" i="5"/>
  <c r="L184" i="5" l="1"/>
  <c r="L204" i="5" s="1"/>
  <c r="N184" i="5"/>
  <c r="N243" i="5" l="1"/>
  <c r="N122" i="5" l="1"/>
  <c r="L122" i="5"/>
  <c r="L142" i="5" s="1"/>
  <c r="Q122" i="5"/>
  <c r="S122" i="5" s="1"/>
  <c r="Q121" i="5"/>
  <c r="S121" i="5" s="1"/>
  <c r="L156" i="5" l="1"/>
  <c r="N142" i="5"/>
  <c r="N156" i="5" s="1"/>
  <c r="N265" i="5"/>
  <c r="K265" i="5"/>
  <c r="N262" i="5"/>
  <c r="L262" i="5"/>
  <c r="K262" i="5"/>
  <c r="N267" i="5"/>
  <c r="L267" i="5"/>
  <c r="K267" i="5"/>
  <c r="K266" i="5" s="1"/>
  <c r="L113" i="5" l="1"/>
  <c r="N113" i="5"/>
  <c r="L114" i="5" l="1"/>
  <c r="N268" i="5" l="1"/>
  <c r="L268" i="5"/>
  <c r="L261" i="5" l="1"/>
  <c r="L258" i="5" l="1"/>
  <c r="N258" i="5" l="1"/>
  <c r="N261" i="5" l="1"/>
  <c r="N260" i="5"/>
  <c r="L260" i="5"/>
  <c r="N259" i="5"/>
  <c r="L259" i="5"/>
  <c r="N270" i="5"/>
  <c r="L257" i="5" l="1"/>
  <c r="K263" i="5" l="1"/>
  <c r="K260" i="5"/>
  <c r="K259" i="5"/>
  <c r="N257" i="5"/>
  <c r="N263" i="5"/>
  <c r="N264" i="5"/>
  <c r="N266" i="5"/>
  <c r="L270" i="5"/>
  <c r="L269" i="5"/>
  <c r="L263" i="5"/>
  <c r="L264" i="5"/>
  <c r="K257" i="5" l="1"/>
  <c r="K256" i="5" s="1"/>
  <c r="L266" i="5"/>
  <c r="L256" i="5"/>
  <c r="N256" i="5"/>
  <c r="L271" i="5" l="1"/>
  <c r="K271" i="5"/>
  <c r="N271" i="5"/>
  <c r="L248" i="5" l="1"/>
  <c r="N247" i="5"/>
  <c r="K204" i="5"/>
  <c r="N180" i="5"/>
  <c r="N204" i="5" s="1"/>
  <c r="K249" i="5" l="1"/>
  <c r="N248" i="5"/>
  <c r="K250" i="5" l="1"/>
  <c r="L249" i="5" l="1"/>
  <c r="L250" i="5" s="1"/>
  <c r="N114" i="5"/>
  <c r="N249" i="5" s="1"/>
  <c r="N250" i="5" s="1"/>
  <c r="O266" i="10"/>
  <c r="P266" i="10" s="1"/>
  <c r="O126" i="10"/>
  <c r="O246" i="10" s="1"/>
  <c r="O247" i="10" s="1"/>
  <c r="O262" i="10" l="1"/>
  <c r="P262" i="10" l="1"/>
  <c r="O267" i="10"/>
  <c r="P267" i="10" l="1"/>
</calcChain>
</file>

<file path=xl/comments1.xml><?xml version="1.0" encoding="utf-8"?>
<comments xmlns="http://schemas.openxmlformats.org/spreadsheetml/2006/main">
  <authors>
    <author>Audra Cepiene</author>
    <author>Saulina Paulauskiene</author>
  </authors>
  <commentList>
    <comment ref="E15"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E19"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D21" authorId="0" shapeId="0">
      <text>
        <r>
          <rPr>
            <b/>
            <sz val="9"/>
            <color indexed="81"/>
            <rFont val="Tahoma"/>
            <family val="2"/>
            <charset val="186"/>
          </rPr>
          <t>SPG protokolas 2016-09-23 Nr. STR-12</t>
        </r>
        <r>
          <rPr>
            <sz val="9"/>
            <color indexed="81"/>
            <rFont val="Tahoma"/>
            <family val="2"/>
            <charset val="186"/>
          </rPr>
          <t xml:space="preserve">
dėl Bastionų g. tiesimo</t>
        </r>
      </text>
    </comment>
    <comment ref="G29"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E38"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K45" authorId="0" shapeId="0">
      <text>
        <r>
          <rPr>
            <sz val="9"/>
            <color indexed="81"/>
            <rFont val="Tahoma"/>
            <family val="2"/>
            <charset val="186"/>
          </rPr>
          <t xml:space="preserve">2020 – 2022 m. siūloma įrengti likusias gatves (Žvaigždžių g., Vėjo g. II-ąjį etapą, Slengių g., Arimų g. atkarpą iki Slengių g., Griaustinio g., Lietaus g., Vaivorykštės g.). </t>
        </r>
      </text>
    </comment>
    <comment ref="D48" authorId="0" shapeId="0">
      <text>
        <r>
          <rPr>
            <b/>
            <sz val="9"/>
            <color indexed="81"/>
            <rFont val="Tahoma"/>
            <family val="2"/>
            <charset val="186"/>
          </rPr>
          <t>SPG protokolas 2016-09-23 Nr. STR-12</t>
        </r>
        <r>
          <rPr>
            <sz val="9"/>
            <color indexed="81"/>
            <rFont val="Tahoma"/>
            <family val="2"/>
            <charset val="186"/>
          </rPr>
          <t xml:space="preserve">
</t>
        </r>
      </text>
    </comment>
    <comment ref="E55"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K66" authorId="0" shapeId="0">
      <text>
        <r>
          <rPr>
            <sz val="9"/>
            <color indexed="81"/>
            <rFont val="Tahoma"/>
            <family val="2"/>
            <charset val="186"/>
          </rPr>
          <t xml:space="preserve">Vienos perėjos techninis proejktas parengtas 2017 m. 2018 m. - kitos perėjos 
</t>
        </r>
      </text>
    </comment>
    <comment ref="D71" authorId="0" shapeId="0">
      <text>
        <r>
          <rPr>
            <b/>
            <sz val="9"/>
            <color indexed="81"/>
            <rFont val="Tahoma"/>
            <family val="2"/>
            <charset val="186"/>
          </rPr>
          <t>Koreguojamas pavadinimas:</t>
        </r>
        <r>
          <rPr>
            <sz val="9"/>
            <color indexed="81"/>
            <rFont val="Tahoma"/>
            <family val="2"/>
            <charset val="186"/>
          </rPr>
          <t xml:space="preserve"> buvo Šilutės plento rekonstravimas: (I etapas – nuo Tilžės g. iki Kauno g.; II etapas – nuo Kauno g. iki Dubysos g.)</t>
        </r>
      </text>
    </comment>
    <comment ref="G72" authorId="0" shapeId="0">
      <text>
        <r>
          <rPr>
            <sz val="9"/>
            <color indexed="81"/>
            <rFont val="Tahoma"/>
            <family val="2"/>
            <charset val="186"/>
          </rPr>
          <t>Gyventojų lėšos</t>
        </r>
      </text>
    </comment>
    <comment ref="E74"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G80" authorId="0" shapeId="0">
      <text>
        <r>
          <rPr>
            <sz val="9"/>
            <color indexed="81"/>
            <rFont val="Tahoma"/>
            <family val="2"/>
            <charset val="186"/>
          </rPr>
          <t xml:space="preserve">AB „Klaipėdos nafta“ skirtia tikslines lėšas 175.000 Eur 
</t>
        </r>
      </text>
    </comment>
    <comment ref="D83" authorId="0" shapeId="0">
      <text>
        <r>
          <rPr>
            <sz val="9"/>
            <color indexed="81"/>
            <rFont val="Tahoma"/>
            <family val="2"/>
            <charset val="186"/>
          </rPr>
          <t>SPG protokolas 2016-09-23 Nr. STR-12</t>
        </r>
      </text>
    </comment>
    <comment ref="E87"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E104"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E121"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L141" authorId="0" shapeId="0">
      <text>
        <r>
          <rPr>
            <sz val="9"/>
            <color indexed="81"/>
            <rFont val="Tahoma"/>
            <family val="2"/>
            <charset val="186"/>
          </rPr>
          <t xml:space="preserve">iš viso bus integruota iki 2020 m.  205 vieš. transporto priemonių
</t>
        </r>
      </text>
    </comment>
    <comment ref="E162"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K165" authorId="0" shapeId="0">
      <text>
        <r>
          <rPr>
            <sz val="9"/>
            <color indexed="81"/>
            <rFont val="Tahoma"/>
            <family val="2"/>
            <charset val="186"/>
          </rPr>
          <t>Pagal projektą "Informacinės kelio ženklų sistemos įrengimas", pabaiga 2018 m.</t>
        </r>
      </text>
    </comment>
    <comment ref="K166" authorId="0" shapeId="0">
      <text>
        <r>
          <rPr>
            <sz val="9"/>
            <color indexed="81"/>
            <rFont val="Tahoma"/>
            <family val="2"/>
            <charset val="186"/>
          </rPr>
          <t xml:space="preserve">Pagal sutartį "Dekoratyvinių kelio ženklų stovų įrengimas", pabaiga 2018 m. </t>
        </r>
      </text>
    </comment>
    <comment ref="K167" authorId="0" shapeId="0">
      <text>
        <r>
          <rPr>
            <sz val="9"/>
            <color indexed="81"/>
            <rFont val="Tahoma"/>
            <family val="2"/>
            <charset val="186"/>
          </rPr>
          <t>(Tilžės g. ir Sausio 15-osios g. sankryžoje, Baltijos prospekte atkarpoje tarp Šilutės pl. ir Taikos pr., Šilutės pl. prie AB „Klaipėdos energija“, Taikos pr. ties Žvejų rūmais)</t>
        </r>
      </text>
    </comment>
    <comment ref="K176"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E182"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text>
    </comment>
    <comment ref="E185" authorId="0" shapeId="0">
      <text>
        <r>
          <rPr>
            <b/>
            <sz val="9"/>
            <color indexed="81"/>
            <rFont val="Tahoma"/>
            <family val="2"/>
            <charset val="186"/>
          </rPr>
          <t xml:space="preserve">2.1.2.5. </t>
        </r>
        <r>
          <rPr>
            <sz val="9"/>
            <color indexed="81"/>
            <rFont val="Tahoma"/>
            <family val="2"/>
            <charset val="186"/>
          </rPr>
          <t>Sudaryti sąlygas naujų ekologiškų viešojo transporto rūšių atsiradimui</t>
        </r>
      </text>
    </comment>
    <comment ref="D189" authorId="0" shapeId="0">
      <text>
        <r>
          <rPr>
            <sz val="9"/>
            <color indexed="81"/>
            <rFont val="Tahoma"/>
            <family val="2"/>
            <charset val="186"/>
          </rPr>
          <t>Priemonė įtraukta pagal darnaus judumo priemonių planą, el. paštu</t>
        </r>
      </text>
    </comment>
    <comment ref="E189"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Centrinėje miesto dalyje suformuoti pėsčiųjų takų, zonų ir gatvių tinklą 2.1.2.7</t>
        </r>
      </text>
    </comment>
    <comment ref="E192"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193"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r>
          <rPr>
            <b/>
            <sz val="9"/>
            <color indexed="81"/>
            <rFont val="Tahoma"/>
            <family val="2"/>
            <charset val="186"/>
          </rPr>
          <t xml:space="preserve">
</t>
        </r>
        <r>
          <rPr>
            <sz val="9"/>
            <color indexed="81"/>
            <rFont val="Tahoma"/>
            <family val="2"/>
            <charset val="186"/>
          </rPr>
          <t xml:space="preserve">
</t>
        </r>
      </text>
    </comment>
    <comment ref="N224" authorId="1" shapeId="0">
      <text>
        <r>
          <rPr>
            <b/>
            <sz val="9"/>
            <color indexed="81"/>
            <rFont val="Tahoma"/>
            <family val="2"/>
            <charset val="186"/>
          </rPr>
          <t xml:space="preserve">Regina Intienė:
</t>
        </r>
        <r>
          <rPr>
            <sz val="9"/>
            <color indexed="81"/>
            <rFont val="Tahoma"/>
            <family val="2"/>
            <charset val="186"/>
          </rPr>
          <t>duomenys pateikti vadovaujantis 2017-03-30 Klaipėdos miesto savivaldybės Tarybos sprendimu Nr. T2-69 patvirtintu vietinės reikšmės kelių sąrašu</t>
        </r>
      </text>
    </comment>
    <comment ref="K227" authorId="0" shapeId="0">
      <text>
        <r>
          <rPr>
            <b/>
            <sz val="9"/>
            <color indexed="81"/>
            <rFont val="Tahoma"/>
            <family val="2"/>
            <charset val="186"/>
          </rPr>
          <t xml:space="preserve">2018 m.planas
</t>
        </r>
        <r>
          <rPr>
            <sz val="9"/>
            <color indexed="81"/>
            <rFont val="Tahoma"/>
            <family val="2"/>
            <charset val="186"/>
          </rPr>
          <t>- Smiltelės g. (atskiros atkarpos);
- Baltijos pr. (atskiros atkarpos);
- Birutės g. (nuo Sausio 15-osios g. iki Bijūnų g.);
- Bijūnų g. (nuo Taikos pr. iki Birutės g.);
- Tilžės g. (nuo Sausio 15-osios g. iki Komunarų g.);
- Senamiesčio gatvės (pagal poreikį);</t>
        </r>
        <r>
          <rPr>
            <b/>
            <sz val="9"/>
            <color indexed="81"/>
            <rFont val="Tahoma"/>
            <family val="2"/>
            <charset val="186"/>
          </rPr>
          <t xml:space="preserve">
</t>
        </r>
        <r>
          <rPr>
            <sz val="9"/>
            <color indexed="81"/>
            <rFont val="Tahoma"/>
            <family val="2"/>
            <charset val="186"/>
          </rPr>
          <t xml:space="preserve">- Panevėžio g. (nuo Dailidžių g. iki Plytinės g.);
- Verpėjų g. (atskiros atkarpos);
- Kalvos g.;
- J. Zembrickio g.;
- Pievų tako g.
</t>
        </r>
      </text>
    </comment>
    <comment ref="K231" authorId="0" shapeId="0">
      <text>
        <r>
          <rPr>
            <sz val="9"/>
            <color indexed="81"/>
            <rFont val="Tahoma"/>
            <family val="2"/>
            <charset val="186"/>
          </rPr>
          <t xml:space="preserve">UKD 2017 metams pateikė poreikį 2849,8 tūkst. Eur suremontuoti 74 įstaigų kiemus ir privažiavimus. Lėšos paskirstytos per tris metus, 2017-06 29 VS raštaspapildyti priemonės 06.01.04.01.05 „ Kiemų ir privažiuojamųjų kelių prie biudžetinių įstaigų dangos remontas“ rodiklius, įtraukiant Klaipėdos suaugusių gimnaziją (pagal 2017-06-27 VS-3833).
</t>
        </r>
      </text>
    </comment>
    <comment ref="L231" authorId="0" shapeId="0">
      <text>
        <r>
          <rPr>
            <b/>
            <sz val="9"/>
            <color indexed="81"/>
            <rFont val="Tahoma"/>
            <family val="2"/>
            <charset val="186"/>
          </rPr>
          <t>2018 m.</t>
        </r>
        <r>
          <rPr>
            <sz val="9"/>
            <color indexed="81"/>
            <rFont val="Tahoma"/>
            <family val="2"/>
            <charset val="186"/>
          </rPr>
          <t xml:space="preserve"> įstaigos: 8 mokyklos; 11 lopšelių- darželių, Marijos Montesori mokykla
</t>
        </r>
      </text>
    </comment>
    <comment ref="H247" authorId="0" shapeId="0">
      <text>
        <r>
          <rPr>
            <b/>
            <sz val="9"/>
            <color indexed="81"/>
            <rFont val="Tahoma"/>
            <family val="2"/>
            <charset val="186"/>
          </rPr>
          <t>18063,2</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Saulina Paulauskiene</author>
  </authors>
  <commentList>
    <comment ref="E14"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G16"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E19"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D21" authorId="0" shapeId="0">
      <text>
        <r>
          <rPr>
            <b/>
            <sz val="9"/>
            <color indexed="81"/>
            <rFont val="Tahoma"/>
            <family val="2"/>
            <charset val="186"/>
          </rPr>
          <t>SPG protokolas 2016-09-23 Nr. STR-12</t>
        </r>
        <r>
          <rPr>
            <sz val="9"/>
            <color indexed="81"/>
            <rFont val="Tahoma"/>
            <family val="2"/>
            <charset val="186"/>
          </rPr>
          <t xml:space="preserve">
dėl Bastionų g. tiesimo</t>
        </r>
      </text>
    </comment>
    <comment ref="E38"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Q46" authorId="0" shapeId="0">
      <text>
        <r>
          <rPr>
            <sz val="9"/>
            <color indexed="81"/>
            <rFont val="Tahoma"/>
            <family val="2"/>
            <charset val="186"/>
          </rPr>
          <t xml:space="preserve">2020 – 2022 m. siūloma įrengti likusias gatves (Žvaigždžių g., Vėjo g. II-ąjį etapą, Slengių g., Arimų g. atkarpą iki Slengių g., Griaustinio g., Lietaus g., Vaivorykštės g.). </t>
        </r>
      </text>
    </comment>
    <comment ref="D49" authorId="0" shapeId="0">
      <text>
        <r>
          <rPr>
            <b/>
            <sz val="9"/>
            <color indexed="81"/>
            <rFont val="Tahoma"/>
            <family val="2"/>
            <charset val="186"/>
          </rPr>
          <t>SPG protokolas 2016-09-23 Nr. STR-12</t>
        </r>
        <r>
          <rPr>
            <sz val="9"/>
            <color indexed="81"/>
            <rFont val="Tahoma"/>
            <family val="2"/>
            <charset val="186"/>
          </rPr>
          <t xml:space="preserve">
</t>
        </r>
      </text>
    </comment>
    <comment ref="E56"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Q68" authorId="0" shapeId="0">
      <text>
        <r>
          <rPr>
            <sz val="9"/>
            <color indexed="81"/>
            <rFont val="Tahoma"/>
            <family val="2"/>
            <charset val="186"/>
          </rPr>
          <t xml:space="preserve">Vienos perėjos techninis proejktas parengtas 2017 m. 2018 m. - kitos perėjos 
</t>
        </r>
      </text>
    </comment>
    <comment ref="D73" authorId="0" shapeId="0">
      <text>
        <r>
          <rPr>
            <b/>
            <sz val="9"/>
            <color indexed="81"/>
            <rFont val="Tahoma"/>
            <family val="2"/>
            <charset val="186"/>
          </rPr>
          <t>Koreguojamas pavadinimas:</t>
        </r>
        <r>
          <rPr>
            <sz val="9"/>
            <color indexed="81"/>
            <rFont val="Tahoma"/>
            <family val="2"/>
            <charset val="186"/>
          </rPr>
          <t xml:space="preserve"> buvo Šilutės plento rekonstravimas: (I etapas – nuo Tilžės g. iki Kauno g.; II etapas – nuo Kauno g. iki Dubysos g.)</t>
        </r>
      </text>
    </comment>
    <comment ref="G74" authorId="0" shapeId="0">
      <text>
        <r>
          <rPr>
            <sz val="9"/>
            <color indexed="81"/>
            <rFont val="Tahoma"/>
            <family val="2"/>
            <charset val="186"/>
          </rPr>
          <t>Gyventojų lėšos</t>
        </r>
      </text>
    </comment>
    <comment ref="E76"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G79" authorId="0" shapeId="0">
      <text>
        <r>
          <rPr>
            <sz val="9"/>
            <color indexed="81"/>
            <rFont val="Tahoma"/>
            <family val="2"/>
            <charset val="186"/>
          </rPr>
          <t xml:space="preserve">AB „Klaipėdos nafta“ skirtia tikslines lėšas 175.000 Eur 
</t>
        </r>
      </text>
    </comment>
    <comment ref="D86" authorId="0" shapeId="0">
      <text>
        <r>
          <rPr>
            <sz val="9"/>
            <color indexed="81"/>
            <rFont val="Tahoma"/>
            <family val="2"/>
            <charset val="186"/>
          </rPr>
          <t>SPG protokolas 2016-09-23 Nr. STR-12</t>
        </r>
      </text>
    </comment>
    <comment ref="E90"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I97" authorId="0" shapeId="0">
      <text>
        <r>
          <rPr>
            <sz val="9"/>
            <color indexed="81"/>
            <rFont val="Tahoma"/>
            <family val="2"/>
            <charset val="186"/>
          </rPr>
          <t xml:space="preserve">LRSM 2018-11-12 Įsakymas Nr. 3-581 </t>
        </r>
        <r>
          <rPr>
            <b/>
            <sz val="9"/>
            <color indexed="81"/>
            <rFont val="Tahoma"/>
            <family val="2"/>
            <charset val="186"/>
          </rPr>
          <t>(patvirtintos lėšos 592,3 tūkst. eur)</t>
        </r>
        <r>
          <rPr>
            <sz val="9"/>
            <color indexed="81"/>
            <rFont val="Tahoma"/>
            <family val="2"/>
            <charset val="186"/>
          </rPr>
          <t xml:space="preserve">;
2018-08-09 sutartis S-570 </t>
        </r>
        <r>
          <rPr>
            <b/>
            <sz val="9"/>
            <color indexed="81"/>
            <rFont val="Tahoma"/>
            <family val="2"/>
            <charset val="186"/>
          </rPr>
          <t>(lėšos 7,7 tūkst. eur);</t>
        </r>
        <r>
          <rPr>
            <sz val="9"/>
            <color indexed="81"/>
            <rFont val="Tahoma"/>
            <family val="2"/>
            <charset val="186"/>
          </rPr>
          <t xml:space="preserve">
Direktoriaus įsakymas 2018-04-24 Nr. AD1-1016 </t>
        </r>
        <r>
          <rPr>
            <b/>
            <sz val="9"/>
            <color indexed="81"/>
            <rFont val="Tahoma"/>
            <family val="2"/>
            <charset val="186"/>
          </rPr>
          <t>(400 tūkst. eur)</t>
        </r>
      </text>
    </comment>
    <comment ref="E110"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Q111" authorId="0" shapeId="0">
      <text>
        <r>
          <rPr>
            <sz val="9"/>
            <color indexed="81"/>
            <rFont val="Tahoma"/>
            <family val="2"/>
            <charset val="186"/>
          </rPr>
          <t xml:space="preserve">Techn. projekto </t>
        </r>
        <r>
          <rPr>
            <b/>
            <sz val="9"/>
            <color indexed="81"/>
            <rFont val="Tahoma"/>
            <family val="2"/>
            <charset val="186"/>
          </rPr>
          <t>kaina 534 tūkst. eur ir darbai</t>
        </r>
        <r>
          <rPr>
            <sz val="9"/>
            <color indexed="81"/>
            <rFont val="Tahoma"/>
            <family val="2"/>
            <charset val="186"/>
          </rPr>
          <t xml:space="preserve"> </t>
        </r>
        <r>
          <rPr>
            <sz val="8"/>
            <color indexed="81"/>
            <rFont val="Tahoma"/>
            <family val="2"/>
            <charset val="186"/>
          </rPr>
          <t>(Geologinių, topografinių (geodezinių) tyrinėjimo dokumentų parengimas; Techninis projektas; Investicinis projektas; Detaliojo plano koregavimas)</t>
        </r>
      </text>
    </comment>
    <comment ref="E128"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R148" authorId="0" shapeId="0">
      <text>
        <r>
          <rPr>
            <sz val="9"/>
            <color indexed="81"/>
            <rFont val="Tahoma"/>
            <family val="2"/>
            <charset val="186"/>
          </rPr>
          <t xml:space="preserve">iš viso bus integruota iki 2020 m.  205 vieš. transporto priemonių
</t>
        </r>
      </text>
    </comment>
    <comment ref="E169"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Q172" authorId="0" shapeId="0">
      <text>
        <r>
          <rPr>
            <sz val="9"/>
            <color indexed="81"/>
            <rFont val="Tahoma"/>
            <family val="2"/>
            <charset val="186"/>
          </rPr>
          <t>Pagal projektą "Informacinės kelio ženklų sistemos įrengimas", pabaiga 2018 m.</t>
        </r>
      </text>
    </comment>
    <comment ref="Q173" authorId="0" shapeId="0">
      <text>
        <r>
          <rPr>
            <sz val="9"/>
            <color indexed="81"/>
            <rFont val="Tahoma"/>
            <family val="2"/>
            <charset val="186"/>
          </rPr>
          <t xml:space="preserve">Pagal sutartį "Dekoratyvinių kelio ženklų stovų įrengimas", pabaiga 2018 m. </t>
        </r>
      </text>
    </comment>
    <comment ref="Q174" authorId="0" shapeId="0">
      <text>
        <r>
          <rPr>
            <sz val="9"/>
            <color indexed="81"/>
            <rFont val="Tahoma"/>
            <family val="2"/>
            <charset val="186"/>
          </rPr>
          <t>(Tilžės g. ir Sausio 15-osios g. sankryžoje, Baltijos prospekte atkarpoje tarp Šilutės pl. ir Taikos pr., Šilutės pl. prie AB „Klaipėdos energija“, Taikos pr. ties Žvejų rūmais)</t>
        </r>
      </text>
    </comment>
    <comment ref="R180" authorId="0" shapeId="0">
      <text>
        <r>
          <rPr>
            <sz val="9"/>
            <color indexed="81"/>
            <rFont val="Tahoma"/>
            <family val="2"/>
            <charset val="186"/>
          </rPr>
          <t>Kryptinis apšvietimas įrengtas 14-oje perėjų už 88,5 tūkst. Eur., kitos 5 perėjos apmokėtos iš 2017 m. gruodžio finansavimo lėšų. Kadangi atsirado papildomų lėšų iš 01030405 papriemonės, tai 2018 m. planuojama atlikti papildomus darbus - įrengti kryptinį apšvietimą dar 19-oje pėsčiųjų perėjų už 97,5 tūkst. Eur. Tam trūksta 95,9 tūkst.  Eur.</t>
        </r>
      </text>
    </comment>
    <comment ref="Q183"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E188"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text>
    </comment>
    <comment ref="E191" authorId="0" shapeId="0">
      <text>
        <r>
          <rPr>
            <b/>
            <sz val="9"/>
            <color indexed="81"/>
            <rFont val="Tahoma"/>
            <family val="2"/>
            <charset val="186"/>
          </rPr>
          <t xml:space="preserve">2.1.2.5. </t>
        </r>
        <r>
          <rPr>
            <sz val="9"/>
            <color indexed="81"/>
            <rFont val="Tahoma"/>
            <family val="2"/>
            <charset val="186"/>
          </rPr>
          <t>Sudaryti sąlygas naujų ekologiškų viešojo transporto rūšių atsiradimui</t>
        </r>
      </text>
    </comment>
    <comment ref="D195" authorId="0" shapeId="0">
      <text>
        <r>
          <rPr>
            <sz val="9"/>
            <color indexed="81"/>
            <rFont val="Tahoma"/>
            <family val="2"/>
            <charset val="186"/>
          </rPr>
          <t>Priemonė įtraukta pagal darnaus judumo priemonių planą, el. paštu</t>
        </r>
      </text>
    </comment>
    <comment ref="E195"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Centrinėje miesto dalyje suformuoti pėsčiųjų takų, zonų ir gatvių tinklą 2.1.2.7</t>
        </r>
      </text>
    </comment>
    <comment ref="E198"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199"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r>
          <rPr>
            <b/>
            <sz val="9"/>
            <color indexed="81"/>
            <rFont val="Tahoma"/>
            <family val="2"/>
            <charset val="186"/>
          </rPr>
          <t xml:space="preserve">
</t>
        </r>
        <r>
          <rPr>
            <sz val="9"/>
            <color indexed="81"/>
            <rFont val="Tahoma"/>
            <family val="2"/>
            <charset val="186"/>
          </rPr>
          <t xml:space="preserve">
</t>
        </r>
      </text>
    </comment>
    <comment ref="Q199" authorId="0" shapeId="0">
      <text>
        <r>
          <rPr>
            <sz val="9"/>
            <color indexed="81"/>
            <rFont val="Tahoma"/>
            <family val="2"/>
            <charset val="186"/>
          </rPr>
          <t xml:space="preserve">Piliavietės aikštelė – 2 vnt., prie savivaldybės pastato – 2 vnt., P&amp;R aikštelėje – 1 vnt.) </t>
        </r>
      </text>
    </comment>
    <comment ref="T230" authorId="1" shapeId="0">
      <text>
        <r>
          <rPr>
            <b/>
            <sz val="9"/>
            <color indexed="81"/>
            <rFont val="Tahoma"/>
            <family val="2"/>
            <charset val="186"/>
          </rPr>
          <t xml:space="preserve">Regina Intienė:
</t>
        </r>
        <r>
          <rPr>
            <sz val="9"/>
            <color indexed="81"/>
            <rFont val="Tahoma"/>
            <family val="2"/>
            <charset val="186"/>
          </rPr>
          <t>duomenys pateikti vadovaujantis 2017-03-30 Klaipėdos miesto savivaldybės Tarybos sprendimu Nr. T2-69 patvirtintu vietinės reikšmės kelių sąrašu</t>
        </r>
      </text>
    </comment>
    <comment ref="Q233" authorId="0" shapeId="0">
      <text>
        <r>
          <rPr>
            <b/>
            <sz val="9"/>
            <color indexed="81"/>
            <rFont val="Tahoma"/>
            <family val="2"/>
            <charset val="186"/>
          </rPr>
          <t xml:space="preserve">2018 m.planas
</t>
        </r>
        <r>
          <rPr>
            <sz val="9"/>
            <color indexed="81"/>
            <rFont val="Tahoma"/>
            <family val="2"/>
            <charset val="186"/>
          </rPr>
          <t>- Smiltelės g. (atskiros atkarpos);
- Baltijos pr. (atskiros atkarpos);
- Birutės g. (nuo Sausio 15-osios g. iki Bijūnų g.);
- Bijūnų g. (nuo Taikos pr. iki Birutės g.);
- Tilžės g. (nuo Sausio 15-osios g. iki Komunarų g.);
- Senamiesčio gatvės (pagal poreikį);</t>
        </r>
        <r>
          <rPr>
            <b/>
            <sz val="9"/>
            <color indexed="81"/>
            <rFont val="Tahoma"/>
            <family val="2"/>
            <charset val="186"/>
          </rPr>
          <t xml:space="preserve">
</t>
        </r>
        <r>
          <rPr>
            <sz val="9"/>
            <color indexed="81"/>
            <rFont val="Tahoma"/>
            <family val="2"/>
            <charset val="186"/>
          </rPr>
          <t xml:space="preserve">- Panevėžio g. (nuo Dailidžių g. iki Plytinės g.);
- Verpėjų g. (atskiros atkarpos);
- Kalvos g.;
- J. Zembrickio g.;
- Pievų tako g.
</t>
        </r>
      </text>
    </comment>
    <comment ref="Q237" authorId="0" shapeId="0">
      <text>
        <r>
          <rPr>
            <sz val="9"/>
            <color indexed="81"/>
            <rFont val="Tahoma"/>
            <family val="2"/>
            <charset val="186"/>
          </rPr>
          <t xml:space="preserve">UKD 2017 metams pateikė poreikį 2849,8 tūkst. Eur suremontuoti 74 įstaigų kiemus ir privažiavimus. Lėšos paskirstytos per tris metus, 2017-06 29 VS raštaspapildyti priemonės 06.01.04.01.05 „ Kiemų ir privažiuojamųjų kelių prie biudžetinių įstaigų dangos remontas“ rodiklius, įtraukiant Klaipėdos suaugusių gimnaziją (pagal 2017-06-27 VS-3833).
</t>
        </r>
      </text>
    </comment>
    <comment ref="R237" authorId="0" shapeId="0">
      <text>
        <r>
          <rPr>
            <b/>
            <sz val="9"/>
            <color indexed="81"/>
            <rFont val="Tahoma"/>
            <family val="2"/>
            <charset val="186"/>
          </rPr>
          <t>2018 m.</t>
        </r>
        <r>
          <rPr>
            <sz val="9"/>
            <color indexed="81"/>
            <rFont val="Tahoma"/>
            <family val="2"/>
            <charset val="186"/>
          </rPr>
          <t xml:space="preserve"> įstaigos: 8 mokyklos; 11 lopšelių- darželių, Marijos Montesori mokykla
</t>
        </r>
      </text>
    </comment>
    <comment ref="I253" authorId="0" shapeId="0">
      <text>
        <r>
          <rPr>
            <b/>
            <sz val="9"/>
            <color indexed="81"/>
            <rFont val="Tahoma"/>
            <family val="2"/>
            <charset val="186"/>
          </rPr>
          <t xml:space="preserve">18063,2
</t>
        </r>
      </text>
    </comment>
  </commentList>
</comments>
</file>

<file path=xl/comments3.xml><?xml version="1.0" encoding="utf-8"?>
<comments xmlns="http://schemas.openxmlformats.org/spreadsheetml/2006/main">
  <authors>
    <author>Audra Cepiene</author>
  </authors>
  <commentList>
    <comment ref="F13"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F15"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17" authorId="0" shapeId="0">
      <text>
        <r>
          <rPr>
            <b/>
            <sz val="9"/>
            <color indexed="81"/>
            <rFont val="Tahoma"/>
            <family val="2"/>
            <charset val="186"/>
          </rPr>
          <t>SPG protokolas 2016-09-23 Nr. STR-12</t>
        </r>
        <r>
          <rPr>
            <sz val="9"/>
            <color indexed="81"/>
            <rFont val="Tahoma"/>
            <family val="2"/>
            <charset val="186"/>
          </rPr>
          <t xml:space="preserve">
dėl Bastionų g. tiesimo</t>
        </r>
      </text>
    </comment>
    <comment ref="F18"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F21" authorId="0" shapeId="0">
      <text>
        <r>
          <rPr>
            <b/>
            <sz val="9"/>
            <color indexed="81"/>
            <rFont val="Tahoma"/>
            <family val="2"/>
            <charset val="186"/>
          </rPr>
          <t xml:space="preserve">P2.1.2.8
</t>
        </r>
        <r>
          <rPr>
            <sz val="9"/>
            <color indexed="81"/>
            <rFont val="Tahoma"/>
            <family val="2"/>
            <charset val="186"/>
          </rPr>
          <t xml:space="preserve">Centrinėje miesto dalyje suformuoti pėsčiųjų takų, zonų ir gatvių tinklą </t>
        </r>
      </text>
    </comment>
    <comment ref="J27"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F28"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34"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36"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O40" authorId="0" shapeId="0">
      <text>
        <r>
          <rPr>
            <sz val="9"/>
            <color indexed="81"/>
            <rFont val="Tahoma"/>
            <family val="2"/>
            <charset val="186"/>
          </rPr>
          <t xml:space="preserve">2020 – 2022 m. siūloma įrengti likusias gatves (Žvaigždžių g., Vėjo g. II-ąjį etapą, Slengių g., Arimų g. atkarpą iki Slengių g., Griaustinio g., Lietaus g., Vaivorykštės g.). </t>
        </r>
      </text>
    </comment>
    <comment ref="E44" authorId="0" shapeId="0">
      <text>
        <r>
          <rPr>
            <b/>
            <sz val="9"/>
            <color indexed="81"/>
            <rFont val="Tahoma"/>
            <family val="2"/>
            <charset val="186"/>
          </rPr>
          <t>SPG protokolas 2016-09-23 Nr. STR-12</t>
        </r>
        <r>
          <rPr>
            <sz val="9"/>
            <color indexed="81"/>
            <rFont val="Tahoma"/>
            <family val="2"/>
            <charset val="186"/>
          </rPr>
          <t xml:space="preserve">
</t>
        </r>
      </text>
    </comment>
    <comment ref="F51"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K53" authorId="0" shapeId="0">
      <text>
        <r>
          <rPr>
            <b/>
            <sz val="9"/>
            <color indexed="81"/>
            <rFont val="Tahoma"/>
            <family val="2"/>
            <charset val="186"/>
          </rPr>
          <t>minusuotas likutis</t>
        </r>
        <r>
          <rPr>
            <sz val="9"/>
            <color indexed="81"/>
            <rFont val="Tahoma"/>
            <family val="2"/>
            <charset val="186"/>
          </rPr>
          <t xml:space="preserve">
</t>
        </r>
      </text>
    </comment>
    <comment ref="F60"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O62" authorId="0" shapeId="0">
      <text>
        <r>
          <rPr>
            <sz val="9"/>
            <color indexed="81"/>
            <rFont val="Tahoma"/>
            <family val="2"/>
            <charset val="186"/>
          </rPr>
          <t xml:space="preserve">parengta vienos perėjos techninis projektas 
</t>
        </r>
      </text>
    </comment>
    <comment ref="E65" authorId="0" shapeId="0">
      <text>
        <r>
          <rPr>
            <b/>
            <sz val="9"/>
            <color indexed="81"/>
            <rFont val="Tahoma"/>
            <family val="2"/>
            <charset val="186"/>
          </rPr>
          <t>Koreguojamas pavadinimas:</t>
        </r>
        <r>
          <rPr>
            <sz val="9"/>
            <color indexed="81"/>
            <rFont val="Tahoma"/>
            <family val="2"/>
            <charset val="186"/>
          </rPr>
          <t xml:space="preserve"> buvo Šilutės plento rekonstravimas: (I etapas – nuo Tilžės g. iki Kauno g.; II etapas – nuo Kauno g. iki Dubysos g.)</t>
        </r>
      </text>
    </comment>
    <comment ref="J66" authorId="0" shapeId="0">
      <text>
        <r>
          <rPr>
            <sz val="9"/>
            <color indexed="81"/>
            <rFont val="Tahoma"/>
            <family val="2"/>
            <charset val="186"/>
          </rPr>
          <t>Gyventojų lėšos</t>
        </r>
      </text>
    </comment>
    <comment ref="F68"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J74" authorId="0" shapeId="0">
      <text>
        <r>
          <rPr>
            <sz val="9"/>
            <color indexed="81"/>
            <rFont val="Tahoma"/>
            <family val="2"/>
            <charset val="186"/>
          </rPr>
          <t xml:space="preserve">AB „Klaipėdos nafta“ skirtia tikslines lėšas 175.000 Eur 
</t>
        </r>
      </text>
    </comment>
    <comment ref="E77" authorId="0" shapeId="0">
      <text>
        <r>
          <rPr>
            <sz val="9"/>
            <color indexed="81"/>
            <rFont val="Tahoma"/>
            <family val="2"/>
            <charset val="186"/>
          </rPr>
          <t>SPG protokolas 2016-09-23 Nr. STR-12</t>
        </r>
      </text>
    </comment>
    <comment ref="F81"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O90" authorId="0" shapeId="0">
      <text>
        <r>
          <rPr>
            <sz val="9"/>
            <color indexed="81"/>
            <rFont val="Tahoma"/>
            <family val="2"/>
            <charset val="186"/>
          </rPr>
          <t xml:space="preserve">Techninis parengtas
</t>
        </r>
      </text>
    </comment>
    <comment ref="F97"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O98" authorId="0" shapeId="0">
      <text>
        <r>
          <rPr>
            <sz val="9"/>
            <color indexed="81"/>
            <rFont val="Tahoma"/>
            <family val="2"/>
            <charset val="186"/>
          </rPr>
          <t xml:space="preserve">Techn. projekto </t>
        </r>
        <r>
          <rPr>
            <b/>
            <sz val="9"/>
            <color indexed="81"/>
            <rFont val="Tahoma"/>
            <family val="2"/>
            <charset val="186"/>
          </rPr>
          <t>kaina 534 tūkst. eur ir darbai</t>
        </r>
        <r>
          <rPr>
            <sz val="9"/>
            <color indexed="81"/>
            <rFont val="Tahoma"/>
            <family val="2"/>
            <charset val="186"/>
          </rPr>
          <t xml:space="preserve"> </t>
        </r>
        <r>
          <rPr>
            <sz val="8"/>
            <color indexed="81"/>
            <rFont val="Tahoma"/>
            <family val="2"/>
            <charset val="186"/>
          </rPr>
          <t>(Geologinių, topografinių (geodezinių) tyrinėjimo dokumentų parengimas; Techninis projektas; Investicinis projektas; Detaliojo plano koregavimas)</t>
        </r>
      </text>
    </comment>
    <comment ref="L102" authorId="0" shapeId="0">
      <text>
        <r>
          <rPr>
            <b/>
            <sz val="9"/>
            <color indexed="81"/>
            <rFont val="Tahoma"/>
            <family val="2"/>
            <charset val="186"/>
          </rPr>
          <t xml:space="preserve">10
</t>
        </r>
        <r>
          <rPr>
            <sz val="9"/>
            <color indexed="81"/>
            <rFont val="Tahoma"/>
            <family val="2"/>
            <charset val="186"/>
          </rPr>
          <t xml:space="preserve">
</t>
        </r>
      </text>
    </comment>
    <comment ref="L103" authorId="0" shapeId="0">
      <text>
        <r>
          <rPr>
            <b/>
            <sz val="9"/>
            <color indexed="81"/>
            <rFont val="Tahoma"/>
            <family val="2"/>
            <charset val="186"/>
          </rPr>
          <t xml:space="preserve">746,9
</t>
        </r>
        <r>
          <rPr>
            <sz val="9"/>
            <color indexed="81"/>
            <rFont val="Tahoma"/>
            <family val="2"/>
            <charset val="186"/>
          </rPr>
          <t xml:space="preserve">
</t>
        </r>
      </text>
    </comment>
    <comment ref="M103" authorId="0" shapeId="0">
      <text>
        <r>
          <rPr>
            <b/>
            <sz val="9"/>
            <color indexed="81"/>
            <rFont val="Tahoma"/>
            <family val="2"/>
            <charset val="186"/>
          </rPr>
          <t xml:space="preserve">5000
</t>
        </r>
        <r>
          <rPr>
            <sz val="9"/>
            <color indexed="81"/>
            <rFont val="Tahoma"/>
            <family val="2"/>
            <charset val="186"/>
          </rPr>
          <t xml:space="preserve">
</t>
        </r>
      </text>
    </comment>
    <comment ref="N103" authorId="0" shapeId="0">
      <text>
        <r>
          <rPr>
            <b/>
            <sz val="9"/>
            <color indexed="81"/>
            <rFont val="Tahoma"/>
            <family val="2"/>
            <charset val="186"/>
          </rPr>
          <t xml:space="preserve">8231,9
</t>
        </r>
        <r>
          <rPr>
            <sz val="9"/>
            <color indexed="81"/>
            <rFont val="Tahoma"/>
            <family val="2"/>
            <charset val="186"/>
          </rPr>
          <t xml:space="preserve">
</t>
        </r>
      </text>
    </comment>
    <comment ref="M104" authorId="0" shapeId="0">
      <text>
        <r>
          <rPr>
            <b/>
            <sz val="9"/>
            <color indexed="81"/>
            <rFont val="Tahoma"/>
            <family val="2"/>
            <charset val="186"/>
          </rPr>
          <t xml:space="preserve">10000
</t>
        </r>
        <r>
          <rPr>
            <sz val="9"/>
            <color indexed="81"/>
            <rFont val="Tahoma"/>
            <family val="2"/>
            <charset val="186"/>
          </rPr>
          <t xml:space="preserve">
</t>
        </r>
      </text>
    </comment>
    <comment ref="N104" authorId="0" shapeId="0">
      <text>
        <r>
          <rPr>
            <b/>
            <sz val="9"/>
            <color indexed="81"/>
            <rFont val="Tahoma"/>
            <family val="2"/>
            <charset val="186"/>
          </rPr>
          <t xml:space="preserve">1200
</t>
        </r>
        <r>
          <rPr>
            <sz val="9"/>
            <color indexed="81"/>
            <rFont val="Tahoma"/>
            <family val="2"/>
            <charset val="186"/>
          </rPr>
          <t xml:space="preserve">
</t>
        </r>
      </text>
    </comment>
    <comment ref="F116"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F135"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P135" authorId="0" shapeId="0">
      <text>
        <r>
          <rPr>
            <sz val="9"/>
            <color indexed="81"/>
            <rFont val="Tahoma"/>
            <family val="2"/>
            <charset val="186"/>
          </rPr>
          <t xml:space="preserve">iš viso bus integruota iki 2020 m.  205 vieš. transporto priemonių
</t>
        </r>
      </text>
    </comment>
    <comment ref="F139"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144"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50" authorId="0" shapeId="0">
      <text>
        <r>
          <rPr>
            <sz val="9"/>
            <color indexed="81"/>
            <rFont val="Tahoma"/>
            <family val="2"/>
            <charset val="186"/>
          </rPr>
          <t>Projektas vykdomas kartu su Autobusų parku</t>
        </r>
      </text>
    </comment>
    <comment ref="F151"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159"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O165" authorId="0" shapeId="0">
      <text>
        <r>
          <rPr>
            <sz val="9"/>
            <color indexed="81"/>
            <rFont val="Tahoma"/>
            <family val="2"/>
            <charset val="186"/>
          </rPr>
          <t>Pagal projektą "Informacinės kelio ženklų sistemos įrengimas", pabaiga 2018 m.</t>
        </r>
      </text>
    </comment>
    <comment ref="O166" authorId="0" shapeId="0">
      <text>
        <r>
          <rPr>
            <sz val="9"/>
            <color indexed="81"/>
            <rFont val="Tahoma"/>
            <family val="2"/>
            <charset val="186"/>
          </rPr>
          <t xml:space="preserve">Pagal sutartį "Dekoratyvinių kelio ženklų stovų įrengimas", pabaiga 2018 m. </t>
        </r>
      </text>
    </comment>
    <comment ref="K176" authorId="0" shapeId="0">
      <text>
        <r>
          <rPr>
            <sz val="9"/>
            <color indexed="81"/>
            <rFont val="Tahoma"/>
            <family val="2"/>
            <charset val="186"/>
          </rPr>
          <t>Patobulinta ir ekploatuojama programėlė (su start/stop funkcija) išmaniesiems įrenginiais stovėjimo mokesčiui apmokėti, 12 tūkst. eur SB(VR);
Įrengta bankinių kortelių skaitytuvų stovėjimo bilietų automatuose 10 vnt. 30 tūkst. eur SB(VR)</t>
        </r>
      </text>
    </comment>
    <comment ref="L176" authorId="0" shapeId="0">
      <text>
        <r>
          <rPr>
            <sz val="9"/>
            <color indexed="81"/>
            <rFont val="Tahoma"/>
            <family val="2"/>
            <charset val="186"/>
          </rPr>
          <t>Patobulinta ir ekploatuojama programėlė (su start/stop funkcija) išmaniesiems įrenginiais stovėjimo mokesčiui apmokėti, 12 tūkst. eur SB(VR);</t>
        </r>
      </text>
    </comment>
    <comment ref="F181" authorId="0" shapeId="0">
      <text>
        <r>
          <rPr>
            <b/>
            <sz val="9"/>
            <color indexed="81"/>
            <rFont val="Tahoma"/>
            <family val="2"/>
            <charset val="186"/>
          </rPr>
          <t xml:space="preserve"> P2, Klaipėdos miesto darnaus judumo planas (2018-09-13, T2-185), </t>
        </r>
        <r>
          <rPr>
            <sz val="9"/>
            <color indexed="81"/>
            <rFont val="Tahoma"/>
            <family val="2"/>
            <charset val="186"/>
          </rPr>
          <t xml:space="preserve">
</t>
        </r>
      </text>
    </comment>
    <comment ref="O182"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F185" authorId="0" shapeId="0">
      <text>
        <r>
          <rPr>
            <b/>
            <sz val="9"/>
            <color indexed="81"/>
            <rFont val="Tahoma"/>
            <family val="2"/>
            <charset val="186"/>
          </rPr>
          <t>P2, Klaipėdos miesto darnaus judumo planas (2018-09-13, T2-185)</t>
        </r>
      </text>
    </comment>
    <comment ref="F187"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r>
          <rPr>
            <b/>
            <sz val="9"/>
            <color indexed="81"/>
            <rFont val="Tahoma"/>
            <family val="2"/>
            <charset val="186"/>
          </rPr>
          <t xml:space="preserve">P2, Klaipėdos miesto darnaus judumo planas (2018-09-13, T2-185), </t>
        </r>
      </text>
    </comment>
    <comment ref="F190"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F193"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E196" authorId="0" shapeId="0">
      <text>
        <r>
          <rPr>
            <sz val="9"/>
            <color indexed="81"/>
            <rFont val="Tahoma"/>
            <family val="2"/>
            <charset val="186"/>
          </rPr>
          <t>Priemonė įtraukta pagal darnaus judumo priemonių planą, el. paštu</t>
        </r>
      </text>
    </comment>
    <comment ref="F196"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Centrinėje miesto dalyje suformuoti pėsčiųjų takų, zonų ir gatvių tinklą 2.1.2.7</t>
        </r>
      </text>
    </comment>
    <comment ref="O196" authorId="0" shapeId="0">
      <text>
        <r>
          <rPr>
            <sz val="9"/>
            <color indexed="81"/>
            <rFont val="Tahoma"/>
            <family val="2"/>
            <charset val="186"/>
          </rPr>
          <t>2019 m. – 50 000 eurų iš SB techninio projekto parengimui, 2020 m. – 850 000 eurų iš ES ir 150 000 eurų iš SB projekto įgyvendinimui.</t>
        </r>
      </text>
    </comment>
    <comment ref="F199"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200" authorId="0" shapeId="0">
      <text>
        <r>
          <rPr>
            <b/>
            <sz val="9"/>
            <color indexed="81"/>
            <rFont val="Tahoma"/>
            <family val="2"/>
            <charset val="186"/>
          </rPr>
          <t>Audra Cepiene:</t>
        </r>
        <r>
          <rPr>
            <sz val="9"/>
            <color indexed="81"/>
            <rFont val="Tahoma"/>
            <family val="2"/>
            <charset val="186"/>
          </rPr>
          <t xml:space="preserve">
 Klaipėdos miesto savivaldybės administracijos direktorius 2017-08-30 įsakymu Nr. AD1-2155 ,,Dėl elektromobilių įkrovimo stotelių kortelių išdavimo“ 2.2.1 papunkčiu Miesto ūkio departamentui pavedė organizuoti ,,...Klaipėdos miesto savivaldybei priklausančių elektromobilių įkrovimo stotelių eksploatavimą ir priežiūrą...“. Vykdyti elektromobilių įkrovimo stotelių eksploatavimą ir priežiūrą Miesto ūkio departamente nėra kompetentingų specialistų.  
Pažymėtina, kad Klaipėdos mieste šiuo metu įrengtos penkios (Piliavietės aikštelė – 2 vnt., prie savivaldybės pastato – 2 vnt., P&amp;R aikštelėje – 1 vnt.) viešos elektromobilių įkrovimo stotelės, ateityje jų skaičius tik didės. Paskutiniu metu buvo atvejų, kai elektromobilių įkrovimo stotelės sugęsta, o prižiūrėti jas ir eksploatuoti nėra paskirta jokiai įmonei. </t>
        </r>
      </text>
    </comment>
    <comment ref="F200"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O200" authorId="0" shapeId="0">
      <text>
        <r>
          <rPr>
            <sz val="9"/>
            <color indexed="81"/>
            <rFont val="Tahoma"/>
            <family val="2"/>
            <charset val="186"/>
          </rPr>
          <t xml:space="preserve">Piliavietės aikštelė – 2 vnt., prie savivaldybės pastato – 2 vnt., P&amp;R aikštelėje – 1 vnt.) </t>
        </r>
      </text>
    </comment>
    <comment ref="K207" authorId="0" shapeId="0">
      <text>
        <r>
          <rPr>
            <sz val="9"/>
            <color indexed="81"/>
            <rFont val="Tahoma"/>
            <family val="2"/>
            <charset val="186"/>
          </rPr>
          <t xml:space="preserve">Įsakymu 2018-09-04 buvo perskirstytos papriemonės: mažintos 145 tūkst eur lėšos Ištisinio asfaltbetonio dangos remontui ir padidintos Kiemų ir privažiuojamųjų kelių  prie biudžetinių įstaigų dangų remontui. 85,8 tūkst eur suma yra kompensuojama užbaigti ištisinio asfalto dangų remontą   </t>
        </r>
      </text>
    </comment>
    <comment ref="O233" authorId="0" shapeId="0">
      <text>
        <r>
          <rPr>
            <b/>
            <sz val="9"/>
            <color indexed="81"/>
            <rFont val="Tahoma"/>
            <family val="2"/>
            <charset val="186"/>
          </rPr>
          <t xml:space="preserve">2018 m.planas
</t>
        </r>
        <r>
          <rPr>
            <sz val="9"/>
            <color indexed="81"/>
            <rFont val="Tahoma"/>
            <family val="2"/>
            <charset val="186"/>
          </rPr>
          <t>- Smiltelės g. (atskiros atkarpos);
- Baltijos pr. (atskiros atkarpos);
- Birutės g. (nuo Sausio 15-osios g. iki Bijūnų g.);
- Bijūnų g. (nuo Taikos pr. iki Birutės g.);
- Tilžės g. (nuo Sausio 15-osios g. iki Komunarų g.);
- Senamiesčio gatvės (pagal poreikį);</t>
        </r>
        <r>
          <rPr>
            <b/>
            <sz val="9"/>
            <color indexed="81"/>
            <rFont val="Tahoma"/>
            <family val="2"/>
            <charset val="186"/>
          </rPr>
          <t xml:space="preserve">
</t>
        </r>
        <r>
          <rPr>
            <sz val="9"/>
            <color indexed="81"/>
            <rFont val="Tahoma"/>
            <family val="2"/>
            <charset val="186"/>
          </rPr>
          <t xml:space="preserve">- Panevėžio g. (nuo Dailidžių g. iki Plytinės g.);
- Verpėjų g. (atskiros atkarpos);
- Kalvos g.;
- J. Zembrickio g.;
- Pievų tako g.
</t>
        </r>
      </text>
    </comment>
    <comment ref="O238" authorId="0" shapeId="0">
      <text>
        <r>
          <rPr>
            <sz val="9"/>
            <color indexed="81"/>
            <rFont val="Tahoma"/>
            <family val="2"/>
            <charset val="186"/>
          </rPr>
          <t xml:space="preserve">UKD 2017 metams pateikė poreikį 2849,8 tūkst. Eur suremontuoti 74 įstaigų kiemus ir privažiavimus. Lėšos paskirstytos per tris metus, 2017-06 29 VS raštaspapildyti priemonės 06.01.04.01.05 „ Kiemų ir privažiuojamųjų kelių prie biudžetinių įstaigų dangos remontas“ rodiklius, įtraukiant Klaipėdos suaugusių gimnaziją (pagal 2017-06-27 VS-3833).
</t>
        </r>
      </text>
    </comment>
    <comment ref="P238" authorId="0" shapeId="0">
      <text>
        <r>
          <rPr>
            <b/>
            <sz val="9"/>
            <color indexed="81"/>
            <rFont val="Tahoma"/>
            <family val="2"/>
            <charset val="186"/>
          </rPr>
          <t>2018 m.</t>
        </r>
        <r>
          <rPr>
            <sz val="9"/>
            <color indexed="81"/>
            <rFont val="Tahoma"/>
            <family val="2"/>
            <charset val="186"/>
          </rPr>
          <t xml:space="preserve"> įstaigos: 8 mokyklos; 11 lopšelių- darželių, Marijos Montesori mokykla
</t>
        </r>
      </text>
    </comment>
    <comment ref="K242" authorId="0" shapeId="0">
      <text>
        <r>
          <rPr>
            <sz val="9"/>
            <color indexed="81"/>
            <rFont val="Tahoma"/>
            <family val="2"/>
            <charset val="186"/>
          </rPr>
          <t>2017-11-29 buvo nustatyta, kad yra nukritusi viena stambiagabaritė Biržos tilto gelžbetoninė konstrukcija– kontrasvoris (vienas iš esamų šešių), išlyginanti atidaromos perdangos pusiausvyrą. Tai viena iš pagrindinių tilto konstrukcijų. Kad atlikti remonto darbus, reikalinga atlikti ekspertizės paslaugas, todėl yra pradėtos viešojo pirkimo procedūros šiai paslaugai pirkti. Dėl šios priežasties prašome  Susisiekimo sistemos priežiūros ir plėtros programos Nr. 6  priemonės 06.01.04.01.05. „Tiltų ir kelio statinių priežiūra“ dalį 2017 metais nepanaudotų savivaldybės biudžeto lėšų sumą (6.000,00 Eur) perkelti į 2018 metus.</t>
        </r>
      </text>
    </comment>
    <comment ref="K257" authorId="0" shapeId="0">
      <text>
        <r>
          <rPr>
            <b/>
            <sz val="9"/>
            <color indexed="81"/>
            <rFont val="Tahoma"/>
            <family val="2"/>
            <charset val="186"/>
          </rPr>
          <t xml:space="preserve">18063,2
</t>
        </r>
        <r>
          <rPr>
            <sz val="9"/>
            <color indexed="81"/>
            <rFont val="Tahoma"/>
            <family val="2"/>
            <charset val="186"/>
          </rPr>
          <t xml:space="preserve">
</t>
        </r>
      </text>
    </comment>
    <comment ref="K261" authorId="0" shapeId="0">
      <text>
        <r>
          <rPr>
            <b/>
            <sz val="9"/>
            <color indexed="81"/>
            <rFont val="Tahoma"/>
            <family val="2"/>
            <charset val="186"/>
          </rPr>
          <t xml:space="preserve">3991,4+7,7 papildomas KPPP reservas
</t>
        </r>
      </text>
    </comment>
  </commentList>
</comments>
</file>

<file path=xl/sharedStrings.xml><?xml version="1.0" encoding="utf-8"?>
<sst xmlns="http://schemas.openxmlformats.org/spreadsheetml/2006/main" count="1661" uniqueCount="414">
  <si>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</si>
  <si>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</si>
  <si>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</si>
  <si>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</si>
  <si>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</si>
  <si>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</si>
  <si>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</si>
  <si>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</si>
  <si>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</si>
  <si>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</si>
  <si>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</si>
  <si>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</si>
  <si>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</si>
  <si>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</si>
  <si>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</si>
  <si>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</si>
  <si>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</si>
  <si>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</si>
  <si>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</si>
  <si>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</si>
  <si>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</si>
  <si>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</si>
  <si>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</si>
  <si>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</si>
  <si>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</si>
  <si>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</si>
  <si>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</si>
  <si>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Papriemonės kodas</t>
  </si>
  <si>
    <t>03</t>
  </si>
  <si>
    <t>SUSISIEKIMO SISTEMOS PRIEŽIŪROS IR PLĖTROS PROGRAMOS (NR. 06)</t>
  </si>
  <si>
    <t>Didinti gatvių tinklo pralaidumą ir užtikrinti jų tankumą</t>
  </si>
  <si>
    <t>Rekonstruoti ir tiesti gatves</t>
  </si>
  <si>
    <t xml:space="preserve"> Užtikrinti patogios viešojo transporto sistemos funkcionavimą</t>
  </si>
  <si>
    <t>04</t>
  </si>
  <si>
    <t>05</t>
  </si>
  <si>
    <t>06</t>
  </si>
  <si>
    <t>07</t>
  </si>
  <si>
    <t>6</t>
  </si>
  <si>
    <t>Eksploatuojama šviesoforų, vnt.</t>
  </si>
  <si>
    <t>Tiltų ir kelio statinių priežiūra</t>
  </si>
  <si>
    <t>Suremontuota asfaltbetonio dangos duobių gatvėse, ha</t>
  </si>
  <si>
    <t>Parduota lengvatinių bilietų, mln. vnt.</t>
  </si>
  <si>
    <t>Viešojo transporto priežiūros ir paslaugų kokybės kontroliavimas</t>
  </si>
  <si>
    <t>5</t>
  </si>
  <si>
    <t>ES</t>
  </si>
  <si>
    <t>Kt</t>
  </si>
  <si>
    <t>Parengtas techninis projektas, vnt.</t>
  </si>
  <si>
    <t>I</t>
  </si>
  <si>
    <t>KVJUD</t>
  </si>
  <si>
    <t>Centrinės miesto dalies gatvių tinklo modernizavimas:</t>
  </si>
  <si>
    <t>Šiaurinės miesto dalies gatvių tinklo modernizavimas:</t>
  </si>
  <si>
    <t>Pajūrio rekreacinių teritorijų gatvių tinklo modernizavimas:</t>
  </si>
  <si>
    <t>Transporto kompensacijų mokėjimas:</t>
  </si>
  <si>
    <t>Asfaltuotų daugiabučių kiemų dangų remontas</t>
  </si>
  <si>
    <t>Patikrinta viešojo transporto priemonių, tūkst. vnt.</t>
  </si>
  <si>
    <t>Prižiūrima tiltų ir viadukų, vnt.</t>
  </si>
  <si>
    <t>1</t>
  </si>
  <si>
    <t>Viešojo transporto paslaugų organizavimas:</t>
  </si>
  <si>
    <t xml:space="preserve">Iš viso  programai:  </t>
  </si>
  <si>
    <t>Pajūrio g. rekonstravimas</t>
  </si>
  <si>
    <t>Taikos pr. nuo Sausios 15-osios g. iki Kauno g. rekonstravimas</t>
  </si>
  <si>
    <t>Pamario gatvės rekonstravimas</t>
  </si>
  <si>
    <t>SB(L)</t>
  </si>
  <si>
    <t>Strateginis tikslas 02. Kurti mieste patrauklią, švarią ir saugią gyvenamąją aplinką</t>
  </si>
  <si>
    <t>Vykdytojas (skyrius / asmuo)</t>
  </si>
  <si>
    <t>Viešosios tvarkos skyrius</t>
  </si>
  <si>
    <t>Miesto gatvių ženklinimas</t>
  </si>
  <si>
    <t>Prižiūrima žvyruotos dangos, ha</t>
  </si>
  <si>
    <t>Paklota ištisinio asfaltbetonio dangos, ha</t>
  </si>
  <si>
    <t>Eksploatuojama prietaisų, vnt.</t>
  </si>
  <si>
    <t>SB(VR)</t>
  </si>
  <si>
    <r>
      <t xml:space="preserve">Vietinių rinkliavų lėšos </t>
    </r>
    <r>
      <rPr>
        <b/>
        <sz val="10"/>
        <rFont val="Times New Roman"/>
        <family val="1"/>
        <charset val="186"/>
      </rPr>
      <t>SB(VR)</t>
    </r>
  </si>
  <si>
    <t>IED Statybos ir infrastruktūros plėtros skyrius</t>
  </si>
  <si>
    <t xml:space="preserve">IED Projektų skyrius </t>
  </si>
  <si>
    <t>Bendri KVJUD ir miesto projektai:</t>
  </si>
  <si>
    <t>MŪD Transporto skyrius</t>
  </si>
  <si>
    <t>MŪD Miesto tvarkymo skyrius</t>
  </si>
  <si>
    <t>SB(VRL)</t>
  </si>
  <si>
    <t>P2.1.2.9</t>
  </si>
  <si>
    <t>P9</t>
  </si>
  <si>
    <t>Topografinių nuotraukų, išpildomųjų geodezinių nuotraukų įsigijimas, statinių projektų ekspertizių bei kitos inžinerinės paslaugos</t>
  </si>
  <si>
    <t xml:space="preserve"> - vežėjams už lengvatas turinčių keleivių vežimą</t>
  </si>
  <si>
    <t xml:space="preserve"> - moksleiviams</t>
  </si>
  <si>
    <t xml:space="preserve"> - profesinių mokyklų moksleiviams</t>
  </si>
  <si>
    <t>Įrengta ir pakeista informacinių ženklų, tūkst. vnt.</t>
  </si>
  <si>
    <t>Suženklinta gatvių, ha</t>
  </si>
  <si>
    <t>Eksploatuojama greičio matuoklių, vnt.</t>
  </si>
  <si>
    <t>Parengtas paviljono su aikštele techninis projektas, vnt.</t>
  </si>
  <si>
    <t>Medžiagų tyrimas ir kontroliniai bandymai</t>
  </si>
  <si>
    <t>2.1.2.14</t>
  </si>
  <si>
    <t>2.1.2.11</t>
  </si>
  <si>
    <t xml:space="preserve">IED Statybos ir infrastruktūros plėtros </t>
  </si>
  <si>
    <t>2.1.2.15</t>
  </si>
  <si>
    <t>2.1.2.13</t>
  </si>
  <si>
    <t>2.1.2.2</t>
  </si>
  <si>
    <t>2.1.2.12</t>
  </si>
  <si>
    <t>P2.1.2.10</t>
  </si>
  <si>
    <t xml:space="preserve">Savivaldybės biudžetas, iš jo: </t>
  </si>
  <si>
    <t xml:space="preserve">Parengtas techninis projektas, vnt. </t>
  </si>
  <si>
    <t>Planas</t>
  </si>
  <si>
    <t>Rytų ir vakarų krypties gatvių tinklo modernizavimas:</t>
  </si>
  <si>
    <t>Šiaurės ir pietų transporto koridorių gatvių tinklo modernizavimas:</t>
  </si>
  <si>
    <r>
      <rPr>
        <sz val="10"/>
        <rFont val="Times New Roman"/>
        <family val="1"/>
        <charset val="186"/>
      </rPr>
      <t>Vietinių rinkliavų likučio lėšos</t>
    </r>
    <r>
      <rPr>
        <b/>
        <sz val="10"/>
        <rFont val="Times New Roman"/>
        <family val="1"/>
        <charset val="186"/>
      </rPr>
      <t xml:space="preserve"> SB(VRL)</t>
    </r>
  </si>
  <si>
    <r>
      <t xml:space="preserve">Žemės pardavimų likučio lėšos </t>
    </r>
    <r>
      <rPr>
        <b/>
        <sz val="10"/>
        <rFont val="Times New Roman"/>
        <family val="1"/>
        <charset val="186"/>
      </rPr>
      <t>SB(ŽPL)</t>
    </r>
  </si>
  <si>
    <r>
      <t xml:space="preserve">Kelių priežiūros ir plėtros programos lėšos </t>
    </r>
    <r>
      <rPr>
        <b/>
        <sz val="10"/>
        <rFont val="Times New Roman"/>
        <family val="1"/>
        <charset val="186"/>
      </rPr>
      <t>SB(KPP)</t>
    </r>
  </si>
  <si>
    <t>SB(ŽPL)</t>
  </si>
  <si>
    <t>SB(KPP)</t>
  </si>
  <si>
    <t>2018-ieji metai</t>
  </si>
  <si>
    <t>MŪD Miesto tvarkymo sk.</t>
  </si>
  <si>
    <t xml:space="preserve">Ištisinio asfaltbetonio dangos remontas: </t>
  </si>
  <si>
    <t>Kiemų ir privažiuojamųjų kelių  prie biudžetinių įstaigų dangos remontas</t>
  </si>
  <si>
    <t>Asfaltbetonio dangos, žvyruotos dangos ir akmenimis grįstų miesto gatvių dangos remontas</t>
  </si>
  <si>
    <t>Ištisinio asfaltbetonio dangos įrengimas miesto gatvėse ir kiemuose:</t>
  </si>
  <si>
    <t>Eismo reguliavimo infrastruktūros eksploatacija ir įrengimas</t>
  </si>
  <si>
    <t>Mokamo automobilių stovėjimo sistemos mieste kūrimas ir išlaikymas</t>
  </si>
  <si>
    <t>Eismo srautų reguliavimo ir saugumo priemonių įgyvendinimas:</t>
  </si>
  <si>
    <t>100</t>
  </si>
  <si>
    <t>2.1.2.8</t>
  </si>
  <si>
    <t>tūkst. Eur</t>
  </si>
  <si>
    <t xml:space="preserve">Diegti eismo srautų reguliavimo ir saugumo priemones </t>
  </si>
  <si>
    <t xml:space="preserve">Eksploatuojama eismo reguliavimo priemonių, tūkst. vnt. </t>
  </si>
  <si>
    <t>P2.1.2.3</t>
  </si>
  <si>
    <t xml:space="preserve">Susisiekimo sistemos objektų pritaikymas neįgaliesiems  </t>
  </si>
  <si>
    <t>Neeksploatuojamų požeminių perėjų Šilutės pl. rekonstravimas</t>
  </si>
  <si>
    <t>Apskaitos kodas</t>
  </si>
  <si>
    <t>06.010311</t>
  </si>
  <si>
    <t>06.010131</t>
  </si>
  <si>
    <t>06.010125</t>
  </si>
  <si>
    <t>06.010504</t>
  </si>
  <si>
    <t>06.010109</t>
  </si>
  <si>
    <t>06.010139</t>
  </si>
  <si>
    <t>06.010110</t>
  </si>
  <si>
    <t xml:space="preserve">IED Statybos ir infrastruk. plėtros sk. </t>
  </si>
  <si>
    <t>06.01050100</t>
  </si>
  <si>
    <t>06.010301</t>
  </si>
  <si>
    <t>06.010313</t>
  </si>
  <si>
    <t>06.010411</t>
  </si>
  <si>
    <t>06.010413</t>
  </si>
  <si>
    <t>06.010410</t>
  </si>
  <si>
    <t>06.010312</t>
  </si>
  <si>
    <t>06.010402</t>
  </si>
  <si>
    <t>06.010403</t>
  </si>
  <si>
    <t>06.010144</t>
  </si>
  <si>
    <t>06.010140</t>
  </si>
  <si>
    <t>IED Statybos ir infrastruktūros plėtros sk.</t>
  </si>
  <si>
    <t>06.010150</t>
  </si>
  <si>
    <t>06.010148</t>
  </si>
  <si>
    <t>06.010122</t>
  </si>
  <si>
    <t>06.010506</t>
  </si>
  <si>
    <t>06.010303</t>
  </si>
  <si>
    <t>06.010406</t>
  </si>
  <si>
    <t>06.010405</t>
  </si>
  <si>
    <t>06.010401</t>
  </si>
  <si>
    <t>MŪD Transporto sk.</t>
  </si>
  <si>
    <t>Aiškinamojo rašto priedas Nr.3</t>
  </si>
  <si>
    <t>2019-ųjų metų lėšų projektas</t>
  </si>
  <si>
    <t>2019-ieji metai</t>
  </si>
  <si>
    <t>Atlikta gatvės (571 m) tiesimo darbų (II etapas). Užbaigtumas, proc.</t>
  </si>
  <si>
    <t>6010308</t>
  </si>
  <si>
    <t>Klaipėdos miesto viešojo transporto atnaujinimas (autobusų įsigijimas)</t>
  </si>
  <si>
    <t>Klaipėdos miesto viešojo transporto švieslenčių ir informacinių švieslenčių įrengimas ir atnaujinimas</t>
  </si>
  <si>
    <t xml:space="preserve">Įrengta švieslenčių miesto autobusų stotelėse, vnt.  </t>
  </si>
  <si>
    <t>Suorganizuota renginių, vnt.</t>
  </si>
  <si>
    <t>P2.1.2.5</t>
  </si>
  <si>
    <t>Parengtas projektinis pasiūlymas, vnt.</t>
  </si>
  <si>
    <r>
      <rPr>
        <b/>
        <sz val="10"/>
        <rFont val="Times New Roman"/>
        <family val="1"/>
        <charset val="186"/>
      </rPr>
      <t>II etapas.</t>
    </r>
    <r>
      <rPr>
        <sz val="10"/>
        <rFont val="Times New Roman"/>
        <family val="1"/>
        <charset val="186"/>
      </rPr>
      <t xml:space="preserve"> Žiedinės Tilžės g., Mokyklos g. ir Šilutės pl. sankryžos pertvarkymas į šviesoforinę </t>
    </r>
  </si>
  <si>
    <t>IED  Statybos ir infrastruktūros plėtros skyrius</t>
  </si>
  <si>
    <t>Kombinuotų kelionių jungčių (PARK&amp;RIDE) įrengimas (šiaurinėje miesto dalyje)</t>
  </si>
  <si>
    <t>120</t>
  </si>
  <si>
    <t>85</t>
  </si>
  <si>
    <t>Įdiegta transporto valdymo sistema. Užbaigtumas, proc.</t>
  </si>
  <si>
    <t>50</t>
  </si>
  <si>
    <r>
      <rPr>
        <b/>
        <sz val="10"/>
        <rFont val="Times New Roman"/>
        <family val="1"/>
        <charset val="186"/>
      </rPr>
      <t>Naujo tilto</t>
    </r>
    <r>
      <rPr>
        <sz val="10"/>
        <rFont val="Times New Roman"/>
        <family val="1"/>
        <charset val="186"/>
      </rPr>
      <t xml:space="preserve"> su pakeliamu mechanizmu per Danę statyba ir prieigų sutvarkymas</t>
    </r>
  </si>
  <si>
    <t>Viešojo transporto (autobusų ir maršrutinių taksi) integravimo sistemos įrangos įsigijimas ir atnaujinimas</t>
  </si>
  <si>
    <t>Baltijos pr. ir Šilutės pl. žiedinės sankryžos rekonstravimas</t>
  </si>
  <si>
    <t>- nuostolių, patirtų vežant keleivius vietinio reguliaraus susisiekimo autobusų maršrutais renginių metu, kompensavimas</t>
  </si>
  <si>
    <t>Statybininkų prospekto tęsinio tiesimas nuo Šilutės pl. per LEZ teritoriją iki 141 kelio: II etapas – Lypkių gatvės ruožo nuo Šilutės plento tiesimas</t>
  </si>
  <si>
    <t>Tilžės g. nuo Šilutės pl. iki geležinkelio pervažos rekonstravimas, pertvarkant žiedinę Mokyklos g. ir Šilutės pl. sankryžą:</t>
  </si>
  <si>
    <t>Nuostolingų maršrutų subsidijavimas priemiesčio maršrutus aptarnaujantiems vežėjams</t>
  </si>
  <si>
    <t xml:space="preserve">Atlikta Šiaurinio rago teritorijoje esančios aikštelės įrengimo darbų (70 stovėjimo vietų). Užbaigtumas, proc. </t>
  </si>
  <si>
    <t>Apšviesta pėsčiųjų perėjų, vnt</t>
  </si>
  <si>
    <t xml:space="preserve">Privažiuojamojo kelio prie pastato Debreceno g. 48  įrengimas ir pastato aplinkos sutvarkymas </t>
  </si>
  <si>
    <t>Suteikta gatvių dangų, konstruktyvo ir betoninių gaminių kontrolinių bandymų paslaugų. Užbaigtumas, proc.</t>
  </si>
  <si>
    <t>Įrengta dekoratyvinių kelio ženklų, vnt.</t>
  </si>
  <si>
    <t>Eksploatuojama bilietų automatų, vnt.</t>
  </si>
  <si>
    <t>Parengta ir patvirtinta paraiška, vnt.</t>
  </si>
  <si>
    <t>Atlikta kelio įrengimo, aplinkos sutvarkymo darbų. Užbaigtumas, proc.</t>
  </si>
  <si>
    <t>Įrengtas naujas žvejų laivams skirtas slipas (aikštelė, skirta valtims nuleisti ir ištraukti iš vandens). Užbaigtumas, proc.</t>
  </si>
  <si>
    <t xml:space="preserve">Parengtas naujo tilto su pakeliamu mechanizmu statybos techninis projektas, vnt. </t>
  </si>
  <si>
    <t>Kompensuota bilietų moksleiviams, tūkst. vnt.</t>
  </si>
  <si>
    <t>Kompensuota bilietų profesinių mokyklų moksleiviams, tūkst. vnt.</t>
  </si>
  <si>
    <t>Parengtas techninis projektas ir detaliojo plano korekcija, vnt.</t>
  </si>
  <si>
    <t xml:space="preserve">Parengtas rekonstravimo techninis projektas (ruožas nuo Atgimimo aikštės iki Laivų skersgatvio), vnt. </t>
  </si>
  <si>
    <t>Parengtas rekonstravimo techninis projektas (ruožas nuo Laivų skersgatvio iki Artojų g.), vnt.</t>
  </si>
  <si>
    <t xml:space="preserve">Atlikta rekonstravimo darbų. Užbaigtumas, proc. </t>
  </si>
  <si>
    <t>Parengtas rekonstravimo techninis projektas, vnt.</t>
  </si>
  <si>
    <t>Atlikta rekonstravimo darbų. Užbaigtumas, proc.</t>
  </si>
  <si>
    <t>Atlikta gatvės (1374 m ) rekonstravimo darbų. Užbaigtumas, proc.</t>
  </si>
  <si>
    <t>Atlikta dviejų požeminių perėjų  rekonstravimo darbų. Užbaigtumas, proc.</t>
  </si>
  <si>
    <t>Įstaigų, kurių kiemuose atlikta asfalto dangos remonto darbų, skaičius</t>
  </si>
  <si>
    <t>Kūlių Vartų g. ir Bangų g., Tiltų g., Galinio Pylimo g., Taikos pr. sankryžos rekonstravimas</t>
  </si>
  <si>
    <r>
      <rPr>
        <b/>
        <sz val="10"/>
        <rFont val="Times New Roman"/>
        <family val="1"/>
        <charset val="186"/>
      </rPr>
      <t xml:space="preserve">I etapas. </t>
    </r>
    <r>
      <rPr>
        <sz val="10"/>
        <rFont val="Times New Roman"/>
        <family val="1"/>
        <charset val="186"/>
      </rPr>
      <t>Tilžės g. nuo Šilutės pl. iki geležinkelio pervažos rekonstravimas</t>
    </r>
  </si>
  <si>
    <t xml:space="preserve">Klaipėdos miesto gatvių pėsčiųjų perėjų kryptinis apšvietimas </t>
  </si>
  <si>
    <t>Parengtas II etapo techninis projektas (Klaipėdos g., Virkučių g., Slengių g., Lietaus g., Vaivorykštės g., Griaustinio g. ir Arimų g.), vnt.</t>
  </si>
  <si>
    <t>Maršruto „Klaipėdos autobusų stotis–Palangos oro uostas“ kursavimas</t>
  </si>
  <si>
    <t>Kompensuota nuostolingų maršrutų, vnt.</t>
  </si>
  <si>
    <r>
      <t xml:space="preserve">Europos Sąjungos paramos lėšos, kurios įtrauktos į Savivaldybės biudžetą </t>
    </r>
    <r>
      <rPr>
        <b/>
        <sz val="10"/>
        <rFont val="Times New Roman"/>
        <family val="1"/>
        <charset val="186"/>
      </rPr>
      <t>SB(ES)</t>
    </r>
  </si>
  <si>
    <t xml:space="preserve">Tomo ir Pylimo gatvių rekonstravimas </t>
  </si>
  <si>
    <t>Įrengta pėsčiųjų ir dviračių takų palei Liepojos g. nuo Dragūnų kvartalo iki Savanorių g. Užbaigtumas, proc.</t>
  </si>
  <si>
    <t>Elektromobilių įkrovimo stotelių įrengimas  Klaipėdos mieste</t>
  </si>
  <si>
    <t xml:space="preserve">Nuostolių kompensacijų mokėjimas: </t>
  </si>
  <si>
    <r>
      <t xml:space="preserve">patirtų vykdant keleivinio kelių transporto viešųjų paslaugų </t>
    </r>
    <r>
      <rPr>
        <sz val="10"/>
        <rFont val="Times New Roman"/>
        <family val="1"/>
        <charset val="186"/>
      </rPr>
      <t>vežant keleivius vietinio (miesto) reguliaraus susisiekimo autobusų maršrutais</t>
    </r>
  </si>
  <si>
    <t>patirtų įgyvendinant ES Sanglaudos fondų finansuojamus ekologiškų viešojo transporto  priemonių įsigijimo projektus</t>
  </si>
  <si>
    <t>Suremontuota gatvių akmens grindinio dangos pagal poreikį senamiesčio gatvėse, ha</t>
  </si>
  <si>
    <t>Parengta galimybių studija, vnt.</t>
  </si>
  <si>
    <t>2020-ųjų metų lėšų projektas</t>
  </si>
  <si>
    <t>2020-ieji metai</t>
  </si>
  <si>
    <t>Atlikta gatvės tiesimo darbų. Užbaigtumas, proc.</t>
  </si>
  <si>
    <t>Įrengta stotelių su įvažomis (Vasaros estrados (pietų ir šiaurės kryptys), Rumpiškės, Kooperacijos, Juodkrantės,  Naikupės, Šilutės, Minijos, Aula Magna, Minijos stotelės), vnt.</t>
  </si>
  <si>
    <t>2.1.2.2.</t>
  </si>
  <si>
    <t>IED Projektų skyrius</t>
  </si>
  <si>
    <r>
      <t xml:space="preserve">Programų lėšų likučių lėšos </t>
    </r>
    <r>
      <rPr>
        <b/>
        <sz val="10"/>
        <rFont val="Times New Roman"/>
        <family val="1"/>
        <charset val="186"/>
      </rPr>
      <t xml:space="preserve">SB(L) </t>
    </r>
  </si>
  <si>
    <t xml:space="preserve"> Atlikti kasmetinius miesto susisiekimo infrastruktūros objektų priežiūros ir įrengimo darbus</t>
  </si>
  <si>
    <t>Naujų ekologiškų viešojo transporto ir  alternatyvaus judėjimo projektų įgyvendinimas:</t>
  </si>
  <si>
    <t xml:space="preserve">06.010503 </t>
  </si>
  <si>
    <t xml:space="preserve">06.010135 </t>
  </si>
  <si>
    <t>06.010151</t>
  </si>
  <si>
    <t>06.010316</t>
  </si>
  <si>
    <t>06.010152</t>
  </si>
  <si>
    <t>06.010142</t>
  </si>
  <si>
    <t>06.010154</t>
  </si>
  <si>
    <t>06.010156</t>
  </si>
  <si>
    <t xml:space="preserve">06.010146 </t>
  </si>
  <si>
    <t>06.010604</t>
  </si>
  <si>
    <t>06.010319 </t>
  </si>
  <si>
    <t>06.010304</t>
  </si>
  <si>
    <t>06.010306</t>
  </si>
  <si>
    <t>06.010404</t>
  </si>
  <si>
    <t>06.010302</t>
  </si>
  <si>
    <t>06.010317</t>
  </si>
  <si>
    <t>06.010318</t>
  </si>
  <si>
    <t>06.010320</t>
  </si>
  <si>
    <t>2018 m.</t>
  </si>
  <si>
    <t>Vingio g. nuo Smiltelės g. ir Jūrininkų pr. (darbai);</t>
  </si>
  <si>
    <t>Šturmanų g.;</t>
  </si>
  <si>
    <t>Sausio 15-osios g. - nuo Taikos pr. iki Tilžės g. (tikslinės teritorijos ribose);</t>
  </si>
  <si>
    <t xml:space="preserve">Taikos pr.  - nuo Sausio 15-osios g. iki Kauno g. (tikslinės teritorijos ribose); </t>
  </si>
  <si>
    <t>Šermukšnių g.;</t>
  </si>
  <si>
    <t>2019 m.</t>
  </si>
  <si>
    <t>2020 m.</t>
  </si>
  <si>
    <t>Joniškės g.- nuo Klaipėdos baldų iki Bangų g.;</t>
  </si>
  <si>
    <t>Gedminų g. (su šaligatviais);</t>
  </si>
  <si>
    <t>Baltijos pr. nuo Taikos pr. iki Šilutės pl. viena pusė;</t>
  </si>
  <si>
    <t>Statybininkų pr. - Nuo Taikos pr. iki Minijos g. ir žiedas (Taikos pr.);</t>
  </si>
  <si>
    <t>Smiltelės g. atkarpa nuo Taikos pr. iki Minijos g.;</t>
  </si>
  <si>
    <t>S. Šimkaus g.;</t>
  </si>
  <si>
    <t>Šilutės pl. atkarpa nuo Rimkų geležinkelio iki Smiltelės g., aikštelė;</t>
  </si>
  <si>
    <t>I. Simonaitytės g.;</t>
  </si>
  <si>
    <t>J. Zauerveino g.;</t>
  </si>
  <si>
    <t>Paryžiaus Komunos g.;</t>
  </si>
  <si>
    <t>Jurginų g.;</t>
  </si>
  <si>
    <t>Šilutės pl. labiausiai pažeistos atkarpos, įvažos;</t>
  </si>
  <si>
    <t>Herkaus Manto g. labiausiai pažeistos atkarpos, įvažos;</t>
  </si>
  <si>
    <t>Malūnininkų g.;</t>
  </si>
  <si>
    <t>S.Daukanto g. labiausiai pažeistos atkarpos;</t>
  </si>
  <si>
    <t>Pėsčiųjų ir dviračių takų, šaligatvių (su dviračių takais) bei privažiuojamųjų kelių remonto bei įrengimo darbai</t>
  </si>
  <si>
    <t>Integruotų autobusų ir maršrutinių taksi, vnt.</t>
  </si>
  <si>
    <t>Subsidijuojamų maršrutų skaičius:</t>
  </si>
  <si>
    <t>2</t>
  </si>
  <si>
    <t>Atlikta gatvės rekonstravimo darbų. Užbaigtumas, proc.</t>
  </si>
  <si>
    <t>Atliktas gatvių – Akmenų g. (405 m), Vėjo g. (1373 m), Smėlio g. (960 m) ir Debesų g. (890 m) rekonstravimas. Užbaigtumas, proc.</t>
  </si>
  <si>
    <t>Atliktas gatvių –  Klaipėdos g. (500 m) ir Virkučių g. (1004 m) rekonstravimas. Užbaigtumas, proc.</t>
  </si>
  <si>
    <t>Atliktas gatvių – Slengių g., Lietaus g., Vaivorykštės g., Griaustinio g. ,Arimų g., Vėjo g. (II dalies), Žvaigždžių g. rekonstravimas. Užbaigtumas, proc.</t>
  </si>
  <si>
    <t>Atlikta gatvės (600 m) rekonstravimo darbų.
Užbaigtumas, proc.</t>
  </si>
  <si>
    <t>Atlikta žiedinės sankryžos rekonstravimo darbų. Užbaigtumas, proc.</t>
  </si>
  <si>
    <t>Atlikta Pamario g. (4400 m) rekonstravimo darbų (II-IV etapai). Užbaigtumas, proc.</t>
  </si>
  <si>
    <t>Atlikta Savanorių g. rekonstravimo darbų. Užbaigtumas, proc.</t>
  </si>
  <si>
    <t>Atlikta prospekto atkarpos rekonstravimo darbų.  Užbaigtumas, proc.</t>
  </si>
  <si>
    <t>10</t>
  </si>
  <si>
    <t>08</t>
  </si>
  <si>
    <t>Kelio Klaipėda-Kretinga Nr. 168 (Medelyno g.) rekonstravimas</t>
  </si>
  <si>
    <t>Įrengta stotelių su įvažomis (II etapas), vnt.</t>
  </si>
  <si>
    <t>Elektra varomo viešojo transporto naujų galimybių plėtra (DEPO), ELENA</t>
  </si>
  <si>
    <t>Parengtas tramvajaus ir elektrinių autobusų pirkimo strategijos dokumentų paketas, vnt.</t>
  </si>
  <si>
    <t>Įrengta elektromobilių įkrovimo prieigų, vnt.</t>
  </si>
  <si>
    <t>MŪD  Transporto sk.</t>
  </si>
  <si>
    <t>Šilutės plento atkarpos nuo Tilžės g. iki geležinkelio pervažos (iki Kauno g.) rekonstrukcija</t>
  </si>
  <si>
    <t>Įdiegta dviračių saugojimo (angl. bike-storing) sistema, vnt.</t>
  </si>
  <si>
    <t>Eismo juostos, skirtos iš P. Lideikio g. pasukimui į Herkaus Manto gatvę, įrengimas</t>
  </si>
  <si>
    <t>Lengvųjų automobilių taksi  ženklinimo  sprendinių projekto parengimas</t>
  </si>
  <si>
    <t>Parengtas ženklinimo sprendinių projektas, vnt.</t>
  </si>
  <si>
    <t>Transporto skyrius</t>
  </si>
  <si>
    <t>Įrengta elektros įvadų švieslenčių įrengimui, vnt.</t>
  </si>
  <si>
    <t>Tauralaukio gyvenvietės gatvių rekonstravimas</t>
  </si>
  <si>
    <t xml:space="preserve">Jūrininkų prospekto atkarpos nuo Šilutės pl. iki Minijos g. rekonstrukcija </t>
  </si>
  <si>
    <r>
      <t>Danės g. rekonstravimas (siekiant racionaliai suplanuoti jungtis su Bastionų g., nauju tiltu per Danės upę ir Artojų g.)</t>
    </r>
    <r>
      <rPr>
        <sz val="10"/>
        <color rgb="FFFF0000"/>
        <rFont val="Times New Roman"/>
        <family val="1"/>
        <charset val="186"/>
      </rPr>
      <t xml:space="preserve"> </t>
    </r>
  </si>
  <si>
    <t xml:space="preserve">Naujo įvažiuojamojo kelio (Priešpilio g.) į piliavietę ir Kruizinių laivų terminalą tiesimas </t>
  </si>
  <si>
    <t xml:space="preserve">Puodžių gatvės rekonstravimas  </t>
  </si>
  <si>
    <t xml:space="preserve">Dubliuojančios gatvės nuo Šiltnamių g. iki Klaipėdos g. su pėsčiųjų ir dviračių taku ir įvažomis į Liepojos g. įrengimas                          </t>
  </si>
  <si>
    <t xml:space="preserve">Savanorių g. rekonstravimas </t>
  </si>
  <si>
    <t>MŪD Miesto tvarkymos skyrius</t>
  </si>
  <si>
    <t>Privažiavimo vietos (slipo) prie jūros kranto įrengimas</t>
  </si>
  <si>
    <t xml:space="preserve">Joniškės g. rekonstravimas (II etapas – nuo Klemiškės g. iki Liepų g., Šienpjovių g.) </t>
  </si>
  <si>
    <t xml:space="preserve">Automobilių stovėjimo aikštelės teritorijoje Pilies g. 2A, Klaipėdoje, įrengimas </t>
  </si>
  <si>
    <t>Automatinės eismo priežiūros prietaisų įsigijimas ir nuoma</t>
  </si>
  <si>
    <r>
      <t>Uostamiesčiai: darnaus judumo principų integravimas (PORT Cities: Integrating Sustainability, PORTIS)</t>
    </r>
    <r>
      <rPr>
        <sz val="10"/>
        <color rgb="FFFF0000"/>
        <rFont val="Times New Roman"/>
        <family val="1"/>
        <charset val="186"/>
      </rPr>
      <t xml:space="preserve"> </t>
    </r>
  </si>
  <si>
    <t>Automobilių stovėjimo aikštelės teritorijoje  Bangų g., Klaipėdoje, įrengimas</t>
  </si>
  <si>
    <t xml:space="preserve">2018-ųjų metų asignavimų planas
</t>
  </si>
  <si>
    <t xml:space="preserve">Sodų bendrija „Vaiteliai“–„Rasa“ kursavimas </t>
  </si>
  <si>
    <t xml:space="preserve">Atlikta gatvės rekonstravimo darbų. Užbaigtumas, proc.
</t>
  </si>
  <si>
    <t>Švyturio gatvės rekonstravimas (I etapas – nuo Naujosios Uosto g. iki Malūnininkų g.)</t>
  </si>
  <si>
    <t>Įrengta informacinių kelių ženklų, vnt.</t>
  </si>
  <si>
    <t>Parengtas techninis projektas (įtraukti pastato griovimo ir aikštelės įrengimo darbai), vnt.</t>
  </si>
  <si>
    <t>Atlikta eismo audito tyrimų, vnt.</t>
  </si>
  <si>
    <t>Parengiamieji darbai įgyvendinat gatvių rekonstrukcijos projektus:</t>
  </si>
  <si>
    <t>Ekologiškų viešojo transporto priemonių, kuriomis važiuojant patiriami nuostoliai, vnt.</t>
  </si>
  <si>
    <t>Keleivinio transporto stotelių su įvažomis Klaipėdos miesto gatvėse projektavimas ir įrengimas</t>
  </si>
  <si>
    <t>Parengtas  (I etapo) techninis projektas, vnt.</t>
  </si>
  <si>
    <t>Parengtas (II etapo) techninis projektas, vnt.</t>
  </si>
  <si>
    <t xml:space="preserve">Įrengtas įvažos pratęsimas, esantis autobusų stotelėje "Naujasis turgus" (kryptis į pietinę miesto dalį), vnt. </t>
  </si>
  <si>
    <t>Įrengta (I etapo) stotelių su įvažomis (Vasaros estrados (pietų ir šiaurės kryptys), Rumpiškės, Kooperacijos, Juodkrantės,  Naikupės, Šilutės, Minijos, Aula Magna, Minijos stotelės), vnt.</t>
  </si>
  <si>
    <t xml:space="preserve">Keleivinio transporto stotelių su įvažomis Klaipėdos miesto gatvėse projektavimas ir įrengimas </t>
  </si>
  <si>
    <t>Parengtas (II etapo) techninis projektas ir įrengta stotelių su įvažomis, vnt.</t>
  </si>
  <si>
    <t>Įsigyta naujų ekologiškų autobusų, vnt.</t>
  </si>
  <si>
    <t>Atlikta teritorijos buitinių nuotekų remonto darbų. Užbaigtumas, proc.</t>
  </si>
  <si>
    <t>Klaipėdos miestui priklausančių elektromobilių įkrovimo stotelių eksploatavimas ir priežiūra</t>
  </si>
  <si>
    <t>Ekslpoatuojama elektromobilių įkrovimo stotelių, vnt.</t>
  </si>
  <si>
    <t>Senamiesčio grindinio atnaujinimas ir universalaus dizaino pritaikymas</t>
  </si>
  <si>
    <t>Atlikta atnaujinimo darbų. Užbaigtumas, proc.</t>
  </si>
  <si>
    <t xml:space="preserve">Parengtas investicijų projektas ir projektinis pasiūlymas, vnt. </t>
  </si>
  <si>
    <t>Įrengta neregių vedimo dangos autobusų stotelėse, vnt</t>
  </si>
  <si>
    <t>30</t>
  </si>
  <si>
    <t xml:space="preserve">2018–2020 M. KLAIPĖDOS MIESTO SAVIVALDYBĖS </t>
  </si>
  <si>
    <t>Eismo juostos, skirtos iš Prano Lideikio g. pasukti į Herkaus Manto gatvę, įrengimas</t>
  </si>
  <si>
    <t>Kelio Klaipėda–Kretinga Nr. 168 (Medelyno g.) rekonstravimas</t>
  </si>
  <si>
    <t>Šilutės plento ruožo nuo Tilžės g. iki geležinkelio pervažos (iki Kauno g.) rekonstrukcija</t>
  </si>
  <si>
    <t>Atlikta Šilutės plento ruožo rekonstravimo darbų. Užbaigtumas, proc.</t>
  </si>
  <si>
    <t>Atlikta Pamario g. (4400 m) rekonstravimo darbų (II–IV etapai). Užbaigtumas, proc.</t>
  </si>
  <si>
    <t>Atlikta Savanorių g. (800) rekonstravimo darbų. Užbaigtumas, proc.</t>
  </si>
  <si>
    <t>Atlikta prospekto ruožo rekonstravimo darbų.  Užbaigtumas, proc.</t>
  </si>
  <si>
    <t xml:space="preserve">Įrengtas įvažos pratęsimas, esantis Naujojo turgaus autobusų stotelėje (kryptis į pietinę miesto dalį), vnt. </t>
  </si>
  <si>
    <r>
      <t xml:space="preserve">Įdiegta dviračių saugojimo (angl. </t>
    </r>
    <r>
      <rPr>
        <i/>
        <sz val="10"/>
        <rFont val="Times New Roman"/>
        <family val="1"/>
        <charset val="186"/>
      </rPr>
      <t>bike-storing</t>
    </r>
    <r>
      <rPr>
        <sz val="10"/>
        <rFont val="Times New Roman"/>
        <family val="1"/>
        <charset val="186"/>
      </rPr>
      <t>) sistema, vnt.</t>
    </r>
  </si>
  <si>
    <r>
      <t>Uostamiesčiai: darnaus judumo principų integravimas (</t>
    </r>
    <r>
      <rPr>
        <i/>
        <sz val="10"/>
        <rFont val="Times New Roman"/>
        <family val="1"/>
        <charset val="186"/>
      </rPr>
      <t>PORT Cities: Integrating Sustainability</t>
    </r>
    <r>
      <rPr>
        <sz val="10"/>
        <rFont val="Times New Roman"/>
        <family val="1"/>
        <charset val="186"/>
      </rPr>
      <t>, PORTIS)</t>
    </r>
    <r>
      <rPr>
        <sz val="10"/>
        <color rgb="FFFF0000"/>
        <rFont val="Times New Roman"/>
        <family val="1"/>
        <charset val="186"/>
      </rPr>
      <t xml:space="preserve"> </t>
    </r>
  </si>
  <si>
    <r>
      <t>Kombinuotų kelionių jungčių (</t>
    </r>
    <r>
      <rPr>
        <i/>
        <sz val="10"/>
        <rFont val="Times New Roman"/>
        <family val="1"/>
        <charset val="186"/>
      </rPr>
      <t>PARK&amp;RIDE</t>
    </r>
    <r>
      <rPr>
        <sz val="10"/>
        <rFont val="Times New Roman"/>
        <family val="1"/>
        <charset val="186"/>
      </rPr>
      <t>) įrengimas (šiaurinėje miesto dalyje)</t>
    </r>
  </si>
  <si>
    <t>Sausio 15-osios g. nuo Taikos pr. iki Tilžės g. (tikslinės teritorijos ribose);</t>
  </si>
  <si>
    <t xml:space="preserve">Taikos pr. nuo Sausio 15-osios g. iki Kauno g. (tikslinės teritorijos ribose); </t>
  </si>
  <si>
    <t>Joniškės g. nuo Klaipėdos baldų iki Bangų g.;</t>
  </si>
  <si>
    <t>Statybininkų pr. nuo Taikos pr. iki Minijos g. ir žiedas (Taikos pr.);</t>
  </si>
  <si>
    <t>Smiltelės g. ruožas nuo Taikos pr. iki Minijos g.;</t>
  </si>
  <si>
    <t>Šilutės pl. ruožas nuo Rimkų geležinkelio iki Smiltelės g., aikštelė;</t>
  </si>
  <si>
    <t>Šilutės pl. labiausiai pažeisti ruožai, įvažos;</t>
  </si>
  <si>
    <t>Herkaus Manto g. labiausiai pažeisti ruožai, įvažos;</t>
  </si>
  <si>
    <t>S. Daukanto g. labiausiai pažeisti ruožai;</t>
  </si>
  <si>
    <t>2018-ųjų metų asignavi-mų planas</t>
  </si>
  <si>
    <t>2019-ųjų metų lėšų projek-tas</t>
  </si>
  <si>
    <r>
      <t xml:space="preserve">Europos Sąjungos paramos lėšos, kurios įtrauktos į savivaldybės biudžetą </t>
    </r>
    <r>
      <rPr>
        <b/>
        <sz val="10"/>
        <rFont val="Times New Roman"/>
        <family val="1"/>
        <charset val="186"/>
      </rPr>
      <t>SB(ES)</t>
    </r>
  </si>
  <si>
    <t>_____________________________</t>
  </si>
  <si>
    <t xml:space="preserve">Klaipėdos miesto savivaldybės susisiekimo sistemos                     priežiūros ir plėtros programos (Nr. 06) aprašymo                     priedas
</t>
  </si>
  <si>
    <t>Rekonstruota šviesoforų (Tilžės g. ir Sausio 15-osios g. sankryžoje, Baltijos prospekte atkarpoje tarp Šilutės pl. ir Taikos pr., Šilutės pl. prie AB „Klaipėdos energija“, Taikos pr. ties Žvejų rūmais), vnt.</t>
  </si>
  <si>
    <t>Rekonstruota šviesoforų, vnt.</t>
  </si>
  <si>
    <t>Atliktas gatvių – Slengių g., Lietaus g., Vaivorykštės g., Griaustinio g., Arimų g., Vėjo g. (II dalies), Žvaigždžių g. rekonstravimas. Užbaigtumas, proc.</t>
  </si>
  <si>
    <t>Įrengta informacinių kelio ženklų, vnt.</t>
  </si>
  <si>
    <t>P2.1.2.7-8</t>
  </si>
  <si>
    <t>Lyginamasis variantas</t>
  </si>
  <si>
    <t>Paaiškinimas</t>
  </si>
  <si>
    <t>2018-ųjų metų asignavimų planas</t>
  </si>
  <si>
    <t>Siūlomas keisti 2018-ųjų metų asignavimų planas</t>
  </si>
  <si>
    <t>Skirtumas</t>
  </si>
  <si>
    <t>Siūlomas keisti 2019-ųjų metų  lėšų projektas</t>
  </si>
  <si>
    <t>Siūlomas keisti 2020-ųjų metų  lėšų projektas</t>
  </si>
  <si>
    <t>Siūlomas keisti 2018 metų  asignavimų planas</t>
  </si>
  <si>
    <t xml:space="preserve">Atlikta gatvės (410 m) rekonstravimo darbų. Užbaigtumas, proc. </t>
  </si>
  <si>
    <t>Suremontuota šaligatvių su dviračių takais (2018 m.), ha</t>
  </si>
  <si>
    <t>Atlikta prospekto ruožo rekonstravimo darbų. Užbaigtumas, proc.</t>
  </si>
  <si>
    <t>Klemiškės g. rekonstravimas</t>
  </si>
  <si>
    <t>Naujo kelio tarp Klemiškės g. ir Tilžės g. tiesimas</t>
  </si>
  <si>
    <t>SB(ES)</t>
  </si>
  <si>
    <t>__________________________________________________</t>
  </si>
  <si>
    <t xml:space="preserve">2018–2021 M. KLAIPĖDOS MIESTO SAVIVALDYBĖS     </t>
  </si>
  <si>
    <t>2021-ųjų metų lėšų projektas</t>
  </si>
  <si>
    <t>2021-ieji metai</t>
  </si>
  <si>
    <t xml:space="preserve"> Miesto tvarkymo sk.</t>
  </si>
  <si>
    <t>80</t>
  </si>
  <si>
    <t>Siūloma nauja priemonė iš Miesto plėtros ir strateginio planavimo komiteto. Protokolas 2018-06-20 Nr. TAR-56</t>
  </si>
  <si>
    <t>Danės vietinės reikšmės vidaus kelio priežiūros organizavimas</t>
  </si>
  <si>
    <t>Jūrininkų prospekto ruožo nuo Šilutės pl. iki Minijos g. kapitalinis remontas</t>
  </si>
  <si>
    <t>Neeksploatuojamų požeminių perėjų Šilutės pl. kapitalinis remontas</t>
  </si>
  <si>
    <t>Eksploatuojama elektromobilių įkrovimo stotelių, vnt.</t>
  </si>
  <si>
    <r>
      <t xml:space="preserve">Renginių, kurių metu keleiviams bus taikomos lengvatos, vnt. (2018 m. renginiai: Diena be automobilio, Lietuvos vakarų krašto dainų šventė,  skirta Lietuvos valstybės atkūrimo 100-mečiui, tarptautinis folkloro festivalis „Parbėg laivelis“, </t>
    </r>
    <r>
      <rPr>
        <sz val="10"/>
        <color rgb="FFFF0000"/>
        <rFont val="Times New Roman"/>
        <family val="1"/>
        <charset val="186"/>
      </rPr>
      <t>Jūros šventės metu, NATO šalių tarptautinių jūrinių pratybų „Baltops‘18“ kariams birželio 1-4 d.), vnt.</t>
    </r>
  </si>
  <si>
    <t>Renginių, kurių metu keleiviams bus taikomos lengvatos, vnt. (2018 m. renginiai: Diena be automobilio, Lietuvos vakarų krašto dainų šventė,  skirta Lietuvos valstybės atkūrimo 100-mečiui, tarptautinis folkloro festivalis „Parbėg laivelis“, Jūros šventės metu, NATO šalių tarptautinių jūrinių pratybų „Baltops‘18“ kariams birželio 1-4 d.), vnt.</t>
  </si>
  <si>
    <t>Atliktas poveikio aplinkai vertinimo  dokumentas, vnt.</t>
  </si>
  <si>
    <t>Atliktas poveikio aplinkai vertinimo dokumentas, vnt.</t>
  </si>
  <si>
    <t>Atliktas poveikio aplinka vertinimo dokumentas, vnt.</t>
  </si>
  <si>
    <t xml:space="preserve"> 5</t>
  </si>
  <si>
    <t>14</t>
  </si>
  <si>
    <t>I, P7</t>
  </si>
  <si>
    <t xml:space="preserve">Kiemų, kuriuose  atlikta asfalto dangos remonto darbų, skaičius </t>
  </si>
  <si>
    <t>2019-ųjų metų asignavimų planas</t>
  </si>
  <si>
    <t xml:space="preserve">*pagal Klaipėdos miesto savivaldybės tarybos 2017-07-26 sprendimą Nr. T2-162
</t>
  </si>
  <si>
    <t>STR3-13</t>
  </si>
  <si>
    <t>pakeista įsakymu STR3-10</t>
  </si>
  <si>
    <t>įsakymas</t>
  </si>
  <si>
    <t>I, P2</t>
  </si>
  <si>
    <t>P2</t>
  </si>
  <si>
    <r>
      <t xml:space="preserve">P2.1.2.5,  </t>
    </r>
    <r>
      <rPr>
        <b/>
        <sz val="10"/>
        <rFont val="Times New Roman"/>
        <family val="1"/>
        <charset val="186"/>
      </rPr>
      <t>P2</t>
    </r>
  </si>
  <si>
    <r>
      <t xml:space="preserve">P2.1.2.7-8, </t>
    </r>
    <r>
      <rPr>
        <b/>
        <sz val="9"/>
        <rFont val="Times New Roman"/>
        <family val="1"/>
        <charset val="186"/>
      </rPr>
      <t>P2</t>
    </r>
  </si>
  <si>
    <r>
      <t xml:space="preserve">P2.1.2.10, </t>
    </r>
    <r>
      <rPr>
        <b/>
        <sz val="10"/>
        <rFont val="Times New Roman"/>
        <family val="1"/>
        <charset val="186"/>
      </rPr>
      <t>P2</t>
    </r>
  </si>
  <si>
    <t>Stebėjimo kamerų tinklo diegimas autobusų ir geležinkelių stotyse bei intermodaliniuose centruose (Darnaus judumo planas)</t>
  </si>
  <si>
    <t xml:space="preserve">darnaus judumo </t>
  </si>
  <si>
    <t>Atlikta sankryžos rekonstravimo darbų. Užbaigtumas, proc.</t>
  </si>
  <si>
    <t>Parengta ekspertizė, vnt.</t>
  </si>
  <si>
    <t>40</t>
  </si>
  <si>
    <t xml:space="preserve">Reikalinga mažinti papriemonės finansavimo apimtį 300 tūkst. Eur iš kelių priežiūros ir plėtros programos lėšų, tam, kad būtų užtikrinta atitiktis Lietuvos Respublikos susisiekimo ministro 2018 m. lapkričio 21 d.  įsakyme Nr.3-581 "Dėl Lietuvos Respublikos susisiekimo ministro 2018 m. gegužės 16 d. įsakymo Nr.3-234 "Dėl vietinės reikšmės kelių (gatvių) tikslinio finansavimo 2018 metų sąrašo patvirtinimo" pakeitimo" nurodytai sumai. Savivaldybė inicijavo minėto teisės akto pakeitimą, nes dėl užsitęsusių darbų iki 2018 m. galo nebūtų įmanoma panaudoti valstybės skirtų lėšų šiam objektui. </t>
  </si>
  <si>
    <t xml:space="preserve">Reikalinga padidinti papriemonės finansavimo apimtį 300 tūkst. Eur iš kelių priežiūros ir plėtros programos lėšų, tam, kad būtų užtikrinta atitiktis Lietuvos Respublikos susisiekimo ministro 2018 m. lapkričio 21 d.  įsakyme Nr.3-581 "Dėl Lietuvos Respublikos susisiekimo ministro 2018 m. gegužės 16 d. įsakymo Nr.3-234 "Dėl vietinės reikšmės kelių (gatvių) tikslinio finansavimo 2018 metų sąrašo patvirtinimo" pakeitimo" nurodytai sumai. Savivaldybė inicijavo minėto teisės akto pakeitimą, nes darbai remontuojant Jūrininkų prospektą vyko sparčiau nei planuota metų pradžioje ir iki metų galo galima panaudoti daugiau valstybės skiriamų lėšų ir neprarasti miestui skiriamo finansavimo.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</si>
</sst>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
    <numFmt numFmtId="166" formatCode="#,##0.0"/>
  </numFmts>
  <fonts count="46" x14ac:knownFonts="1">
    <font>
      <sz val="10"/>
      <name val="Arial"/>
      <charset val="186"/>
    </font>
    <font>
      <sz val="8"/>
      <name val="Arial"/>
      <family val="2"/>
      <charset val="186"/>
    </font>
    <font>
      <sz val="8"/>
      <name val="Times New Roman"/>
      <family val="1"/>
      <charset val="186"/>
    </font>
    <font>
      <sz val="10"/>
      <name val="Times New Roman"/>
      <family val="1"/>
      <charset val="186"/>
    </font>
    <font>
      <b/>
      <sz val="10"/>
      <name val="Times New Roman"/>
      <family val="1"/>
      <charset val="186"/>
    </font>
    <font>
      <b/>
      <sz val="8"/>
      <name val="Times New Roman"/>
      <family val="1"/>
      <charset val="186"/>
    </font>
    <font>
      <b/>
      <sz val="10"/>
      <name val="Times New Roman"/>
      <family val="1"/>
      <charset val="204"/>
    </font>
    <font>
      <sz val="9"/>
      <name val="Times New Roman"/>
      <family val="1"/>
      <charset val="186"/>
    </font>
    <font>
      <b/>
      <u/>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b/>
      <sz val="9"/>
      <name val="Times New Roman"/>
      <family val="1"/>
      <charset val="186"/>
    </font>
    <font>
      <sz val="8"/>
      <name val="Arial"/>
      <family val="2"/>
      <charset val="186"/>
    </font>
    <font>
      <sz val="9"/>
      <name val="Arial"/>
      <family val="2"/>
      <charset val="186"/>
    </font>
    <font>
      <sz val="10"/>
      <color rgb="FFFF0000"/>
      <name val="Times New Roman"/>
      <family val="1"/>
      <charset val="186"/>
    </font>
    <font>
      <sz val="7"/>
      <name val="Times New Roman"/>
      <family val="1"/>
      <charset val="186"/>
    </font>
    <font>
      <sz val="7"/>
      <name val="Arial"/>
      <family val="2"/>
      <charset val="186"/>
    </font>
    <font>
      <b/>
      <sz val="10"/>
      <color indexed="81"/>
      <name val="Tahoma"/>
      <family val="2"/>
      <charset val="186"/>
    </font>
    <font>
      <sz val="10"/>
      <color indexed="81"/>
      <name val="Tahoma"/>
      <family val="2"/>
      <charset val="186"/>
    </font>
    <font>
      <i/>
      <sz val="10"/>
      <name val="Times New Roman"/>
      <family val="1"/>
      <charset val="186"/>
    </font>
    <font>
      <sz val="11"/>
      <name val="Times New Roman"/>
      <family val="1"/>
      <charset val="186"/>
    </font>
    <font>
      <b/>
      <sz val="11"/>
      <name val="Times New Roman"/>
      <family val="1"/>
      <charset val="186"/>
    </font>
    <font>
      <sz val="11"/>
      <name val="Calibri"/>
      <family val="2"/>
      <charset val="186"/>
      <scheme val="minor"/>
    </font>
    <font>
      <sz val="10"/>
      <color theme="3"/>
      <name val="Times New Roman"/>
      <family val="1"/>
      <charset val="186"/>
    </font>
    <font>
      <sz val="10"/>
      <color theme="1"/>
      <name val="Times New Roman"/>
      <family val="1"/>
      <charset val="186"/>
    </font>
    <font>
      <i/>
      <sz val="8"/>
      <name val="Times New Roman"/>
      <family val="1"/>
      <charset val="186"/>
    </font>
    <font>
      <b/>
      <i/>
      <sz val="10"/>
      <name val="Times New Roman"/>
      <family val="1"/>
      <charset val="186"/>
    </font>
    <font>
      <i/>
      <sz val="10"/>
      <color theme="1"/>
      <name val="Times New Roman"/>
      <family val="1"/>
      <charset val="186"/>
    </font>
    <font>
      <sz val="10"/>
      <color rgb="FF1F497D"/>
      <name val="Times New Roman"/>
      <family val="1"/>
      <charset val="186"/>
    </font>
    <font>
      <sz val="10"/>
      <color theme="1"/>
      <name val="Arial"/>
      <family val="2"/>
      <charset val="186"/>
    </font>
    <font>
      <sz val="10"/>
      <color theme="1"/>
      <name val="Times New Roman"/>
      <family val="1"/>
    </font>
    <font>
      <sz val="9"/>
      <color theme="1"/>
      <name val="Times New Roman"/>
      <family val="1"/>
      <charset val="186"/>
    </font>
    <font>
      <b/>
      <sz val="10"/>
      <color rgb="FFFF0000"/>
      <name val="Times New Roman"/>
      <family val="1"/>
      <charset val="186"/>
    </font>
    <font>
      <b/>
      <sz val="12"/>
      <name val="Times New Roman"/>
      <family val="1"/>
      <charset val="186"/>
    </font>
    <font>
      <sz val="12"/>
      <name val="Times New Roman"/>
      <family val="1"/>
      <charset val="186"/>
    </font>
    <font>
      <sz val="10"/>
      <color rgb="FFFF0000"/>
      <name val="Arial"/>
      <family val="2"/>
      <charset val="186"/>
    </font>
    <font>
      <sz val="7"/>
      <color rgb="FFFF0000"/>
      <name val="Arial"/>
      <family val="2"/>
      <charset val="186"/>
    </font>
    <font>
      <b/>
      <sz val="10"/>
      <color theme="1"/>
      <name val="Times New Roman"/>
      <family val="1"/>
      <charset val="186"/>
    </font>
    <font>
      <b/>
      <sz val="8"/>
      <color rgb="FFFF0000"/>
      <name val="Times New Roman"/>
      <family val="1"/>
      <charset val="186"/>
    </font>
    <font>
      <sz val="9"/>
      <color rgb="FFFF0000"/>
      <name val="Times New Roman"/>
      <family val="1"/>
      <charset val="186"/>
    </font>
    <font>
      <strike/>
      <sz val="10"/>
      <name val="Times New Roman"/>
      <family val="1"/>
      <charset val="186"/>
    </font>
    <font>
      <strike/>
      <sz val="10"/>
      <color rgb="FFFF0000"/>
      <name val="Times New Roman"/>
      <family val="1"/>
      <charset val="186"/>
    </font>
    <font>
      <sz val="8"/>
      <color indexed="81"/>
      <name val="Tahoma"/>
      <family val="2"/>
      <charset val="186"/>
    </font>
    <font>
      <sz val="10"/>
      <color theme="0"/>
      <name val="Times New Roman"/>
      <family val="1"/>
      <charset val="186"/>
    </font>
    <font>
      <strike/>
      <sz val="9"/>
      <name val="Times New Roman"/>
      <family val="1"/>
      <charset val="186"/>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tint="-0.249977111117893"/>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right/>
      <top/>
      <bottom style="hair">
        <color indexed="64"/>
      </bottom>
      <diagonal/>
    </border>
    <border>
      <left style="thin">
        <color indexed="64"/>
      </left>
      <right style="medium">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s>
  <cellStyleXfs count="3">
    <xf numFmtId="0" fontId="0" fillId="0" borderId="0"/>
    <xf numFmtId="164" fontId="9" fillId="0" borderId="0" applyFont="0" applyFill="0" applyBorder="0" applyAlignment="0" applyProtection="0"/>
    <xf numFmtId="0" fontId="9" fillId="0" borderId="0"/>
  </cellStyleXfs>
  <cellXfs count="2281">
    <xf numFmtId="0" fontId="0" fillId="0" borderId="0" xfId="0"/>
    <xf numFmtId="0" fontId="3" fillId="0" borderId="0" xfId="0" applyFont="1" applyBorder="1" applyAlignment="1">
      <alignment vertical="top"/>
    </xf>
    <xf numFmtId="0" fontId="3" fillId="0" borderId="0" xfId="0" applyFont="1" applyAlignment="1">
      <alignment vertical="top"/>
    </xf>
    <xf numFmtId="0" fontId="3" fillId="0" borderId="0" xfId="0" applyFont="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166" fontId="3" fillId="0" borderId="25" xfId="0" applyNumberFormat="1" applyFont="1" applyFill="1" applyBorder="1" applyAlignment="1">
      <alignment horizontal="center" vertical="top"/>
    </xf>
    <xf numFmtId="3" fontId="3" fillId="0" borderId="28" xfId="0" applyNumberFormat="1" applyFont="1" applyFill="1" applyBorder="1" applyAlignment="1">
      <alignment horizontal="center" vertical="top" wrapText="1"/>
    </xf>
    <xf numFmtId="0" fontId="3" fillId="0" borderId="0" xfId="0" applyFont="1" applyAlignment="1">
      <alignment vertical="center"/>
    </xf>
    <xf numFmtId="164" fontId="3" fillId="0" borderId="0" xfId="1" applyFont="1" applyBorder="1" applyAlignment="1">
      <alignment vertical="top"/>
    </xf>
    <xf numFmtId="0" fontId="9" fillId="0" borderId="0" xfId="0" applyFont="1"/>
    <xf numFmtId="0" fontId="4" fillId="0" borderId="0" xfId="0" applyNumberFormat="1" applyFont="1" applyAlignment="1">
      <alignment vertical="top"/>
    </xf>
    <xf numFmtId="0" fontId="3" fillId="0" borderId="28" xfId="0" applyFont="1" applyBorder="1" applyAlignment="1">
      <alignment vertical="top"/>
    </xf>
    <xf numFmtId="49" fontId="4" fillId="2" borderId="35" xfId="0" applyNumberFormat="1" applyFont="1" applyFill="1" applyBorder="1" applyAlignment="1">
      <alignment horizontal="center" vertical="top"/>
    </xf>
    <xf numFmtId="166" fontId="3" fillId="0" borderId="0" xfId="0" applyNumberFormat="1" applyFont="1" applyAlignment="1">
      <alignment vertical="top"/>
    </xf>
    <xf numFmtId="3" fontId="3" fillId="0" borderId="20" xfId="0" applyNumberFormat="1" applyFont="1" applyFill="1" applyBorder="1" applyAlignment="1">
      <alignment horizontal="center" vertical="top"/>
    </xf>
    <xf numFmtId="0" fontId="3" fillId="0" borderId="32" xfId="0" applyFont="1" applyBorder="1" applyAlignment="1">
      <alignment vertical="top"/>
    </xf>
    <xf numFmtId="0" fontId="3" fillId="0" borderId="32" xfId="0" applyFont="1" applyBorder="1" applyAlignment="1">
      <alignment vertical="center"/>
    </xf>
    <xf numFmtId="0" fontId="4" fillId="0" borderId="32" xfId="0" applyNumberFormat="1" applyFont="1" applyBorder="1" applyAlignment="1">
      <alignment vertical="top"/>
    </xf>
    <xf numFmtId="3" fontId="3" fillId="0" borderId="28" xfId="0" applyNumberFormat="1" applyFont="1" applyFill="1" applyBorder="1" applyAlignment="1">
      <alignment horizontal="center" vertical="top"/>
    </xf>
    <xf numFmtId="49" fontId="4" fillId="9" borderId="16" xfId="0" applyNumberFormat="1" applyFont="1" applyFill="1" applyBorder="1" applyAlignment="1">
      <alignment horizontal="center" vertical="top" wrapText="1"/>
    </xf>
    <xf numFmtId="0" fontId="3" fillId="7" borderId="29" xfId="0" applyFont="1" applyFill="1" applyBorder="1" applyAlignment="1">
      <alignment vertical="top" wrapText="1"/>
    </xf>
    <xf numFmtId="3" fontId="3" fillId="7" borderId="28" xfId="0" applyNumberFormat="1" applyFont="1" applyFill="1" applyBorder="1" applyAlignment="1">
      <alignment horizontal="center" vertical="top"/>
    </xf>
    <xf numFmtId="3" fontId="3" fillId="7" borderId="27" xfId="0" applyNumberFormat="1" applyFont="1" applyFill="1" applyBorder="1" applyAlignment="1">
      <alignment horizontal="center" vertical="top"/>
    </xf>
    <xf numFmtId="0" fontId="3" fillId="0" borderId="66" xfId="0" applyFont="1" applyBorder="1" applyAlignment="1">
      <alignment vertical="top"/>
    </xf>
    <xf numFmtId="3" fontId="3" fillId="0" borderId="83"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3" fontId="3" fillId="7" borderId="87" xfId="0" applyNumberFormat="1" applyFont="1" applyFill="1" applyBorder="1" applyAlignment="1">
      <alignment horizontal="center" vertical="top"/>
    </xf>
    <xf numFmtId="3" fontId="3" fillId="7" borderId="88" xfId="0" applyNumberFormat="1" applyFont="1" applyFill="1" applyBorder="1" applyAlignment="1">
      <alignment horizontal="center" vertical="top"/>
    </xf>
    <xf numFmtId="3" fontId="3" fillId="7" borderId="80" xfId="0" applyNumberFormat="1" applyFont="1" applyFill="1" applyBorder="1" applyAlignment="1">
      <alignment horizontal="center" vertical="top"/>
    </xf>
    <xf numFmtId="3" fontId="3" fillId="0" borderId="13" xfId="0" applyNumberFormat="1" applyFont="1" applyFill="1" applyBorder="1" applyAlignment="1">
      <alignment horizontal="center" vertical="top"/>
    </xf>
    <xf numFmtId="3" fontId="3" fillId="0" borderId="13" xfId="0" applyNumberFormat="1" applyFont="1" applyFill="1" applyBorder="1" applyAlignment="1">
      <alignment horizontal="center" vertical="top" wrapText="1"/>
    </xf>
    <xf numFmtId="0" fontId="3" fillId="7" borderId="86" xfId="0" applyFont="1" applyFill="1" applyBorder="1" applyAlignment="1">
      <alignment horizontal="left" vertical="top" wrapText="1"/>
    </xf>
    <xf numFmtId="3" fontId="3" fillId="7" borderId="27" xfId="0" applyNumberFormat="1" applyFont="1" applyFill="1" applyBorder="1" applyAlignment="1">
      <alignment horizontal="center" vertical="top" wrapText="1"/>
    </xf>
    <xf numFmtId="3" fontId="3" fillId="0" borderId="87" xfId="0" applyNumberFormat="1" applyFont="1" applyFill="1" applyBorder="1" applyAlignment="1">
      <alignment horizontal="center" vertical="top"/>
    </xf>
    <xf numFmtId="3" fontId="3" fillId="0" borderId="88" xfId="0" applyNumberFormat="1" applyFont="1" applyFill="1" applyBorder="1" applyAlignment="1">
      <alignment horizontal="center" vertical="top"/>
    </xf>
    <xf numFmtId="166" fontId="3" fillId="0" borderId="11" xfId="0" applyNumberFormat="1" applyFont="1" applyFill="1" applyBorder="1" applyAlignment="1">
      <alignment horizontal="center" vertical="top"/>
    </xf>
    <xf numFmtId="166" fontId="3" fillId="0" borderId="18" xfId="0" applyNumberFormat="1" applyFont="1" applyFill="1" applyBorder="1" applyAlignment="1">
      <alignment horizontal="center" vertical="top"/>
    </xf>
    <xf numFmtId="49" fontId="4" fillId="0" borderId="35" xfId="0" applyNumberFormat="1" applyFont="1" applyBorder="1" applyAlignment="1">
      <alignment horizontal="center" vertical="top"/>
    </xf>
    <xf numFmtId="0" fontId="3" fillId="7" borderId="6" xfId="0" applyFont="1" applyFill="1" applyBorder="1" applyAlignment="1">
      <alignment horizontal="center" vertical="top"/>
    </xf>
    <xf numFmtId="49" fontId="3" fillId="7" borderId="11" xfId="0" applyNumberFormat="1" applyFont="1" applyFill="1" applyBorder="1" applyAlignment="1">
      <alignment horizontal="center" vertical="top"/>
    </xf>
    <xf numFmtId="3" fontId="3" fillId="0" borderId="0" xfId="0" applyNumberFormat="1" applyFont="1" applyBorder="1" applyAlignment="1">
      <alignment vertical="top"/>
    </xf>
    <xf numFmtId="166" fontId="3" fillId="7" borderId="49" xfId="0" applyNumberFormat="1" applyFont="1" applyFill="1" applyBorder="1" applyAlignment="1">
      <alignment horizontal="center" vertical="top"/>
    </xf>
    <xf numFmtId="166" fontId="3" fillId="7" borderId="18" xfId="0" applyNumberFormat="1" applyFont="1" applyFill="1" applyBorder="1" applyAlignment="1">
      <alignment horizontal="center" vertical="top"/>
    </xf>
    <xf numFmtId="166" fontId="3" fillId="7" borderId="35"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166" fontId="3" fillId="7" borderId="27" xfId="0" applyNumberFormat="1" applyFont="1" applyFill="1" applyBorder="1" applyAlignment="1">
      <alignment horizontal="center" vertical="top"/>
    </xf>
    <xf numFmtId="0" fontId="3" fillId="7" borderId="81" xfId="0" applyFont="1" applyFill="1" applyBorder="1" applyAlignment="1">
      <alignment horizontal="left" vertical="top" wrapText="1"/>
    </xf>
    <xf numFmtId="3" fontId="3" fillId="7" borderId="28" xfId="0" applyNumberFormat="1" applyFont="1" applyFill="1" applyBorder="1" applyAlignment="1">
      <alignment horizontal="center" vertical="top" wrapText="1"/>
    </xf>
    <xf numFmtId="0" fontId="3" fillId="7" borderId="66" xfId="0" applyFont="1" applyFill="1" applyBorder="1" applyAlignment="1">
      <alignment horizontal="center" vertical="top"/>
    </xf>
    <xf numFmtId="0" fontId="3" fillId="7" borderId="34" xfId="0" applyFont="1" applyFill="1" applyBorder="1" applyAlignment="1">
      <alignment horizontal="center" vertical="top"/>
    </xf>
    <xf numFmtId="3" fontId="3" fillId="7" borderId="35" xfId="0" applyNumberFormat="1" applyFont="1" applyFill="1" applyBorder="1" applyAlignment="1">
      <alignment horizontal="center" vertical="top"/>
    </xf>
    <xf numFmtId="3" fontId="3" fillId="7" borderId="87" xfId="0" applyNumberFormat="1" applyFont="1" applyFill="1" applyBorder="1" applyAlignment="1">
      <alignment horizontal="center" vertical="top" wrapText="1"/>
    </xf>
    <xf numFmtId="166" fontId="3" fillId="7" borderId="20" xfId="0" applyNumberFormat="1" applyFont="1" applyFill="1" applyBorder="1" applyAlignment="1">
      <alignment horizontal="center" vertical="top"/>
    </xf>
    <xf numFmtId="166" fontId="3" fillId="0" borderId="0" xfId="0" applyNumberFormat="1" applyFont="1" applyBorder="1" applyAlignment="1">
      <alignment vertical="top"/>
    </xf>
    <xf numFmtId="166" fontId="3" fillId="7" borderId="23" xfId="0" applyNumberFormat="1" applyFont="1" applyFill="1" applyBorder="1" applyAlignment="1">
      <alignment vertical="top"/>
    </xf>
    <xf numFmtId="49" fontId="4" fillId="7" borderId="32" xfId="0" applyNumberFormat="1" applyFont="1" applyFill="1" applyBorder="1" applyAlignment="1">
      <alignment horizontal="center" vertical="top"/>
    </xf>
    <xf numFmtId="3" fontId="3" fillId="0" borderId="35" xfId="0" applyNumberFormat="1" applyFont="1" applyFill="1" applyBorder="1" applyAlignment="1">
      <alignment horizontal="center" vertical="top" wrapText="1"/>
    </xf>
    <xf numFmtId="0" fontId="4" fillId="0" borderId="24" xfId="0" applyFont="1" applyBorder="1" applyAlignment="1">
      <alignment horizontal="center" vertical="center" wrapText="1"/>
    </xf>
    <xf numFmtId="0" fontId="8" fillId="7" borderId="49" xfId="0" applyFont="1" applyFill="1" applyBorder="1" applyAlignment="1">
      <alignment vertical="top" wrapText="1"/>
    </xf>
    <xf numFmtId="166" fontId="3" fillId="7" borderId="8" xfId="0" applyNumberFormat="1" applyFont="1" applyFill="1" applyBorder="1" applyAlignment="1">
      <alignment horizontal="center" vertical="top"/>
    </xf>
    <xf numFmtId="166" fontId="3" fillId="0" borderId="23" xfId="0" applyNumberFormat="1" applyFont="1" applyBorder="1" applyAlignment="1">
      <alignment horizontal="center" vertical="top"/>
    </xf>
    <xf numFmtId="166" fontId="3" fillId="0" borderId="23" xfId="0" applyNumberFormat="1" applyFont="1" applyFill="1" applyBorder="1" applyAlignment="1">
      <alignment horizontal="center" vertical="top"/>
    </xf>
    <xf numFmtId="166" fontId="3" fillId="7" borderId="23" xfId="0" applyNumberFormat="1" applyFont="1" applyFill="1" applyBorder="1" applyAlignment="1">
      <alignment horizontal="center" vertical="top" wrapText="1"/>
    </xf>
    <xf numFmtId="166" fontId="3" fillId="0" borderId="6" xfId="0" applyNumberFormat="1" applyFont="1" applyFill="1" applyBorder="1" applyAlignment="1">
      <alignment horizontal="center" vertical="top"/>
    </xf>
    <xf numFmtId="166" fontId="3" fillId="7" borderId="95" xfId="0" applyNumberFormat="1" applyFont="1" applyFill="1" applyBorder="1" applyAlignment="1">
      <alignment horizontal="center" vertical="top"/>
    </xf>
    <xf numFmtId="166" fontId="3" fillId="7" borderId="44" xfId="0" applyNumberFormat="1" applyFont="1" applyFill="1" applyBorder="1" applyAlignment="1">
      <alignment horizontal="center" vertical="top"/>
    </xf>
    <xf numFmtId="166" fontId="3" fillId="7" borderId="23" xfId="0" applyNumberFormat="1" applyFont="1" applyFill="1" applyBorder="1" applyAlignment="1">
      <alignment horizontal="center" vertical="top"/>
    </xf>
    <xf numFmtId="166" fontId="3" fillId="7" borderId="6" xfId="0" applyNumberFormat="1" applyFont="1" applyFill="1" applyBorder="1" applyAlignment="1">
      <alignment horizontal="center" vertical="top"/>
    </xf>
    <xf numFmtId="166" fontId="3" fillId="0" borderId="29" xfId="0" applyNumberFormat="1" applyFont="1" applyFill="1" applyBorder="1" applyAlignment="1">
      <alignment vertical="top" wrapText="1"/>
    </xf>
    <xf numFmtId="166" fontId="3" fillId="7" borderId="6" xfId="0" applyNumberFormat="1" applyFont="1" applyFill="1" applyBorder="1" applyAlignment="1">
      <alignment horizontal="center" vertical="top" wrapText="1"/>
    </xf>
    <xf numFmtId="166" fontId="3" fillId="3" borderId="10" xfId="0" applyNumberFormat="1" applyFont="1" applyFill="1" applyBorder="1" applyAlignment="1">
      <alignment horizontal="center" vertical="top"/>
    </xf>
    <xf numFmtId="166" fontId="3" fillId="0" borderId="12" xfId="0" applyNumberFormat="1" applyFont="1" applyFill="1" applyBorder="1" applyAlignment="1">
      <alignment horizontal="left" vertical="top" wrapText="1"/>
    </xf>
    <xf numFmtId="166" fontId="3" fillId="7" borderId="101" xfId="0" applyNumberFormat="1" applyFont="1" applyFill="1" applyBorder="1" applyAlignment="1">
      <alignment horizontal="center" vertical="top"/>
    </xf>
    <xf numFmtId="166" fontId="3" fillId="0" borderId="23" xfId="0" applyNumberFormat="1" applyFont="1" applyFill="1" applyBorder="1" applyAlignment="1">
      <alignment horizontal="center" vertical="top" wrapText="1"/>
    </xf>
    <xf numFmtId="166" fontId="4" fillId="9" borderId="74" xfId="0" applyNumberFormat="1" applyFont="1" applyFill="1" applyBorder="1" applyAlignment="1">
      <alignment horizontal="center" vertical="top"/>
    </xf>
    <xf numFmtId="166" fontId="4" fillId="3" borderId="10" xfId="0" applyNumberFormat="1" applyFont="1" applyFill="1" applyBorder="1" applyAlignment="1">
      <alignment horizontal="center" vertical="top"/>
    </xf>
    <xf numFmtId="166" fontId="3" fillId="0" borderId="16" xfId="0" applyNumberFormat="1" applyFont="1" applyFill="1" applyBorder="1" applyAlignment="1">
      <alignment horizontal="left" vertical="top" wrapText="1"/>
    </xf>
    <xf numFmtId="166" fontId="3" fillId="3" borderId="70" xfId="0" applyNumberFormat="1" applyFont="1" applyFill="1" applyBorder="1" applyAlignment="1">
      <alignment horizontal="center" vertical="top"/>
    </xf>
    <xf numFmtId="166" fontId="3" fillId="3" borderId="12" xfId="0" applyNumberFormat="1" applyFont="1" applyFill="1" applyBorder="1" applyAlignment="1">
      <alignment vertical="top" wrapText="1"/>
    </xf>
    <xf numFmtId="166" fontId="3" fillId="3" borderId="23" xfId="0" applyNumberFormat="1" applyFont="1" applyFill="1" applyBorder="1" applyAlignment="1">
      <alignment horizontal="center" vertical="top"/>
    </xf>
    <xf numFmtId="166" fontId="8" fillId="3" borderId="42" xfId="0" applyNumberFormat="1" applyFont="1" applyFill="1" applyBorder="1" applyAlignment="1">
      <alignment horizontal="left" vertical="top" wrapText="1"/>
    </xf>
    <xf numFmtId="166" fontId="3" fillId="7" borderId="109" xfId="0" applyNumberFormat="1" applyFont="1" applyFill="1" applyBorder="1" applyAlignment="1">
      <alignment horizontal="center" vertical="top"/>
    </xf>
    <xf numFmtId="166" fontId="4" fillId="3" borderId="23" xfId="0" applyNumberFormat="1" applyFont="1" applyFill="1" applyBorder="1" applyAlignment="1">
      <alignment horizontal="center" vertical="top"/>
    </xf>
    <xf numFmtId="166" fontId="3" fillId="7" borderId="10" xfId="0" applyNumberFormat="1" applyFont="1" applyFill="1" applyBorder="1" applyAlignment="1">
      <alignment horizontal="right" vertical="top"/>
    </xf>
    <xf numFmtId="166" fontId="4" fillId="9" borderId="55" xfId="0" applyNumberFormat="1" applyFont="1" applyFill="1" applyBorder="1" applyAlignment="1">
      <alignment horizontal="center" vertical="top"/>
    </xf>
    <xf numFmtId="166" fontId="4" fillId="2" borderId="4" xfId="0" applyNumberFormat="1" applyFont="1" applyFill="1" applyBorder="1" applyAlignment="1">
      <alignment horizontal="center" vertical="top"/>
    </xf>
    <xf numFmtId="166" fontId="3" fillId="2" borderId="56" xfId="0" applyNumberFormat="1" applyFont="1" applyFill="1" applyBorder="1" applyAlignment="1">
      <alignment horizontal="center" vertical="top" wrapText="1"/>
    </xf>
    <xf numFmtId="166" fontId="3" fillId="2" borderId="33" xfId="0" applyNumberFormat="1" applyFont="1" applyFill="1" applyBorder="1" applyAlignment="1">
      <alignment horizontal="center" vertical="top" wrapText="1"/>
    </xf>
    <xf numFmtId="166" fontId="3" fillId="7" borderId="70" xfId="0" applyNumberFormat="1" applyFont="1" applyFill="1" applyBorder="1" applyAlignment="1">
      <alignment horizontal="center" vertical="top"/>
    </xf>
    <xf numFmtId="166" fontId="3" fillId="0" borderId="70" xfId="0" applyNumberFormat="1" applyFont="1" applyBorder="1" applyAlignment="1">
      <alignment vertical="top"/>
    </xf>
    <xf numFmtId="166" fontId="3" fillId="0" borderId="34" xfId="0" applyNumberFormat="1" applyFont="1" applyFill="1" applyBorder="1" applyAlignment="1">
      <alignment horizontal="center" vertical="top"/>
    </xf>
    <xf numFmtId="166" fontId="3" fillId="7" borderId="34" xfId="0" applyNumberFormat="1" applyFont="1" applyFill="1" applyBorder="1" applyAlignment="1">
      <alignment horizontal="center" vertical="top"/>
    </xf>
    <xf numFmtId="166" fontId="3" fillId="0" borderId="104" xfId="0" applyNumberFormat="1" applyFont="1" applyFill="1" applyBorder="1" applyAlignment="1">
      <alignment horizontal="center" vertical="top"/>
    </xf>
    <xf numFmtId="166" fontId="3" fillId="7" borderId="86" xfId="0" applyNumberFormat="1" applyFont="1" applyFill="1" applyBorder="1" applyAlignment="1">
      <alignment horizontal="left" vertical="top" wrapText="1"/>
    </xf>
    <xf numFmtId="166" fontId="3" fillId="7" borderId="66" xfId="0" applyNumberFormat="1" applyFont="1" applyFill="1" applyBorder="1" applyAlignment="1">
      <alignment horizontal="center" vertical="top"/>
    </xf>
    <xf numFmtId="166" fontId="3" fillId="7" borderId="50" xfId="0" applyNumberFormat="1" applyFont="1" applyFill="1" applyBorder="1" applyAlignment="1">
      <alignment horizontal="center" vertical="top"/>
    </xf>
    <xf numFmtId="166" fontId="4" fillId="7" borderId="0" xfId="0" applyNumberFormat="1" applyFont="1" applyFill="1" applyBorder="1" applyAlignment="1">
      <alignment horizontal="center" vertical="top"/>
    </xf>
    <xf numFmtId="166" fontId="4" fillId="8" borderId="59" xfId="0" applyNumberFormat="1" applyFont="1" applyFill="1" applyBorder="1" applyAlignment="1">
      <alignment horizontal="center" vertical="top"/>
    </xf>
    <xf numFmtId="166" fontId="4" fillId="9" borderId="56" xfId="0" applyNumberFormat="1" applyFont="1" applyFill="1" applyBorder="1" applyAlignment="1">
      <alignment horizontal="center" vertical="top"/>
    </xf>
    <xf numFmtId="166" fontId="3" fillId="7" borderId="10" xfId="0" applyNumberFormat="1" applyFont="1" applyFill="1" applyBorder="1" applyAlignment="1">
      <alignment horizontal="center" vertical="top"/>
    </xf>
    <xf numFmtId="166" fontId="3" fillId="7" borderId="12" xfId="0" applyNumberFormat="1" applyFont="1" applyFill="1" applyBorder="1" applyAlignment="1">
      <alignment horizontal="left" vertical="top" wrapText="1"/>
    </xf>
    <xf numFmtId="166" fontId="4" fillId="7" borderId="11" xfId="0" applyNumberFormat="1" applyFont="1" applyFill="1" applyBorder="1" applyAlignment="1">
      <alignment vertical="top"/>
    </xf>
    <xf numFmtId="166" fontId="4" fillId="7" borderId="28" xfId="0" applyNumberFormat="1" applyFont="1" applyFill="1" applyBorder="1" applyAlignment="1">
      <alignment vertical="top"/>
    </xf>
    <xf numFmtId="166" fontId="4" fillId="7" borderId="32" xfId="0" applyNumberFormat="1" applyFont="1" applyFill="1" applyBorder="1" applyAlignment="1">
      <alignment horizontal="center" vertical="top"/>
    </xf>
    <xf numFmtId="166" fontId="3" fillId="0" borderId="40" xfId="0" applyNumberFormat="1" applyFont="1" applyFill="1" applyBorder="1" applyAlignment="1">
      <alignment horizontal="center" vertical="top"/>
    </xf>
    <xf numFmtId="166" fontId="4" fillId="7" borderId="13" xfId="0" applyNumberFormat="1" applyFont="1" applyFill="1" applyBorder="1" applyAlignment="1">
      <alignment horizontal="center" vertical="top"/>
    </xf>
    <xf numFmtId="166" fontId="3" fillId="0" borderId="41" xfId="0" applyNumberFormat="1" applyFont="1" applyFill="1" applyBorder="1" applyAlignment="1">
      <alignment horizontal="left" vertical="top" wrapText="1"/>
    </xf>
    <xf numFmtId="166" fontId="3" fillId="7" borderId="0" xfId="0" applyNumberFormat="1" applyFont="1" applyFill="1" applyBorder="1" applyAlignment="1">
      <alignment horizontal="center" vertical="top"/>
    </xf>
    <xf numFmtId="166" fontId="4" fillId="7" borderId="30" xfId="0" applyNumberFormat="1" applyFont="1" applyFill="1" applyBorder="1" applyAlignment="1">
      <alignment vertical="top"/>
    </xf>
    <xf numFmtId="166" fontId="4" fillId="5" borderId="55" xfId="0" applyNumberFormat="1" applyFont="1" applyFill="1" applyBorder="1" applyAlignment="1">
      <alignment horizontal="center" vertical="top"/>
    </xf>
    <xf numFmtId="166" fontId="3" fillId="0" borderId="0" xfId="0" applyNumberFormat="1" applyFont="1" applyFill="1" applyBorder="1" applyAlignment="1">
      <alignment horizontal="center" vertical="top"/>
    </xf>
    <xf numFmtId="166" fontId="5" fillId="0" borderId="52" xfId="0" applyNumberFormat="1" applyFont="1" applyFill="1" applyBorder="1" applyAlignment="1">
      <alignment horizontal="center" vertical="center" textRotation="90" shrinkToFit="1"/>
    </xf>
    <xf numFmtId="166" fontId="5" fillId="3" borderId="0" xfId="0" applyNumberFormat="1" applyFont="1" applyFill="1" applyBorder="1" applyAlignment="1">
      <alignment horizontal="center" vertical="center" textRotation="90" wrapText="1"/>
    </xf>
    <xf numFmtId="166" fontId="5" fillId="3" borderId="52" xfId="0" applyNumberFormat="1" applyFont="1" applyFill="1" applyBorder="1" applyAlignment="1">
      <alignment horizontal="center" vertical="center" textRotation="90" wrapText="1"/>
    </xf>
    <xf numFmtId="166" fontId="3" fillId="7" borderId="52" xfId="0" applyNumberFormat="1" applyFont="1" applyFill="1" applyBorder="1" applyAlignment="1">
      <alignment horizontal="center" vertical="center" textRotation="90" wrapText="1"/>
    </xf>
    <xf numFmtId="166" fontId="12" fillId="7" borderId="52" xfId="0" applyNumberFormat="1" applyFont="1" applyFill="1" applyBorder="1" applyAlignment="1">
      <alignment horizontal="center" vertical="center" wrapText="1"/>
    </xf>
    <xf numFmtId="3" fontId="3" fillId="7" borderId="88" xfId="0" applyNumberFormat="1" applyFont="1" applyFill="1" applyBorder="1" applyAlignment="1">
      <alignment horizontal="center" vertical="top" wrapText="1"/>
    </xf>
    <xf numFmtId="3" fontId="7" fillId="7" borderId="88" xfId="0" applyNumberFormat="1" applyFont="1" applyFill="1" applyBorder="1" applyAlignment="1">
      <alignment horizontal="center" vertical="center" wrapText="1"/>
    </xf>
    <xf numFmtId="166" fontId="8" fillId="3" borderId="14" xfId="0" applyNumberFormat="1" applyFont="1" applyFill="1" applyBorder="1" applyAlignment="1">
      <alignment horizontal="left" vertical="top" wrapText="1"/>
    </xf>
    <xf numFmtId="166" fontId="4" fillId="7" borderId="20" xfId="0" applyNumberFormat="1" applyFont="1" applyFill="1" applyBorder="1" applyAlignment="1">
      <alignment horizontal="center" vertical="center"/>
    </xf>
    <xf numFmtId="166" fontId="4" fillId="7" borderId="11" xfId="0" applyNumberFormat="1" applyFont="1" applyFill="1" applyBorder="1" applyAlignment="1">
      <alignment horizontal="center" vertical="center"/>
    </xf>
    <xf numFmtId="166" fontId="5" fillId="0" borderId="13" xfId="0" applyNumberFormat="1" applyFont="1" applyFill="1" applyBorder="1" applyAlignment="1">
      <alignment horizontal="center" vertical="center" textRotation="90" shrinkToFit="1"/>
    </xf>
    <xf numFmtId="166" fontId="5" fillId="3" borderId="13" xfId="0" applyNumberFormat="1" applyFont="1" applyFill="1" applyBorder="1" applyAlignment="1">
      <alignment horizontal="center" vertical="center" textRotation="90" wrapText="1"/>
    </xf>
    <xf numFmtId="166" fontId="4" fillId="7" borderId="20" xfId="0" applyNumberFormat="1" applyFont="1" applyFill="1" applyBorder="1" applyAlignment="1">
      <alignment horizontal="center" vertical="center" wrapText="1"/>
    </xf>
    <xf numFmtId="166" fontId="3" fillId="7" borderId="11" xfId="0" applyNumberFormat="1" applyFont="1" applyFill="1" applyBorder="1" applyAlignment="1">
      <alignment horizontal="left" vertical="center" textRotation="90" wrapText="1"/>
    </xf>
    <xf numFmtId="166" fontId="4" fillId="3" borderId="14" xfId="0" applyNumberFormat="1" applyFont="1" applyFill="1" applyBorder="1" applyAlignment="1">
      <alignment vertical="top" wrapText="1"/>
    </xf>
    <xf numFmtId="166" fontId="7" fillId="7" borderId="13" xfId="0" applyNumberFormat="1" applyFont="1" applyFill="1" applyBorder="1" applyAlignment="1">
      <alignment horizontal="center" vertical="center" textRotation="90" wrapText="1"/>
    </xf>
    <xf numFmtId="166" fontId="7" fillId="7" borderId="14" xfId="0" applyNumberFormat="1" applyFont="1" applyFill="1" applyBorder="1" applyAlignment="1">
      <alignment horizontal="center" vertical="center" textRotation="90" wrapText="1"/>
    </xf>
    <xf numFmtId="166" fontId="12" fillId="7" borderId="25" xfId="0" applyNumberFormat="1" applyFont="1" applyFill="1" applyBorder="1" applyAlignment="1">
      <alignment horizontal="center" vertical="center" wrapText="1"/>
    </xf>
    <xf numFmtId="166" fontId="9" fillId="7" borderId="28" xfId="0" applyNumberFormat="1" applyFont="1" applyFill="1" applyBorder="1" applyAlignment="1">
      <alignment horizontal="center" vertical="center" textRotation="90" wrapText="1"/>
    </xf>
    <xf numFmtId="166" fontId="3" fillId="3" borderId="28" xfId="0" applyNumberFormat="1" applyFont="1" applyFill="1" applyBorder="1" applyAlignment="1">
      <alignment horizontal="center" vertical="top" wrapText="1"/>
    </xf>
    <xf numFmtId="166" fontId="4" fillId="7" borderId="14" xfId="0" applyNumberFormat="1" applyFont="1" applyFill="1" applyBorder="1" applyAlignment="1">
      <alignment vertical="top" wrapText="1"/>
    </xf>
    <xf numFmtId="166" fontId="4" fillId="0" borderId="42" xfId="0" applyNumberFormat="1" applyFont="1" applyBorder="1" applyAlignment="1">
      <alignment horizontal="center" vertical="top"/>
    </xf>
    <xf numFmtId="166" fontId="4" fillId="3" borderId="42" xfId="0" applyNumberFormat="1" applyFont="1" applyFill="1" applyBorder="1" applyAlignment="1">
      <alignment horizontal="center" vertical="top"/>
    </xf>
    <xf numFmtId="166" fontId="4" fillId="0" borderId="15" xfId="0" applyNumberFormat="1" applyFont="1" applyFill="1" applyBorder="1" applyAlignment="1">
      <alignment horizontal="center" vertical="top" wrapText="1"/>
    </xf>
    <xf numFmtId="166" fontId="3" fillId="7" borderId="49" xfId="0" applyNumberFormat="1" applyFont="1" applyFill="1" applyBorder="1" applyAlignment="1">
      <alignment horizontal="center" vertical="top" wrapText="1"/>
    </xf>
    <xf numFmtId="3" fontId="3" fillId="7" borderId="39" xfId="0" applyNumberFormat="1" applyFont="1" applyFill="1" applyBorder="1" applyAlignment="1">
      <alignment horizontal="center" vertical="top" wrapText="1"/>
    </xf>
    <xf numFmtId="166" fontId="3" fillId="7" borderId="48" xfId="0" applyNumberFormat="1" applyFont="1" applyFill="1" applyBorder="1" applyAlignment="1">
      <alignment horizontal="center" vertical="top"/>
    </xf>
    <xf numFmtId="166" fontId="3" fillId="7" borderId="19" xfId="0" applyNumberFormat="1" applyFont="1" applyFill="1" applyBorder="1" applyAlignment="1">
      <alignment horizontal="center" vertical="top"/>
    </xf>
    <xf numFmtId="166" fontId="3" fillId="7" borderId="46" xfId="0" applyNumberFormat="1" applyFont="1" applyFill="1" applyBorder="1" applyAlignment="1">
      <alignment horizontal="center" vertical="top"/>
    </xf>
    <xf numFmtId="166" fontId="3" fillId="7" borderId="61" xfId="0" applyNumberFormat="1" applyFont="1" applyFill="1" applyBorder="1" applyAlignment="1">
      <alignment horizontal="center" vertical="top"/>
    </xf>
    <xf numFmtId="166" fontId="3" fillId="7" borderId="110" xfId="0" applyNumberFormat="1" applyFont="1" applyFill="1" applyBorder="1" applyAlignment="1">
      <alignment horizontal="center" vertical="top"/>
    </xf>
    <xf numFmtId="166" fontId="3" fillId="0" borderId="77" xfId="0" applyNumberFormat="1" applyFont="1" applyBorder="1" applyAlignment="1">
      <alignment horizontal="center" vertical="top"/>
    </xf>
    <xf numFmtId="166" fontId="3" fillId="3" borderId="66" xfId="0" applyNumberFormat="1" applyFont="1" applyFill="1" applyBorder="1" applyAlignment="1">
      <alignment horizontal="center" vertical="top"/>
    </xf>
    <xf numFmtId="166" fontId="3" fillId="7" borderId="66" xfId="0" applyNumberFormat="1" applyFont="1" applyFill="1" applyBorder="1" applyAlignment="1">
      <alignment horizontal="center" vertical="top" wrapText="1"/>
    </xf>
    <xf numFmtId="166" fontId="3" fillId="7" borderId="13" xfId="0" applyNumberFormat="1" applyFont="1" applyFill="1" applyBorder="1" applyAlignment="1">
      <alignment horizontal="center" vertical="center" textRotation="90" wrapText="1"/>
    </xf>
    <xf numFmtId="166" fontId="3" fillId="7" borderId="37" xfId="0" applyNumberFormat="1" applyFont="1" applyFill="1" applyBorder="1" applyAlignment="1">
      <alignment horizontal="center" vertical="top"/>
    </xf>
    <xf numFmtId="166" fontId="3" fillId="7" borderId="7" xfId="0" applyNumberFormat="1" applyFont="1" applyFill="1" applyBorder="1" applyAlignment="1">
      <alignment horizontal="center" vertical="top"/>
    </xf>
    <xf numFmtId="166" fontId="3" fillId="7" borderId="29" xfId="0" applyNumberFormat="1" applyFont="1" applyFill="1" applyBorder="1" applyAlignment="1">
      <alignment horizontal="center" vertical="top"/>
    </xf>
    <xf numFmtId="49" fontId="7" fillId="7" borderId="77" xfId="0" applyNumberFormat="1" applyFont="1" applyFill="1" applyBorder="1" applyAlignment="1">
      <alignment horizontal="center" vertical="center" textRotation="90" wrapText="1"/>
    </xf>
    <xf numFmtId="166" fontId="3" fillId="7" borderId="86" xfId="0" applyNumberFormat="1" applyFont="1" applyFill="1" applyBorder="1" applyAlignment="1">
      <alignment horizontal="center" vertical="top"/>
    </xf>
    <xf numFmtId="166" fontId="4" fillId="8" borderId="58" xfId="0" applyNumberFormat="1" applyFont="1" applyFill="1" applyBorder="1" applyAlignment="1">
      <alignment horizontal="center" vertical="top"/>
    </xf>
    <xf numFmtId="166" fontId="3" fillId="7" borderId="12" xfId="0" applyNumberFormat="1" applyFont="1" applyFill="1" applyBorder="1" applyAlignment="1">
      <alignment horizontal="center" vertical="top"/>
    </xf>
    <xf numFmtId="166" fontId="3" fillId="7" borderId="81" xfId="0" applyNumberFormat="1" applyFont="1" applyFill="1" applyBorder="1" applyAlignment="1">
      <alignment horizontal="center" vertical="top"/>
    </xf>
    <xf numFmtId="166" fontId="3" fillId="7" borderId="104" xfId="0" applyNumberFormat="1" applyFont="1" applyFill="1" applyBorder="1" applyAlignment="1">
      <alignment horizontal="center" vertical="top"/>
    </xf>
    <xf numFmtId="166" fontId="4" fillId="8" borderId="68" xfId="0" applyNumberFormat="1" applyFont="1" applyFill="1" applyBorder="1" applyAlignment="1">
      <alignment horizontal="center" vertical="top"/>
    </xf>
    <xf numFmtId="166" fontId="9" fillId="7" borderId="19" xfId="0" applyNumberFormat="1" applyFont="1" applyFill="1" applyBorder="1" applyAlignment="1">
      <alignment horizontal="center" vertical="center" textRotation="90" wrapText="1"/>
    </xf>
    <xf numFmtId="166" fontId="3" fillId="7" borderId="48" xfId="0" applyNumberFormat="1" applyFont="1" applyFill="1" applyBorder="1" applyAlignment="1">
      <alignment horizontal="center" vertical="center" textRotation="90" wrapText="1"/>
    </xf>
    <xf numFmtId="166" fontId="4" fillId="2" borderId="24" xfId="0" applyNumberFormat="1" applyFont="1" applyFill="1" applyBorder="1" applyAlignment="1">
      <alignment horizontal="center" vertical="top"/>
    </xf>
    <xf numFmtId="166" fontId="4" fillId="9" borderId="68" xfId="0" applyNumberFormat="1" applyFont="1" applyFill="1" applyBorder="1" applyAlignment="1">
      <alignment horizontal="center" vertical="top"/>
    </xf>
    <xf numFmtId="166" fontId="4" fillId="5" borderId="24" xfId="0" applyNumberFormat="1" applyFont="1" applyFill="1" applyBorder="1" applyAlignment="1">
      <alignment horizontal="center" vertical="top"/>
    </xf>
    <xf numFmtId="166" fontId="3" fillId="7" borderId="50" xfId="0" applyNumberFormat="1" applyFont="1" applyFill="1" applyBorder="1" applyAlignment="1">
      <alignment vertical="top"/>
    </xf>
    <xf numFmtId="166" fontId="3" fillId="7" borderId="105" xfId="0" applyNumberFormat="1" applyFont="1" applyFill="1" applyBorder="1" applyAlignment="1">
      <alignment horizontal="center" vertical="top"/>
    </xf>
    <xf numFmtId="166" fontId="3" fillId="7" borderId="28" xfId="0" applyNumberFormat="1" applyFont="1" applyFill="1" applyBorder="1" applyAlignment="1">
      <alignment horizontal="center" vertical="center" textRotation="90" wrapText="1"/>
    </xf>
    <xf numFmtId="166" fontId="3" fillId="3" borderId="35" xfId="0" applyNumberFormat="1" applyFont="1" applyFill="1" applyBorder="1" applyAlignment="1">
      <alignment vertical="top" wrapText="1"/>
    </xf>
    <xf numFmtId="166" fontId="3" fillId="0" borderId="66" xfId="0" applyNumberFormat="1" applyFont="1" applyBorder="1" applyAlignment="1">
      <alignment horizontal="center" vertical="top"/>
    </xf>
    <xf numFmtId="166" fontId="3" fillId="7" borderId="70" xfId="0" applyNumberFormat="1" applyFont="1" applyFill="1" applyBorder="1" applyAlignment="1">
      <alignment vertical="top"/>
    </xf>
    <xf numFmtId="166" fontId="3" fillId="0" borderId="50" xfId="0" applyNumberFormat="1" applyFont="1" applyFill="1" applyBorder="1" applyAlignment="1">
      <alignment horizontal="center" vertical="top"/>
    </xf>
    <xf numFmtId="166" fontId="4" fillId="8" borderId="9" xfId="0" applyNumberFormat="1" applyFont="1" applyFill="1" applyBorder="1" applyAlignment="1">
      <alignment horizontal="center" vertical="top"/>
    </xf>
    <xf numFmtId="166" fontId="3" fillId="7" borderId="77" xfId="0" applyNumberFormat="1" applyFont="1" applyFill="1" applyBorder="1" applyAlignment="1">
      <alignment horizontal="center" vertical="top"/>
    </xf>
    <xf numFmtId="166" fontId="4" fillId="0" borderId="0" xfId="0" applyNumberFormat="1" applyFont="1" applyFill="1" applyBorder="1" applyAlignment="1">
      <alignment horizontal="center" vertical="top" wrapText="1"/>
    </xf>
    <xf numFmtId="166" fontId="3" fillId="2" borderId="32" xfId="0" applyNumberFormat="1" applyFont="1" applyFill="1" applyBorder="1" applyAlignment="1">
      <alignment horizontal="center" vertical="top" wrapText="1"/>
    </xf>
    <xf numFmtId="0" fontId="23" fillId="0" borderId="0" xfId="0" applyFont="1"/>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65"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3" borderId="77" xfId="0" applyNumberFormat="1" applyFont="1" applyFill="1" applyBorder="1" applyAlignment="1">
      <alignment horizontal="center" vertical="top"/>
    </xf>
    <xf numFmtId="166" fontId="3" fillId="0" borderId="28" xfId="0" applyNumberFormat="1" applyFont="1" applyBorder="1" applyAlignment="1">
      <alignment horizontal="center" vertical="top"/>
    </xf>
    <xf numFmtId="166" fontId="3" fillId="7" borderId="82" xfId="0" applyNumberFormat="1" applyFont="1" applyFill="1" applyBorder="1" applyAlignment="1">
      <alignment horizontal="center" vertical="top"/>
    </xf>
    <xf numFmtId="166" fontId="3" fillId="3" borderId="28"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3" fontId="3" fillId="7" borderId="35" xfId="0" applyNumberFormat="1" applyFont="1" applyFill="1" applyBorder="1" applyAlignment="1">
      <alignment horizontal="center" vertical="top" wrapText="1"/>
    </xf>
    <xf numFmtId="3" fontId="3" fillId="0" borderId="14" xfId="0" applyNumberFormat="1" applyFont="1" applyFill="1" applyBorder="1" applyAlignment="1">
      <alignment horizontal="center" vertical="top" wrapText="1"/>
    </xf>
    <xf numFmtId="3" fontId="3" fillId="7" borderId="54" xfId="0" applyNumberFormat="1" applyFont="1" applyFill="1" applyBorder="1" applyAlignment="1">
      <alignment horizontal="center" vertical="top"/>
    </xf>
    <xf numFmtId="3" fontId="3" fillId="7" borderId="44" xfId="0" applyNumberFormat="1" applyFont="1" applyFill="1" applyBorder="1" applyAlignment="1">
      <alignment horizontal="center" vertical="top"/>
    </xf>
    <xf numFmtId="3" fontId="3" fillId="7" borderId="44" xfId="0" applyNumberFormat="1" applyFont="1" applyFill="1" applyBorder="1" applyAlignment="1">
      <alignment horizontal="center" vertical="top" wrapText="1"/>
    </xf>
    <xf numFmtId="3" fontId="3" fillId="7" borderId="54" xfId="0" applyNumberFormat="1" applyFont="1" applyFill="1" applyBorder="1" applyAlignment="1">
      <alignment horizontal="center" vertical="top" wrapText="1"/>
    </xf>
    <xf numFmtId="3" fontId="3" fillId="0" borderId="44" xfId="0" applyNumberFormat="1" applyFont="1" applyFill="1" applyBorder="1" applyAlignment="1">
      <alignment horizontal="center" vertical="top"/>
    </xf>
    <xf numFmtId="3" fontId="3" fillId="0" borderId="43" xfId="0" applyNumberFormat="1" applyFont="1" applyFill="1" applyBorder="1" applyAlignment="1">
      <alignment horizontal="center" vertical="top"/>
    </xf>
    <xf numFmtId="3" fontId="7" fillId="7" borderId="28" xfId="0" applyNumberFormat="1" applyFont="1" applyFill="1" applyBorder="1" applyAlignment="1">
      <alignment horizontal="center" vertical="center" wrapText="1"/>
    </xf>
    <xf numFmtId="0" fontId="3" fillId="0" borderId="66" xfId="0" applyFont="1" applyBorder="1" applyAlignment="1">
      <alignment horizontal="center" vertical="top"/>
    </xf>
    <xf numFmtId="3" fontId="3" fillId="7" borderId="96" xfId="0" applyNumberFormat="1" applyFont="1" applyFill="1" applyBorder="1" applyAlignment="1">
      <alignment horizontal="center" vertical="top"/>
    </xf>
    <xf numFmtId="3" fontId="3" fillId="7" borderId="98" xfId="0" applyNumberFormat="1" applyFont="1" applyFill="1" applyBorder="1" applyAlignment="1">
      <alignment horizontal="center" vertical="top" wrapText="1"/>
    </xf>
    <xf numFmtId="166" fontId="3" fillId="7" borderId="20" xfId="0" applyNumberFormat="1" applyFont="1" applyFill="1" applyBorder="1" applyAlignment="1">
      <alignment vertical="top"/>
    </xf>
    <xf numFmtId="166" fontId="3" fillId="7" borderId="47" xfId="0" applyNumberFormat="1" applyFont="1" applyFill="1" applyBorder="1" applyAlignment="1">
      <alignment vertical="top"/>
    </xf>
    <xf numFmtId="166" fontId="3" fillId="7" borderId="6" xfId="0" applyNumberFormat="1" applyFont="1" applyFill="1" applyBorder="1" applyAlignment="1">
      <alignment vertical="top"/>
    </xf>
    <xf numFmtId="166" fontId="3" fillId="7" borderId="11" xfId="0" applyNumberFormat="1" applyFont="1" applyFill="1" applyBorder="1" applyAlignment="1">
      <alignment vertical="top"/>
    </xf>
    <xf numFmtId="166" fontId="3" fillId="0" borderId="12" xfId="0" applyNumberFormat="1" applyFont="1" applyFill="1" applyBorder="1" applyAlignment="1">
      <alignment vertical="top" wrapText="1"/>
    </xf>
    <xf numFmtId="166" fontId="3" fillId="7" borderId="34" xfId="0" applyNumberFormat="1" applyFont="1" applyFill="1" applyBorder="1" applyAlignment="1">
      <alignment vertical="top"/>
    </xf>
    <xf numFmtId="166" fontId="3" fillId="7" borderId="34" xfId="0" applyNumberFormat="1" applyFont="1" applyFill="1" applyBorder="1" applyAlignment="1">
      <alignment vertical="top" wrapText="1"/>
    </xf>
    <xf numFmtId="166" fontId="3" fillId="7" borderId="54" xfId="0" applyNumberFormat="1" applyFont="1" applyFill="1" applyBorder="1" applyAlignment="1">
      <alignment horizontal="center" vertical="top"/>
    </xf>
    <xf numFmtId="166" fontId="3" fillId="0" borderId="23" xfId="1" applyNumberFormat="1" applyFont="1" applyFill="1" applyBorder="1" applyAlignment="1">
      <alignment horizontal="center" vertical="top" wrapText="1"/>
    </xf>
    <xf numFmtId="166" fontId="3" fillId="0" borderId="50" xfId="0" applyNumberFormat="1" applyFont="1" applyBorder="1" applyAlignment="1">
      <alignment vertical="top"/>
    </xf>
    <xf numFmtId="3" fontId="3" fillId="7" borderId="106" xfId="0" applyNumberFormat="1" applyFont="1" applyFill="1" applyBorder="1" applyAlignment="1">
      <alignment horizontal="center" vertical="top"/>
    </xf>
    <xf numFmtId="166" fontId="3" fillId="0" borderId="13" xfId="0" applyNumberFormat="1" applyFont="1" applyBorder="1" applyAlignment="1">
      <alignment vertical="top"/>
    </xf>
    <xf numFmtId="3" fontId="3" fillId="7" borderId="82" xfId="0" applyNumberFormat="1" applyFont="1" applyFill="1" applyBorder="1" applyAlignment="1">
      <alignment horizontal="center" vertical="top"/>
    </xf>
    <xf numFmtId="166" fontId="3" fillId="3" borderId="54" xfId="0" applyNumberFormat="1" applyFont="1" applyFill="1" applyBorder="1" applyAlignment="1">
      <alignment horizontal="center" vertical="top"/>
    </xf>
    <xf numFmtId="166" fontId="3" fillId="7" borderId="99" xfId="0" applyNumberFormat="1" applyFont="1" applyFill="1" applyBorder="1" applyAlignment="1">
      <alignment horizontal="center" vertical="top"/>
    </xf>
    <xf numFmtId="166" fontId="3" fillId="7" borderId="97" xfId="0" applyNumberFormat="1" applyFont="1" applyFill="1" applyBorder="1" applyAlignment="1">
      <alignment horizontal="center" vertical="top"/>
    </xf>
    <xf numFmtId="166" fontId="4" fillId="8" borderId="67" xfId="0" applyNumberFormat="1" applyFont="1" applyFill="1" applyBorder="1" applyAlignment="1">
      <alignment horizontal="center" vertical="top"/>
    </xf>
    <xf numFmtId="166" fontId="3" fillId="7" borderId="25" xfId="0" applyNumberFormat="1" applyFont="1" applyFill="1" applyBorder="1" applyAlignment="1">
      <alignment horizontal="center" vertical="top"/>
    </xf>
    <xf numFmtId="166" fontId="4" fillId="8" borderId="2" xfId="0" applyNumberFormat="1" applyFont="1" applyFill="1" applyBorder="1" applyAlignment="1">
      <alignment horizontal="center" vertical="top"/>
    </xf>
    <xf numFmtId="166" fontId="4" fillId="8" borderId="32" xfId="0" applyNumberFormat="1" applyFont="1" applyFill="1" applyBorder="1" applyAlignment="1">
      <alignment horizontal="center" vertical="top"/>
    </xf>
    <xf numFmtId="166" fontId="3" fillId="7" borderId="40" xfId="0" applyNumberFormat="1" applyFont="1" applyFill="1" applyBorder="1" applyAlignment="1">
      <alignment horizontal="center" vertical="top"/>
    </xf>
    <xf numFmtId="166" fontId="3" fillId="7" borderId="57" xfId="0" applyNumberFormat="1" applyFont="1" applyFill="1" applyBorder="1" applyAlignment="1">
      <alignment horizontal="center" vertical="top"/>
    </xf>
    <xf numFmtId="3" fontId="3" fillId="0" borderId="51" xfId="0" applyNumberFormat="1" applyFont="1" applyFill="1" applyBorder="1" applyAlignment="1">
      <alignment horizontal="center" vertical="top"/>
    </xf>
    <xf numFmtId="166" fontId="3" fillId="7" borderId="33" xfId="0" applyNumberFormat="1" applyFont="1" applyFill="1" applyBorder="1" applyAlignment="1">
      <alignment horizontal="center" vertical="top"/>
    </xf>
    <xf numFmtId="166" fontId="3" fillId="7" borderId="30" xfId="0" applyNumberFormat="1" applyFont="1" applyFill="1" applyBorder="1" applyAlignment="1">
      <alignment horizontal="center" vertical="top"/>
    </xf>
    <xf numFmtId="166" fontId="3" fillId="7" borderId="14" xfId="0" applyNumberFormat="1" applyFont="1" applyFill="1" applyBorder="1" applyAlignment="1">
      <alignment horizontal="center" vertical="top"/>
    </xf>
    <xf numFmtId="3" fontId="7" fillId="7" borderId="96" xfId="0" applyNumberFormat="1" applyFont="1" applyFill="1" applyBorder="1" applyAlignment="1">
      <alignment horizontal="center" vertical="center" wrapText="1"/>
    </xf>
    <xf numFmtId="166" fontId="3" fillId="7" borderId="13" xfId="0" applyNumberFormat="1" applyFont="1" applyFill="1" applyBorder="1" applyAlignment="1">
      <alignment horizontal="center" vertical="top"/>
    </xf>
    <xf numFmtId="166" fontId="3" fillId="7" borderId="100" xfId="0" applyNumberFormat="1" applyFont="1" applyFill="1" applyBorder="1" applyAlignment="1">
      <alignment horizontal="center" vertical="top"/>
    </xf>
    <xf numFmtId="166" fontId="3" fillId="0" borderId="87" xfId="0" applyNumberFormat="1" applyFont="1" applyFill="1" applyBorder="1" applyAlignment="1">
      <alignment horizontal="center" vertical="top"/>
    </xf>
    <xf numFmtId="49" fontId="3" fillId="7" borderId="87" xfId="0" applyNumberFormat="1" applyFont="1" applyFill="1" applyBorder="1" applyAlignment="1">
      <alignment horizontal="center" vertical="top"/>
    </xf>
    <xf numFmtId="3" fontId="7" fillId="7" borderId="49" xfId="0" applyNumberFormat="1" applyFont="1" applyFill="1" applyBorder="1" applyAlignment="1">
      <alignment horizontal="center" vertical="top" wrapText="1"/>
    </xf>
    <xf numFmtId="166" fontId="9" fillId="7" borderId="20" xfId="0" applyNumberFormat="1" applyFont="1" applyFill="1" applyBorder="1" applyAlignment="1">
      <alignment horizontal="center" vertical="center" textRotation="90" wrapText="1"/>
    </xf>
    <xf numFmtId="166" fontId="3" fillId="0" borderId="8" xfId="0" applyNumberFormat="1" applyFont="1" applyFill="1" applyBorder="1" applyAlignment="1">
      <alignment horizontal="center" vertical="top"/>
    </xf>
    <xf numFmtId="0" fontId="3" fillId="7" borderId="86" xfId="0" applyFont="1" applyFill="1" applyBorder="1" applyAlignment="1">
      <alignment vertical="top" wrapText="1"/>
    </xf>
    <xf numFmtId="166" fontId="3" fillId="7" borderId="39" xfId="0" applyNumberFormat="1" applyFont="1" applyFill="1" applyBorder="1" applyAlignment="1">
      <alignment horizontal="center" vertical="top"/>
    </xf>
    <xf numFmtId="49" fontId="3" fillId="7" borderId="49" xfId="0" applyNumberFormat="1" applyFont="1" applyFill="1" applyBorder="1" applyAlignment="1">
      <alignment horizontal="center" vertical="top"/>
    </xf>
    <xf numFmtId="166" fontId="3" fillId="0" borderId="51"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166" fontId="7" fillId="7" borderId="33" xfId="0" applyNumberFormat="1" applyFont="1" applyFill="1" applyBorder="1" applyAlignment="1">
      <alignment horizontal="center" vertical="top" wrapText="1"/>
    </xf>
    <xf numFmtId="166" fontId="7" fillId="7" borderId="30" xfId="0" applyNumberFormat="1" applyFont="1" applyFill="1" applyBorder="1" applyAlignment="1">
      <alignment horizontal="center" vertical="top" wrapText="1"/>
    </xf>
    <xf numFmtId="3" fontId="3" fillId="7" borderId="85" xfId="0" applyNumberFormat="1" applyFont="1" applyFill="1" applyBorder="1" applyAlignment="1">
      <alignment horizontal="center" vertical="top"/>
    </xf>
    <xf numFmtId="3" fontId="3" fillId="7" borderId="116" xfId="0" applyNumberFormat="1" applyFont="1" applyFill="1" applyBorder="1" applyAlignment="1">
      <alignment horizontal="center" vertical="top"/>
    </xf>
    <xf numFmtId="166" fontId="3" fillId="7" borderId="28" xfId="0" applyNumberFormat="1" applyFont="1" applyFill="1" applyBorder="1" applyAlignment="1">
      <alignment vertical="top"/>
    </xf>
    <xf numFmtId="166" fontId="3" fillId="7" borderId="66" xfId="0" applyNumberFormat="1" applyFont="1" applyFill="1" applyBorder="1" applyAlignment="1">
      <alignment vertical="top"/>
    </xf>
    <xf numFmtId="166" fontId="3" fillId="7" borderId="54" xfId="0" applyNumberFormat="1" applyFont="1" applyFill="1" applyBorder="1" applyAlignment="1">
      <alignment vertical="top"/>
    </xf>
    <xf numFmtId="0" fontId="5" fillId="0" borderId="11" xfId="0" applyFont="1" applyFill="1" applyBorder="1" applyAlignment="1">
      <alignment horizontal="center" vertical="center" textRotation="90" wrapText="1"/>
    </xf>
    <xf numFmtId="0" fontId="5" fillId="0" borderId="48" xfId="0" applyFont="1" applyFill="1" applyBorder="1" applyAlignment="1">
      <alignment horizontal="center" vertical="center" textRotation="90" wrapText="1"/>
    </xf>
    <xf numFmtId="3" fontId="3" fillId="7" borderId="111" xfId="0" applyNumberFormat="1" applyFont="1" applyFill="1" applyBorder="1" applyAlignment="1">
      <alignment horizontal="center" vertical="top"/>
    </xf>
    <xf numFmtId="166" fontId="4" fillId="8" borderId="74" xfId="0" applyNumberFormat="1" applyFont="1" applyFill="1" applyBorder="1" applyAlignment="1">
      <alignment horizontal="center" vertical="top"/>
    </xf>
    <xf numFmtId="166" fontId="3" fillId="0" borderId="5" xfId="0" applyNumberFormat="1" applyFont="1" applyFill="1" applyBorder="1" applyAlignment="1">
      <alignment vertical="top" wrapText="1"/>
    </xf>
    <xf numFmtId="3" fontId="7" fillId="7" borderId="18" xfId="0" applyNumberFormat="1" applyFont="1" applyFill="1" applyBorder="1" applyAlignment="1">
      <alignment horizontal="center" vertical="top" wrapText="1"/>
    </xf>
    <xf numFmtId="166" fontId="3" fillId="0" borderId="26" xfId="0" applyNumberFormat="1" applyFont="1" applyBorder="1" applyAlignment="1">
      <alignment horizontal="center" vertical="center" wrapText="1"/>
    </xf>
    <xf numFmtId="166" fontId="4" fillId="7" borderId="11" xfId="0" applyNumberFormat="1" applyFont="1" applyFill="1" applyBorder="1" applyAlignment="1">
      <alignment horizontal="center" vertical="center" wrapText="1"/>
    </xf>
    <xf numFmtId="166" fontId="8" fillId="3" borderId="35" xfId="0" applyNumberFormat="1" applyFont="1" applyFill="1" applyBorder="1" applyAlignment="1">
      <alignment horizontal="left" vertical="top" wrapText="1"/>
    </xf>
    <xf numFmtId="166" fontId="3" fillId="7" borderId="29" xfId="0" applyNumberFormat="1" applyFont="1" applyFill="1" applyBorder="1" applyAlignment="1">
      <alignment vertical="top" wrapText="1"/>
    </xf>
    <xf numFmtId="166" fontId="4" fillId="2" borderId="9" xfId="0" applyNumberFormat="1" applyFont="1" applyFill="1" applyBorder="1" applyAlignment="1">
      <alignment horizontal="center" vertical="top"/>
    </xf>
    <xf numFmtId="166" fontId="4" fillId="8" borderId="23" xfId="0" applyNumberFormat="1" applyFont="1" applyFill="1" applyBorder="1" applyAlignment="1">
      <alignment horizontal="center" vertical="top"/>
    </xf>
    <xf numFmtId="166" fontId="3" fillId="7" borderId="44" xfId="0" applyNumberFormat="1" applyFont="1" applyFill="1" applyBorder="1" applyAlignment="1">
      <alignment vertical="top"/>
    </xf>
    <xf numFmtId="3" fontId="15" fillId="7" borderId="82" xfId="0" applyNumberFormat="1" applyFont="1" applyFill="1" applyBorder="1" applyAlignment="1">
      <alignment horizontal="center" vertical="top"/>
    </xf>
    <xf numFmtId="3" fontId="3" fillId="7" borderId="98" xfId="0" applyNumberFormat="1" applyFont="1" applyFill="1" applyBorder="1" applyAlignment="1">
      <alignment horizontal="center" vertical="top"/>
    </xf>
    <xf numFmtId="3" fontId="3" fillId="0" borderId="39" xfId="0" applyNumberFormat="1" applyFont="1" applyFill="1" applyBorder="1" applyAlignment="1">
      <alignment horizontal="center" vertical="top"/>
    </xf>
    <xf numFmtId="166" fontId="4" fillId="8" borderId="63" xfId="0" applyNumberFormat="1" applyFont="1" applyFill="1" applyBorder="1" applyAlignment="1">
      <alignment horizontal="center" vertical="top"/>
    </xf>
    <xf numFmtId="166" fontId="3" fillId="7" borderId="86" xfId="0" applyNumberFormat="1" applyFont="1" applyFill="1" applyBorder="1" applyAlignment="1">
      <alignment vertical="top" wrapText="1"/>
    </xf>
    <xf numFmtId="166" fontId="4" fillId="8" borderId="3" xfId="0" applyNumberFormat="1" applyFont="1" applyFill="1" applyBorder="1" applyAlignment="1">
      <alignment horizontal="center" vertical="top"/>
    </xf>
    <xf numFmtId="166" fontId="3" fillId="7" borderId="45" xfId="0" applyNumberFormat="1" applyFont="1" applyFill="1" applyBorder="1" applyAlignment="1">
      <alignment horizontal="center" vertical="top"/>
    </xf>
    <xf numFmtId="166" fontId="3" fillId="7" borderId="52" xfId="0" applyNumberFormat="1" applyFont="1" applyFill="1" applyBorder="1" applyAlignment="1">
      <alignment horizontal="center" vertical="top"/>
    </xf>
    <xf numFmtId="49" fontId="4" fillId="7" borderId="11" xfId="0" applyNumberFormat="1" applyFont="1" applyFill="1" applyBorder="1" applyAlignment="1">
      <alignment vertical="top"/>
    </xf>
    <xf numFmtId="166" fontId="4" fillId="7" borderId="49" xfId="0" applyNumberFormat="1" applyFont="1" applyFill="1" applyBorder="1" applyAlignment="1">
      <alignment vertical="top"/>
    </xf>
    <xf numFmtId="166" fontId="4" fillId="7" borderId="42" xfId="0" applyNumberFormat="1" applyFont="1" applyFill="1" applyBorder="1" applyAlignment="1">
      <alignment vertical="top" wrapText="1"/>
    </xf>
    <xf numFmtId="166" fontId="4" fillId="7" borderId="20" xfId="0" applyNumberFormat="1" applyFont="1" applyFill="1" applyBorder="1" applyAlignment="1">
      <alignment vertical="top"/>
    </xf>
    <xf numFmtId="166" fontId="3" fillId="7" borderId="96" xfId="0" applyNumberFormat="1" applyFont="1" applyFill="1" applyBorder="1" applyAlignment="1">
      <alignment vertical="top" wrapText="1"/>
    </xf>
    <xf numFmtId="166" fontId="3" fillId="7" borderId="29" xfId="0" applyNumberFormat="1" applyFont="1" applyFill="1" applyBorder="1" applyAlignment="1">
      <alignment horizontal="left" vertical="top" wrapText="1"/>
    </xf>
    <xf numFmtId="166" fontId="3" fillId="7" borderId="42" xfId="0" applyNumberFormat="1" applyFont="1" applyFill="1" applyBorder="1" applyAlignment="1">
      <alignment horizontal="center" vertical="top"/>
    </xf>
    <xf numFmtId="166" fontId="3" fillId="7" borderId="26"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4" fillId="7" borderId="77" xfId="0" applyNumberFormat="1" applyFont="1" applyFill="1" applyBorder="1" applyAlignment="1">
      <alignment horizontal="center" vertical="top"/>
    </xf>
    <xf numFmtId="166" fontId="8" fillId="0" borderId="49" xfId="0" applyNumberFormat="1" applyFont="1" applyFill="1" applyBorder="1" applyAlignment="1">
      <alignment horizontal="left" vertical="top" wrapText="1"/>
    </xf>
    <xf numFmtId="166" fontId="3" fillId="7" borderId="27" xfId="0" applyNumberFormat="1" applyFont="1" applyFill="1" applyBorder="1" applyAlignment="1">
      <alignment horizontal="center" vertical="center" wrapText="1"/>
    </xf>
    <xf numFmtId="166" fontId="3" fillId="3" borderId="15" xfId="0" applyNumberFormat="1" applyFont="1" applyFill="1" applyBorder="1" applyAlignment="1">
      <alignment horizontal="center" vertical="center" wrapText="1"/>
    </xf>
    <xf numFmtId="166" fontId="3" fillId="7" borderId="81" xfId="0" applyNumberFormat="1" applyFont="1" applyFill="1" applyBorder="1" applyAlignment="1">
      <alignment vertical="top" wrapText="1"/>
    </xf>
    <xf numFmtId="166" fontId="3" fillId="0" borderId="15" xfId="0" applyNumberFormat="1" applyFont="1" applyBorder="1" applyAlignment="1">
      <alignment horizontal="center" vertical="top" wrapText="1"/>
    </xf>
    <xf numFmtId="166" fontId="3" fillId="7" borderId="87" xfId="0" applyNumberFormat="1" applyFont="1" applyFill="1" applyBorder="1" applyAlignment="1">
      <alignment vertical="top" wrapText="1"/>
    </xf>
    <xf numFmtId="166" fontId="3" fillId="7" borderId="9" xfId="0" applyNumberFormat="1" applyFont="1" applyFill="1" applyBorder="1" applyAlignment="1">
      <alignment vertical="top" wrapText="1"/>
    </xf>
    <xf numFmtId="166" fontId="3" fillId="7" borderId="30" xfId="0" applyNumberFormat="1" applyFont="1" applyFill="1" applyBorder="1" applyAlignment="1">
      <alignment vertical="top" wrapText="1"/>
    </xf>
    <xf numFmtId="166" fontId="3" fillId="3" borderId="6" xfId="0" applyNumberFormat="1" applyFont="1" applyFill="1" applyBorder="1" applyAlignment="1">
      <alignment horizontal="center" vertical="top"/>
    </xf>
    <xf numFmtId="166" fontId="3" fillId="7" borderId="5" xfId="0" applyNumberFormat="1" applyFont="1" applyFill="1" applyBorder="1" applyAlignment="1">
      <alignment vertical="top" wrapText="1"/>
    </xf>
    <xf numFmtId="166" fontId="3" fillId="7" borderId="79" xfId="0" applyNumberFormat="1" applyFont="1" applyFill="1" applyBorder="1" applyAlignment="1">
      <alignment horizontal="left" vertical="top" wrapText="1"/>
    </xf>
    <xf numFmtId="166" fontId="3" fillId="3" borderId="0"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49" fontId="4" fillId="9" borderId="16" xfId="0" applyNumberFormat="1" applyFont="1" applyFill="1" applyBorder="1" applyAlignment="1">
      <alignment horizontal="center" vertical="top"/>
    </xf>
    <xf numFmtId="0" fontId="3" fillId="0" borderId="32" xfId="0" applyFont="1" applyBorder="1" applyAlignment="1">
      <alignment horizontal="center" vertical="top"/>
    </xf>
    <xf numFmtId="166" fontId="4" fillId="9" borderId="7"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166" fontId="3" fillId="7" borderId="37" xfId="0" applyNumberFormat="1" applyFont="1" applyFill="1" applyBorder="1" applyAlignment="1">
      <alignment horizontal="left" vertical="top" wrapText="1"/>
    </xf>
    <xf numFmtId="166" fontId="3" fillId="3" borderId="11" xfId="0" applyNumberFormat="1" applyFont="1" applyFill="1" applyBorder="1" applyAlignment="1">
      <alignment horizontal="center" vertical="center" textRotation="90" wrapText="1"/>
    </xf>
    <xf numFmtId="166" fontId="4" fillId="7" borderId="25" xfId="0" applyNumberFormat="1" applyFont="1" applyFill="1" applyBorder="1" applyAlignment="1">
      <alignment vertical="top"/>
    </xf>
    <xf numFmtId="166" fontId="3" fillId="0" borderId="91" xfId="0" applyNumberFormat="1" applyFont="1" applyFill="1" applyBorder="1" applyAlignment="1">
      <alignment horizontal="center" vertical="top"/>
    </xf>
    <xf numFmtId="0" fontId="0" fillId="7" borderId="49" xfId="0" applyFont="1" applyFill="1" applyBorder="1" applyAlignment="1">
      <alignment horizontal="center" wrapText="1"/>
    </xf>
    <xf numFmtId="0" fontId="0" fillId="7" borderId="35" xfId="0" applyFont="1" applyFill="1" applyBorder="1" applyAlignment="1">
      <alignment horizontal="center" wrapText="1"/>
    </xf>
    <xf numFmtId="166" fontId="20" fillId="7" borderId="29" xfId="0" applyNumberFormat="1" applyFont="1" applyFill="1" applyBorder="1" applyAlignment="1">
      <alignment vertical="top" wrapText="1"/>
    </xf>
    <xf numFmtId="166" fontId="20" fillId="7" borderId="6" xfId="0" applyNumberFormat="1" applyFont="1" applyFill="1" applyBorder="1" applyAlignment="1">
      <alignment horizontal="center" vertical="top"/>
    </xf>
    <xf numFmtId="3" fontId="3" fillId="0" borderId="11"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3" fillId="7" borderId="37" xfId="0" applyNumberFormat="1" applyFont="1" applyFill="1" applyBorder="1" applyAlignment="1">
      <alignment horizontal="left" vertical="top" wrapText="1"/>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0" borderId="35" xfId="0" applyNumberFormat="1" applyFont="1" applyFill="1" applyBorder="1" applyAlignment="1">
      <alignment horizontal="center" vertical="top" wrapText="1"/>
    </xf>
    <xf numFmtId="166" fontId="4" fillId="7" borderId="35" xfId="0" applyNumberFormat="1" applyFont="1" applyFill="1" applyBorder="1" applyAlignment="1">
      <alignment horizontal="center" vertical="top"/>
    </xf>
    <xf numFmtId="166" fontId="3" fillId="7" borderId="8" xfId="0" applyNumberFormat="1" applyFont="1" applyFill="1" applyBorder="1" applyAlignment="1">
      <alignment horizontal="center" vertical="top" wrapText="1"/>
    </xf>
    <xf numFmtId="166" fontId="4" fillId="0" borderId="49" xfId="0" applyNumberFormat="1" applyFont="1" applyBorder="1" applyAlignment="1">
      <alignment horizontal="center" vertical="top"/>
    </xf>
    <xf numFmtId="166" fontId="4" fillId="7" borderId="49" xfId="0" applyNumberFormat="1" applyFont="1" applyFill="1" applyBorder="1" applyAlignment="1">
      <alignment horizontal="center" vertical="top" wrapText="1"/>
    </xf>
    <xf numFmtId="166" fontId="4" fillId="7" borderId="25"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3" borderId="11" xfId="0" applyNumberFormat="1" applyFont="1" applyFill="1" applyBorder="1" applyAlignment="1">
      <alignment horizontal="center" vertical="top" wrapText="1"/>
    </xf>
    <xf numFmtId="3" fontId="3" fillId="7" borderId="20" xfId="0" applyNumberFormat="1" applyFont="1" applyFill="1" applyBorder="1" applyAlignment="1">
      <alignment horizontal="center" vertical="top"/>
    </xf>
    <xf numFmtId="166" fontId="4" fillId="3" borderId="35"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wrapText="1"/>
    </xf>
    <xf numFmtId="3" fontId="3" fillId="0" borderId="25"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2" borderId="57" xfId="0" applyNumberFormat="1" applyFont="1" applyFill="1" applyBorder="1" applyAlignment="1">
      <alignment horizontal="center" vertical="top"/>
    </xf>
    <xf numFmtId="166" fontId="4" fillId="2" borderId="42" xfId="0" applyNumberFormat="1" applyFont="1" applyFill="1" applyBorder="1" applyAlignment="1">
      <alignment horizontal="center" vertical="top"/>
    </xf>
    <xf numFmtId="166" fontId="4" fillId="2" borderId="76"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3" fontId="3" fillId="7" borderId="25"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60" xfId="0" applyNumberFormat="1" applyFont="1" applyFill="1" applyBorder="1" applyAlignment="1">
      <alignment horizontal="center" vertical="top"/>
    </xf>
    <xf numFmtId="166" fontId="5" fillId="3" borderId="11" xfId="0" applyNumberFormat="1" applyFont="1" applyFill="1" applyBorder="1" applyAlignment="1">
      <alignment horizontal="center" vertical="center" textRotation="90" wrapText="1"/>
    </xf>
    <xf numFmtId="166" fontId="4" fillId="0" borderId="35" xfId="0" applyNumberFormat="1" applyFont="1" applyBorder="1" applyAlignment="1">
      <alignment horizontal="center" vertical="top"/>
    </xf>
    <xf numFmtId="166" fontId="3" fillId="0" borderId="29" xfId="0" applyNumberFormat="1" applyFont="1" applyFill="1" applyBorder="1" applyAlignment="1">
      <alignment horizontal="left" vertical="top" wrapText="1"/>
    </xf>
    <xf numFmtId="166" fontId="4" fillId="5" borderId="10" xfId="0" applyNumberFormat="1" applyFont="1" applyFill="1" applyBorder="1" applyAlignment="1">
      <alignment horizontal="center" vertical="top"/>
    </xf>
    <xf numFmtId="166" fontId="3" fillId="8" borderId="23" xfId="0" applyNumberFormat="1" applyFont="1" applyFill="1" applyBorder="1" applyAlignment="1">
      <alignment horizontal="center" vertical="top"/>
    </xf>
    <xf numFmtId="166" fontId="4" fillId="5" borderId="23" xfId="0" applyNumberFormat="1" applyFont="1" applyFill="1" applyBorder="1" applyAlignment="1">
      <alignment horizontal="center" vertical="top"/>
    </xf>
    <xf numFmtId="166" fontId="4" fillId="4" borderId="68" xfId="0" applyNumberFormat="1" applyFont="1" applyFill="1" applyBorder="1" applyAlignment="1">
      <alignment horizontal="center" vertical="top"/>
    </xf>
    <xf numFmtId="166" fontId="3" fillId="3" borderId="44" xfId="0" applyNumberFormat="1" applyFont="1" applyFill="1" applyBorder="1" applyAlignment="1">
      <alignment horizontal="center" vertical="top"/>
    </xf>
    <xf numFmtId="166" fontId="3" fillId="0" borderId="86" xfId="0" applyNumberFormat="1" applyFont="1" applyFill="1" applyBorder="1" applyAlignment="1">
      <alignment horizontal="left" vertical="top" wrapText="1"/>
    </xf>
    <xf numFmtId="49" fontId="3" fillId="0" borderId="87" xfId="0" applyNumberFormat="1" applyFont="1" applyFill="1" applyBorder="1" applyAlignment="1">
      <alignment horizontal="center" vertical="top"/>
    </xf>
    <xf numFmtId="49" fontId="3" fillId="0" borderId="98" xfId="0" applyNumberFormat="1" applyFont="1" applyFill="1" applyBorder="1" applyAlignment="1">
      <alignment horizontal="center" vertical="top"/>
    </xf>
    <xf numFmtId="49" fontId="3" fillId="7" borderId="20" xfId="0" applyNumberFormat="1" applyFont="1" applyFill="1" applyBorder="1" applyAlignment="1">
      <alignment horizontal="left" vertical="top" wrapText="1"/>
    </xf>
    <xf numFmtId="0" fontId="3" fillId="7" borderId="87" xfId="0" applyNumberFormat="1" applyFont="1" applyFill="1" applyBorder="1" applyAlignment="1">
      <alignment horizontal="left" vertical="top" wrapText="1"/>
    </xf>
    <xf numFmtId="0" fontId="3" fillId="7" borderId="90" xfId="0" applyFont="1" applyFill="1" applyBorder="1" applyAlignment="1">
      <alignment horizontal="left" vertical="top" wrapText="1"/>
    </xf>
    <xf numFmtId="0" fontId="3" fillId="7" borderId="7" xfId="0" applyFont="1" applyFill="1" applyBorder="1" applyAlignment="1">
      <alignment vertical="top"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20"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4" fillId="0" borderId="49" xfId="0" applyNumberFormat="1" applyFont="1" applyBorder="1" applyAlignment="1">
      <alignment horizontal="center" vertical="top"/>
    </xf>
    <xf numFmtId="166" fontId="4" fillId="7" borderId="49"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center" textRotation="90" wrapText="1"/>
    </xf>
    <xf numFmtId="166" fontId="9" fillId="7" borderId="11" xfId="0" applyNumberFormat="1" applyFont="1" applyFill="1" applyBorder="1" applyAlignment="1">
      <alignment horizontal="center" vertical="center" textRotation="90" wrapText="1"/>
    </xf>
    <xf numFmtId="166" fontId="3" fillId="7" borderId="37" xfId="0" applyNumberFormat="1" applyFont="1" applyFill="1" applyBorder="1" applyAlignment="1">
      <alignment vertical="top" wrapText="1"/>
    </xf>
    <xf numFmtId="166" fontId="3" fillId="7" borderId="7" xfId="0" applyNumberFormat="1" applyFont="1" applyFill="1" applyBorder="1" applyAlignment="1">
      <alignment vertical="top" wrapText="1"/>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3" fillId="7" borderId="28" xfId="0" applyNumberFormat="1" applyFont="1" applyFill="1" applyBorder="1" applyAlignment="1">
      <alignment horizontal="left" vertical="top" wrapText="1"/>
    </xf>
    <xf numFmtId="166" fontId="3" fillId="7" borderId="48" xfId="0" applyNumberFormat="1" applyFont="1" applyFill="1" applyBorder="1" applyAlignment="1">
      <alignment horizontal="left" vertical="top" wrapText="1"/>
    </xf>
    <xf numFmtId="166" fontId="3" fillId="7" borderId="102" xfId="0" applyNumberFormat="1" applyFont="1" applyFill="1" applyBorder="1" applyAlignment="1">
      <alignment horizontal="left" vertical="top" wrapText="1"/>
    </xf>
    <xf numFmtId="166" fontId="3" fillId="7" borderId="18" xfId="0" applyNumberFormat="1" applyFont="1" applyFill="1" applyBorder="1" applyAlignment="1">
      <alignment horizontal="center" vertical="top" wrapText="1"/>
    </xf>
    <xf numFmtId="3" fontId="3" fillId="7" borderId="11" xfId="0" applyNumberFormat="1" applyFont="1" applyFill="1" applyBorder="1" applyAlignment="1">
      <alignment horizontal="center" vertical="top" wrapText="1"/>
    </xf>
    <xf numFmtId="166" fontId="9" fillId="7" borderId="27" xfId="0" applyNumberFormat="1" applyFont="1" applyFill="1" applyBorder="1" applyAlignment="1">
      <alignment horizontal="center" vertical="top" wrapText="1"/>
    </xf>
    <xf numFmtId="166" fontId="4" fillId="7" borderId="20"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49" fontId="4" fillId="7" borderId="28" xfId="0" applyNumberFormat="1" applyFont="1" applyFill="1" applyBorder="1" applyAlignment="1">
      <alignment horizontal="center" vertical="top"/>
    </xf>
    <xf numFmtId="166" fontId="4" fillId="7" borderId="1" xfId="0" applyNumberFormat="1" applyFont="1" applyFill="1" applyBorder="1" applyAlignment="1">
      <alignment horizontal="center" vertical="top" wrapText="1"/>
    </xf>
    <xf numFmtId="166" fontId="4" fillId="7" borderId="35" xfId="0" applyNumberFormat="1" applyFont="1" applyFill="1" applyBorder="1" applyAlignment="1">
      <alignment horizontal="center" vertical="top"/>
    </xf>
    <xf numFmtId="166" fontId="9" fillId="7" borderId="27" xfId="0" applyNumberFormat="1" applyFont="1" applyFill="1" applyBorder="1" applyAlignment="1">
      <alignment horizontal="center" vertical="center" wrapText="1"/>
    </xf>
    <xf numFmtId="166" fontId="3" fillId="0" borderId="18" xfId="0" applyNumberFormat="1" applyFont="1" applyBorder="1" applyAlignment="1">
      <alignment horizontal="center" vertical="top" wrapText="1"/>
    </xf>
    <xf numFmtId="166" fontId="9" fillId="7" borderId="49" xfId="0" applyNumberFormat="1" applyFont="1" applyFill="1" applyBorder="1" applyAlignment="1">
      <alignment vertical="top" wrapText="1"/>
    </xf>
    <xf numFmtId="166" fontId="9" fillId="7" borderId="18" xfId="0" applyNumberFormat="1" applyFont="1" applyFill="1" applyBorder="1" applyAlignment="1">
      <alignment horizontal="center" wrapText="1"/>
    </xf>
    <xf numFmtId="0" fontId="3" fillId="7" borderId="50" xfId="0" applyFont="1" applyFill="1" applyBorder="1" applyAlignment="1">
      <alignment horizontal="center" vertical="top"/>
    </xf>
    <xf numFmtId="3" fontId="7" fillId="7" borderId="77" xfId="0" applyNumberFormat="1" applyFont="1" applyFill="1" applyBorder="1" applyAlignment="1">
      <alignment horizontal="center" vertical="center" wrapText="1"/>
    </xf>
    <xf numFmtId="3" fontId="3" fillId="7" borderId="103" xfId="0" applyNumberFormat="1" applyFont="1" applyFill="1" applyBorder="1" applyAlignment="1">
      <alignment horizontal="center" vertical="top" wrapText="1"/>
    </xf>
    <xf numFmtId="3" fontId="7" fillId="7" borderId="2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top" wrapText="1"/>
    </xf>
    <xf numFmtId="3" fontId="3" fillId="7" borderId="0" xfId="0" applyNumberFormat="1" applyFont="1" applyFill="1" applyBorder="1" applyAlignment="1">
      <alignment horizontal="center" vertical="top"/>
    </xf>
    <xf numFmtId="166" fontId="20" fillId="7" borderId="66" xfId="0" applyNumberFormat="1" applyFont="1" applyFill="1" applyBorder="1" applyAlignment="1">
      <alignment horizontal="left" vertical="top" wrapText="1"/>
    </xf>
    <xf numFmtId="3" fontId="3" fillId="7" borderId="77" xfId="0" applyNumberFormat="1" applyFont="1" applyFill="1" applyBorder="1" applyAlignment="1">
      <alignment horizontal="center" vertical="top"/>
    </xf>
    <xf numFmtId="49" fontId="7" fillId="3" borderId="0" xfId="0" applyNumberFormat="1" applyFont="1" applyFill="1" applyBorder="1" applyAlignment="1">
      <alignment horizontal="center" vertical="center" textRotation="90" wrapText="1"/>
    </xf>
    <xf numFmtId="166" fontId="7" fillId="0" borderId="18" xfId="0" applyNumberFormat="1" applyFont="1" applyFill="1" applyBorder="1" applyAlignment="1">
      <alignment horizontal="center" vertical="top" wrapText="1"/>
    </xf>
    <xf numFmtId="166" fontId="3" fillId="7" borderId="37" xfId="0" applyNumberFormat="1" applyFont="1" applyFill="1" applyBorder="1" applyAlignment="1">
      <alignment vertical="top"/>
    </xf>
    <xf numFmtId="49" fontId="3" fillId="7" borderId="28" xfId="0" applyNumberFormat="1" applyFont="1" applyFill="1" applyBorder="1" applyAlignment="1">
      <alignment horizontal="center" vertical="top"/>
    </xf>
    <xf numFmtId="49" fontId="3" fillId="7" borderId="35" xfId="0" applyNumberFormat="1" applyFont="1" applyFill="1" applyBorder="1" applyAlignment="1">
      <alignment horizontal="center" vertical="top"/>
    </xf>
    <xf numFmtId="166" fontId="3" fillId="7" borderId="21" xfId="0" applyNumberFormat="1" applyFont="1" applyFill="1" applyBorder="1" applyAlignment="1">
      <alignment vertical="top"/>
    </xf>
    <xf numFmtId="0" fontId="3" fillId="7" borderId="49" xfId="0" applyNumberFormat="1" applyFont="1" applyFill="1" applyBorder="1" applyAlignment="1">
      <alignment horizontal="center" vertical="top" wrapText="1"/>
    </xf>
    <xf numFmtId="0" fontId="3" fillId="7" borderId="102" xfId="0" applyNumberFormat="1" applyFont="1" applyFill="1" applyBorder="1" applyAlignment="1">
      <alignment horizontal="center" vertical="top" wrapText="1"/>
    </xf>
    <xf numFmtId="3" fontId="3" fillId="7" borderId="100" xfId="0" applyNumberFormat="1" applyFont="1" applyFill="1" applyBorder="1" applyAlignment="1">
      <alignment horizontal="center" vertical="top"/>
    </xf>
    <xf numFmtId="3" fontId="3" fillId="7" borderId="110" xfId="0" applyNumberFormat="1" applyFont="1" applyFill="1" applyBorder="1" applyAlignment="1">
      <alignment horizontal="center" vertical="top"/>
    </xf>
    <xf numFmtId="3" fontId="3" fillId="7" borderId="119" xfId="0" applyNumberFormat="1" applyFont="1" applyFill="1" applyBorder="1" applyAlignment="1">
      <alignment horizontal="center" vertical="top"/>
    </xf>
    <xf numFmtId="3" fontId="3" fillId="7" borderId="118" xfId="0" applyNumberFormat="1" applyFont="1" applyFill="1" applyBorder="1" applyAlignment="1">
      <alignment horizontal="center" vertical="top"/>
    </xf>
    <xf numFmtId="166" fontId="3" fillId="7" borderId="89" xfId="0" applyNumberFormat="1" applyFont="1" applyFill="1" applyBorder="1" applyAlignment="1">
      <alignment horizontal="center" vertical="top"/>
    </xf>
    <xf numFmtId="166" fontId="3" fillId="7" borderId="120" xfId="0" applyNumberFormat="1" applyFont="1" applyFill="1" applyBorder="1" applyAlignment="1">
      <alignment horizontal="center" vertical="top"/>
    </xf>
    <xf numFmtId="166" fontId="3" fillId="7" borderId="79" xfId="0" applyNumberFormat="1" applyFont="1" applyFill="1" applyBorder="1" applyAlignment="1">
      <alignment horizontal="center" vertical="top"/>
    </xf>
    <xf numFmtId="166" fontId="3" fillId="7" borderId="15" xfId="0" applyNumberFormat="1" applyFont="1" applyFill="1" applyBorder="1" applyAlignment="1">
      <alignment horizontal="center" vertical="top"/>
    </xf>
    <xf numFmtId="3" fontId="3" fillId="0" borderId="47" xfId="0" applyNumberFormat="1" applyFont="1" applyFill="1" applyBorder="1" applyAlignment="1">
      <alignment horizontal="center" vertical="top"/>
    </xf>
    <xf numFmtId="166" fontId="9" fillId="7" borderId="46" xfId="0" applyNumberFormat="1" applyFont="1" applyFill="1" applyBorder="1" applyAlignment="1">
      <alignment horizontal="center" vertical="center" textRotation="90" wrapText="1"/>
    </xf>
    <xf numFmtId="166" fontId="3" fillId="0" borderId="20" xfId="0" applyNumberFormat="1" applyFont="1" applyFill="1" applyBorder="1" applyAlignment="1">
      <alignment horizontal="center" vertical="top"/>
    </xf>
    <xf numFmtId="3" fontId="3" fillId="7" borderId="48" xfId="0" applyNumberFormat="1" applyFont="1" applyFill="1" applyBorder="1" applyAlignment="1">
      <alignment horizontal="center" vertical="top"/>
    </xf>
    <xf numFmtId="49" fontId="4" fillId="9" borderId="34" xfId="0" applyNumberFormat="1" applyFont="1" applyFill="1" applyBorder="1" applyAlignment="1">
      <alignment horizontal="center" vertical="top"/>
    </xf>
    <xf numFmtId="166" fontId="3" fillId="0" borderId="39" xfId="0" applyNumberFormat="1" applyFont="1" applyFill="1" applyBorder="1" applyAlignment="1">
      <alignment horizontal="center" vertical="top"/>
    </xf>
    <xf numFmtId="3" fontId="3" fillId="0" borderId="0" xfId="0" applyNumberFormat="1" applyFont="1" applyFill="1" applyBorder="1" applyAlignment="1">
      <alignment horizontal="left" vertical="top" wrapText="1"/>
    </xf>
    <xf numFmtId="3" fontId="3" fillId="3" borderId="0"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wrapText="1"/>
    </xf>
    <xf numFmtId="0" fontId="3" fillId="7" borderId="34" xfId="0" applyFont="1" applyFill="1" applyBorder="1" applyAlignment="1">
      <alignment vertical="top"/>
    </xf>
    <xf numFmtId="0" fontId="3" fillId="7" borderId="11" xfId="0" applyFont="1" applyFill="1" applyBorder="1" applyAlignment="1">
      <alignment vertical="top"/>
    </xf>
    <xf numFmtId="0" fontId="3" fillId="7" borderId="49" xfId="0" applyFont="1" applyFill="1" applyBorder="1" applyAlignment="1">
      <alignment vertical="top"/>
    </xf>
    <xf numFmtId="0" fontId="3" fillId="7" borderId="21" xfId="0" applyFont="1" applyFill="1" applyBorder="1" applyAlignment="1">
      <alignment vertical="top"/>
    </xf>
    <xf numFmtId="0" fontId="3" fillId="7" borderId="18" xfId="0" applyFont="1" applyFill="1" applyBorder="1" applyAlignment="1">
      <alignment vertical="top"/>
    </xf>
    <xf numFmtId="0" fontId="3" fillId="7" borderId="66" xfId="0" applyFont="1" applyFill="1" applyBorder="1" applyAlignment="1">
      <alignment vertical="top"/>
    </xf>
    <xf numFmtId="0" fontId="3" fillId="7" borderId="28" xfId="0" applyFont="1" applyFill="1" applyBorder="1" applyAlignment="1">
      <alignment vertical="top"/>
    </xf>
    <xf numFmtId="0" fontId="3" fillId="7" borderId="35" xfId="0" applyFont="1" applyFill="1" applyBorder="1" applyAlignment="1">
      <alignment vertical="top"/>
    </xf>
    <xf numFmtId="0" fontId="3" fillId="7" borderId="27" xfId="0" applyFont="1" applyFill="1" applyBorder="1" applyAlignment="1">
      <alignment vertical="top"/>
    </xf>
    <xf numFmtId="166" fontId="3" fillId="7" borderId="34" xfId="0" applyNumberFormat="1" applyFont="1" applyFill="1" applyBorder="1" applyAlignment="1">
      <alignment horizontal="center" vertical="top" wrapText="1"/>
    </xf>
    <xf numFmtId="166" fontId="3" fillId="7" borderId="44" xfId="0" applyNumberFormat="1" applyFont="1" applyFill="1" applyBorder="1" applyAlignment="1">
      <alignment horizontal="center" vertical="top" wrapText="1"/>
    </xf>
    <xf numFmtId="166" fontId="4" fillId="7" borderId="44" xfId="0" applyNumberFormat="1" applyFont="1" applyFill="1" applyBorder="1" applyAlignment="1">
      <alignment horizontal="center" vertical="top"/>
    </xf>
    <xf numFmtId="166" fontId="3" fillId="3" borderId="40" xfId="0" applyNumberFormat="1" applyFont="1" applyFill="1" applyBorder="1" applyAlignment="1">
      <alignment horizontal="center" vertical="top"/>
    </xf>
    <xf numFmtId="166" fontId="3" fillId="7" borderId="5" xfId="0" applyNumberFormat="1" applyFont="1" applyFill="1" applyBorder="1" applyAlignment="1">
      <alignment horizontal="left" vertical="top" wrapText="1"/>
    </xf>
    <xf numFmtId="3" fontId="3" fillId="7" borderId="106" xfId="0" applyNumberFormat="1" applyFont="1" applyFill="1" applyBorder="1" applyAlignment="1">
      <alignment horizontal="center" vertical="top" wrapText="1"/>
    </xf>
    <xf numFmtId="166" fontId="3" fillId="7" borderId="0" xfId="0" applyNumberFormat="1" applyFont="1" applyFill="1" applyBorder="1" applyAlignment="1">
      <alignment horizontal="center" vertical="top" wrapText="1"/>
    </xf>
    <xf numFmtId="166" fontId="3" fillId="3" borderId="51" xfId="0" applyNumberFormat="1" applyFont="1" applyFill="1" applyBorder="1" applyAlignment="1">
      <alignment horizontal="center" vertical="top"/>
    </xf>
    <xf numFmtId="3" fontId="3" fillId="7" borderId="25" xfId="0" applyNumberFormat="1" applyFont="1" applyFill="1" applyBorder="1" applyAlignment="1">
      <alignment horizontal="center" vertical="top" wrapText="1"/>
    </xf>
    <xf numFmtId="3" fontId="3" fillId="7" borderId="51" xfId="0" applyNumberFormat="1" applyFont="1" applyFill="1" applyBorder="1" applyAlignment="1">
      <alignment horizontal="center" vertical="top" wrapText="1"/>
    </xf>
    <xf numFmtId="3" fontId="3" fillId="0" borderId="80" xfId="0" applyNumberFormat="1" applyFont="1" applyFill="1" applyBorder="1" applyAlignment="1">
      <alignment horizontal="center" vertical="top"/>
    </xf>
    <xf numFmtId="3" fontId="3" fillId="0" borderId="94" xfId="0" applyNumberFormat="1" applyFont="1" applyFill="1" applyBorder="1" applyAlignment="1">
      <alignment horizontal="center" vertical="top"/>
    </xf>
    <xf numFmtId="166" fontId="4" fillId="3" borderId="75" xfId="0" applyNumberFormat="1" applyFont="1" applyFill="1" applyBorder="1" applyAlignment="1">
      <alignment horizontal="center" vertical="top"/>
    </xf>
    <xf numFmtId="166" fontId="3" fillId="7" borderId="77" xfId="1" applyNumberFormat="1" applyFont="1" applyFill="1" applyBorder="1" applyAlignment="1">
      <alignment horizontal="center" vertical="top"/>
    </xf>
    <xf numFmtId="166" fontId="3" fillId="7" borderId="23" xfId="1" applyNumberFormat="1" applyFont="1" applyFill="1" applyBorder="1" applyAlignment="1">
      <alignment horizontal="center" vertical="top"/>
    </xf>
    <xf numFmtId="166" fontId="4" fillId="2" borderId="56" xfId="0" applyNumberFormat="1" applyFont="1" applyFill="1" applyBorder="1" applyAlignment="1">
      <alignment horizontal="center" vertical="top"/>
    </xf>
    <xf numFmtId="49" fontId="3" fillId="7" borderId="18" xfId="0" applyNumberFormat="1" applyFont="1" applyFill="1" applyBorder="1" applyAlignment="1">
      <alignment horizontal="center" vertical="top"/>
    </xf>
    <xf numFmtId="0" fontId="3" fillId="7" borderId="0" xfId="0" applyFont="1" applyFill="1" applyBorder="1" applyAlignment="1">
      <alignment vertical="top"/>
    </xf>
    <xf numFmtId="166" fontId="3" fillId="3" borderId="52" xfId="0" applyNumberFormat="1" applyFont="1" applyFill="1" applyBorder="1" applyAlignment="1">
      <alignment horizontal="center" vertical="top"/>
    </xf>
    <xf numFmtId="166" fontId="3" fillId="7" borderId="84" xfId="0" applyNumberFormat="1" applyFont="1" applyFill="1" applyBorder="1" applyAlignment="1">
      <alignment vertical="top" wrapText="1"/>
    </xf>
    <xf numFmtId="166" fontId="3" fillId="7" borderId="5" xfId="0" applyNumberFormat="1" applyFont="1" applyFill="1" applyBorder="1" applyAlignment="1">
      <alignment horizontal="center" vertical="top"/>
    </xf>
    <xf numFmtId="166" fontId="3" fillId="7" borderId="51" xfId="0" applyNumberFormat="1" applyFont="1" applyFill="1" applyBorder="1" applyAlignment="1">
      <alignment horizontal="center" vertical="top"/>
    </xf>
    <xf numFmtId="166" fontId="4" fillId="8" borderId="33" xfId="0" applyNumberFormat="1" applyFont="1" applyFill="1" applyBorder="1" applyAlignment="1">
      <alignment horizontal="center" vertical="top"/>
    </xf>
    <xf numFmtId="3" fontId="3" fillId="7" borderId="102" xfId="0" applyNumberFormat="1" applyFont="1" applyFill="1" applyBorder="1" applyAlignment="1">
      <alignment horizontal="center" vertical="top"/>
    </xf>
    <xf numFmtId="166" fontId="3" fillId="7" borderId="25" xfId="0" applyNumberFormat="1" applyFont="1" applyFill="1" applyBorder="1" applyAlignment="1">
      <alignment horizontal="center" vertical="center" textRotation="90" wrapText="1"/>
    </xf>
    <xf numFmtId="166" fontId="4" fillId="7" borderId="49" xfId="0" applyNumberFormat="1" applyFont="1" applyFill="1" applyBorder="1" applyAlignment="1">
      <alignment vertical="top" wrapText="1"/>
    </xf>
    <xf numFmtId="166" fontId="4" fillId="7" borderId="35" xfId="0" applyNumberFormat="1" applyFont="1" applyFill="1" applyBorder="1" applyAlignment="1">
      <alignment vertical="top" wrapText="1"/>
    </xf>
    <xf numFmtId="166" fontId="3" fillId="0" borderId="93"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166" fontId="3" fillId="0" borderId="82" xfId="0" applyNumberFormat="1" applyFont="1" applyFill="1" applyBorder="1" applyAlignment="1">
      <alignment horizontal="center" vertical="top"/>
    </xf>
    <xf numFmtId="166" fontId="3" fillId="3" borderId="28" xfId="0" applyNumberFormat="1" applyFont="1" applyFill="1" applyBorder="1" applyAlignment="1">
      <alignment vertical="top" wrapText="1"/>
    </xf>
    <xf numFmtId="166" fontId="4" fillId="7"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166" fontId="4" fillId="7" borderId="28" xfId="0" applyNumberFormat="1" applyFont="1" applyFill="1" applyBorder="1" applyAlignment="1">
      <alignment horizontal="center" vertical="top"/>
    </xf>
    <xf numFmtId="166" fontId="4" fillId="8" borderId="57" xfId="0" applyNumberFormat="1" applyFont="1" applyFill="1" applyBorder="1" applyAlignment="1">
      <alignment horizontal="center" vertical="top"/>
    </xf>
    <xf numFmtId="49" fontId="4" fillId="8" borderId="11" xfId="0" applyNumberFormat="1" applyFont="1" applyFill="1" applyBorder="1" applyAlignment="1">
      <alignment horizontal="center" vertical="top"/>
    </xf>
    <xf numFmtId="166" fontId="9" fillId="8" borderId="60" xfId="0" applyNumberFormat="1" applyFont="1" applyFill="1" applyBorder="1" applyAlignment="1">
      <alignment vertical="top" wrapText="1"/>
    </xf>
    <xf numFmtId="166" fontId="12" fillId="8" borderId="60" xfId="0" applyNumberFormat="1" applyFont="1" applyFill="1" applyBorder="1" applyAlignment="1">
      <alignment horizontal="center" vertical="center" textRotation="90" wrapText="1"/>
    </xf>
    <xf numFmtId="166" fontId="2" fillId="8" borderId="60" xfId="0" applyNumberFormat="1" applyFont="1" applyFill="1" applyBorder="1" applyAlignment="1">
      <alignment horizontal="center" vertical="center" textRotation="90" wrapText="1"/>
    </xf>
    <xf numFmtId="166" fontId="4" fillId="8" borderId="11" xfId="0" applyNumberFormat="1" applyFont="1" applyFill="1" applyBorder="1" applyAlignment="1">
      <alignment horizontal="center" vertical="top"/>
    </xf>
    <xf numFmtId="166" fontId="4" fillId="8" borderId="25" xfId="0" applyNumberFormat="1" applyFont="1" applyFill="1" applyBorder="1" applyAlignment="1">
      <alignment horizontal="center" vertical="top"/>
    </xf>
    <xf numFmtId="166" fontId="20" fillId="8" borderId="67" xfId="0" applyNumberFormat="1" applyFont="1" applyFill="1" applyBorder="1" applyAlignment="1">
      <alignment horizontal="left" vertical="top" wrapText="1"/>
    </xf>
    <xf numFmtId="3" fontId="3" fillId="8" borderId="60" xfId="0" applyNumberFormat="1" applyFont="1" applyFill="1" applyBorder="1" applyAlignment="1">
      <alignment horizontal="center" vertical="top"/>
    </xf>
    <xf numFmtId="3" fontId="7" fillId="8" borderId="60" xfId="0" applyNumberFormat="1" applyFont="1" applyFill="1" applyBorder="1" applyAlignment="1">
      <alignment horizontal="center" vertical="top" wrapText="1"/>
    </xf>
    <xf numFmtId="3" fontId="7" fillId="8" borderId="63" xfId="0" applyNumberFormat="1" applyFont="1" applyFill="1" applyBorder="1" applyAlignment="1">
      <alignment horizontal="center" vertical="top" wrapText="1"/>
    </xf>
    <xf numFmtId="166" fontId="4" fillId="8" borderId="11" xfId="0" applyNumberFormat="1" applyFont="1" applyFill="1" applyBorder="1" applyAlignment="1">
      <alignment vertical="top"/>
    </xf>
    <xf numFmtId="166" fontId="4" fillId="8" borderId="49" xfId="0" applyNumberFormat="1" applyFont="1" applyFill="1" applyBorder="1" applyAlignment="1">
      <alignment vertical="top"/>
    </xf>
    <xf numFmtId="49" fontId="4" fillId="7" borderId="11" xfId="0" applyNumberFormat="1" applyFont="1" applyFill="1" applyBorder="1" applyAlignment="1">
      <alignment horizontal="center" vertical="top" wrapText="1"/>
    </xf>
    <xf numFmtId="49" fontId="4" fillId="7" borderId="28" xfId="0" applyNumberFormat="1" applyFont="1" applyFill="1" applyBorder="1" applyAlignment="1">
      <alignment horizontal="center" vertical="top" wrapText="1"/>
    </xf>
    <xf numFmtId="166" fontId="4" fillId="8" borderId="0" xfId="0" applyNumberFormat="1" applyFont="1" applyFill="1" applyBorder="1" applyAlignment="1">
      <alignment horizontal="center" vertical="top"/>
    </xf>
    <xf numFmtId="166" fontId="4" fillId="8" borderId="49" xfId="0" applyNumberFormat="1" applyFont="1" applyFill="1" applyBorder="1" applyAlignment="1">
      <alignment horizontal="center" vertical="top"/>
    </xf>
    <xf numFmtId="166" fontId="4" fillId="8" borderId="25" xfId="0" applyNumberFormat="1" applyFont="1" applyFill="1" applyBorder="1" applyAlignment="1">
      <alignment vertical="top"/>
    </xf>
    <xf numFmtId="166" fontId="9" fillId="8" borderId="32" xfId="0" applyNumberFormat="1" applyFont="1" applyFill="1" applyBorder="1" applyAlignment="1">
      <alignment vertical="top" wrapText="1"/>
    </xf>
    <xf numFmtId="166" fontId="12" fillId="8" borderId="32" xfId="0" applyNumberFormat="1" applyFont="1" applyFill="1" applyBorder="1" applyAlignment="1">
      <alignment horizontal="center" vertical="center" textRotation="90" wrapText="1"/>
    </xf>
    <xf numFmtId="166" fontId="2" fillId="8" borderId="32" xfId="0" applyNumberFormat="1" applyFont="1" applyFill="1" applyBorder="1" applyAlignment="1">
      <alignment horizontal="center" vertical="center" textRotation="90" wrapText="1"/>
    </xf>
    <xf numFmtId="166" fontId="20" fillId="8" borderId="74" xfId="0" applyNumberFormat="1" applyFont="1" applyFill="1" applyBorder="1" applyAlignment="1">
      <alignment horizontal="left" vertical="top" wrapText="1"/>
    </xf>
    <xf numFmtId="49" fontId="3" fillId="7" borderId="108" xfId="0" applyNumberFormat="1" applyFont="1" applyFill="1" applyBorder="1" applyAlignment="1">
      <alignment horizontal="center" vertical="top"/>
    </xf>
    <xf numFmtId="166" fontId="3" fillId="7" borderId="61" xfId="0" applyNumberFormat="1" applyFont="1" applyFill="1" applyBorder="1" applyAlignment="1">
      <alignment horizontal="center" vertical="top" wrapText="1"/>
    </xf>
    <xf numFmtId="166" fontId="3" fillId="7" borderId="47"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166" fontId="4" fillId="3" borderId="77" xfId="0" applyNumberFormat="1" applyFont="1" applyFill="1" applyBorder="1" applyAlignment="1">
      <alignment horizontal="center" vertical="top"/>
    </xf>
    <xf numFmtId="166" fontId="4" fillId="3" borderId="28" xfId="0" applyNumberFormat="1" applyFont="1" applyFill="1" applyBorder="1" applyAlignment="1">
      <alignment horizontal="center" vertical="top"/>
    </xf>
    <xf numFmtId="166" fontId="4" fillId="3" borderId="70" xfId="0" applyNumberFormat="1" applyFont="1" applyFill="1" applyBorder="1" applyAlignment="1">
      <alignment horizontal="center" vertical="top"/>
    </xf>
    <xf numFmtId="166" fontId="4" fillId="3" borderId="13" xfId="0" applyNumberFormat="1" applyFont="1" applyFill="1" applyBorder="1" applyAlignment="1">
      <alignment horizontal="center" vertical="top"/>
    </xf>
    <xf numFmtId="166" fontId="3" fillId="7" borderId="50" xfId="0" applyNumberFormat="1" applyFont="1" applyFill="1" applyBorder="1" applyAlignment="1">
      <alignment horizontal="center" vertical="top" wrapText="1"/>
    </xf>
    <xf numFmtId="166" fontId="4" fillId="3" borderId="19" xfId="0" applyNumberFormat="1" applyFont="1" applyFill="1" applyBorder="1" applyAlignment="1">
      <alignment horizontal="center" vertical="top"/>
    </xf>
    <xf numFmtId="166" fontId="3" fillId="0" borderId="10" xfId="0" applyNumberFormat="1" applyFont="1" applyBorder="1" applyAlignment="1">
      <alignment horizontal="center" vertical="top"/>
    </xf>
    <xf numFmtId="166" fontId="3" fillId="0" borderId="54" xfId="0" applyNumberFormat="1" applyFont="1" applyBorder="1" applyAlignment="1">
      <alignment horizontal="center" vertical="top"/>
    </xf>
    <xf numFmtId="166" fontId="3" fillId="7" borderId="54" xfId="1" applyNumberFormat="1" applyFont="1" applyFill="1" applyBorder="1" applyAlignment="1">
      <alignment horizontal="center" vertical="top"/>
    </xf>
    <xf numFmtId="166" fontId="3" fillId="7" borderId="28" xfId="1" applyNumberFormat="1" applyFont="1" applyFill="1" applyBorder="1" applyAlignment="1">
      <alignment horizontal="center" vertical="top"/>
    </xf>
    <xf numFmtId="3" fontId="3" fillId="7" borderId="11" xfId="0" applyNumberFormat="1" applyFont="1" applyFill="1" applyBorder="1" applyAlignment="1">
      <alignment horizontal="center" vertical="top" wrapText="1"/>
    </xf>
    <xf numFmtId="3" fontId="3" fillId="7" borderId="49" xfId="0" applyNumberFormat="1" applyFont="1" applyFill="1" applyBorder="1" applyAlignment="1">
      <alignment horizontal="center" vertical="top" wrapText="1"/>
    </xf>
    <xf numFmtId="49" fontId="4" fillId="8" borderId="0" xfId="0" applyNumberFormat="1" applyFont="1" applyFill="1" applyBorder="1" applyAlignment="1">
      <alignment horizontal="center" vertical="top"/>
    </xf>
    <xf numFmtId="49" fontId="4" fillId="8" borderId="32" xfId="0" applyNumberFormat="1" applyFont="1" applyFill="1" applyBorder="1" applyAlignment="1">
      <alignment horizontal="center" vertical="top"/>
    </xf>
    <xf numFmtId="0" fontId="0" fillId="8" borderId="32" xfId="0" applyFill="1" applyBorder="1" applyAlignment="1">
      <alignment vertical="top" wrapText="1"/>
    </xf>
    <xf numFmtId="0" fontId="0" fillId="8" borderId="32" xfId="0" applyFill="1" applyBorder="1" applyAlignment="1">
      <alignment horizontal="center" textRotation="90" wrapText="1"/>
    </xf>
    <xf numFmtId="0" fontId="0" fillId="8" borderId="32" xfId="0" applyFont="1" applyFill="1" applyBorder="1" applyAlignment="1">
      <alignment horizontal="center" vertical="top"/>
    </xf>
    <xf numFmtId="166" fontId="9" fillId="8" borderId="74" xfId="0" applyNumberFormat="1" applyFont="1" applyFill="1" applyBorder="1" applyAlignment="1">
      <alignment vertical="top" wrapText="1"/>
    </xf>
    <xf numFmtId="166" fontId="3" fillId="8" borderId="60" xfId="0" applyNumberFormat="1" applyFont="1" applyFill="1" applyBorder="1" applyAlignment="1">
      <alignment horizontal="center" vertical="top"/>
    </xf>
    <xf numFmtId="0" fontId="3" fillId="7" borderId="37" xfId="0" applyFont="1" applyFill="1" applyBorder="1" applyAlignment="1">
      <alignment vertical="top" wrapText="1"/>
    </xf>
    <xf numFmtId="3" fontId="3" fillId="0" borderId="21" xfId="0" applyNumberFormat="1" applyFont="1" applyFill="1" applyBorder="1" applyAlignment="1">
      <alignment horizontal="center" vertical="top"/>
    </xf>
    <xf numFmtId="166" fontId="20" fillId="7" borderId="7" xfId="0" applyNumberFormat="1" applyFont="1" applyFill="1" applyBorder="1" applyAlignment="1">
      <alignment horizontal="center" vertical="top"/>
    </xf>
    <xf numFmtId="166" fontId="20" fillId="7" borderId="34" xfId="0" applyNumberFormat="1" applyFont="1" applyFill="1" applyBorder="1" applyAlignment="1">
      <alignment horizontal="center" vertical="top"/>
    </xf>
    <xf numFmtId="166" fontId="5" fillId="3" borderId="35" xfId="0" applyNumberFormat="1" applyFont="1" applyFill="1" applyBorder="1" applyAlignment="1">
      <alignment horizontal="center" vertical="center" textRotation="90" wrapText="1"/>
    </xf>
    <xf numFmtId="166" fontId="7" fillId="7" borderId="75" xfId="0" applyNumberFormat="1" applyFont="1" applyFill="1" applyBorder="1" applyAlignment="1">
      <alignment horizontal="center" vertical="center" textRotation="90" wrapText="1"/>
    </xf>
    <xf numFmtId="49" fontId="7" fillId="7" borderId="11" xfId="0" applyNumberFormat="1" applyFont="1" applyFill="1" applyBorder="1" applyAlignment="1">
      <alignment vertical="center" textRotation="90" wrapText="1"/>
    </xf>
    <xf numFmtId="3" fontId="7" fillId="7" borderId="11" xfId="0" applyNumberFormat="1" applyFont="1" applyFill="1" applyBorder="1" applyAlignment="1">
      <alignment textRotation="90" wrapText="1"/>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9" fillId="7" borderId="11" xfId="0" applyNumberFormat="1" applyFont="1" applyFill="1" applyBorder="1" applyAlignment="1">
      <alignment horizontal="center" vertical="center" textRotation="90" wrapText="1"/>
    </xf>
    <xf numFmtId="166" fontId="4" fillId="2"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3" fillId="0" borderId="98" xfId="0" applyNumberFormat="1" applyFont="1" applyFill="1" applyBorder="1" applyAlignment="1">
      <alignment horizontal="center" vertical="top"/>
    </xf>
    <xf numFmtId="166" fontId="3" fillId="7" borderId="61" xfId="0" applyNumberFormat="1" applyFont="1" applyFill="1" applyBorder="1" applyAlignment="1">
      <alignment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18" xfId="0" applyNumberFormat="1" applyFont="1" applyFill="1" applyBorder="1" applyAlignment="1">
      <alignment horizontal="center" vertical="top" wrapText="1"/>
    </xf>
    <xf numFmtId="166" fontId="4" fillId="8" borderId="11" xfId="0" applyNumberFormat="1" applyFont="1" applyFill="1" applyBorder="1" applyAlignment="1">
      <alignment horizontal="center" vertical="top"/>
    </xf>
    <xf numFmtId="166" fontId="4" fillId="8" borderId="49"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20" xfId="0" applyNumberFormat="1" applyFont="1" applyFill="1" applyBorder="1" applyAlignment="1">
      <alignment horizontal="center" vertical="center" textRotation="90" wrapText="1"/>
    </xf>
    <xf numFmtId="166" fontId="3" fillId="7" borderId="11" xfId="0" applyNumberFormat="1" applyFont="1" applyFill="1" applyBorder="1" applyAlignment="1">
      <alignment horizontal="center" vertical="center" textRotation="90" wrapText="1"/>
    </xf>
    <xf numFmtId="166" fontId="3" fillId="3" borderId="49" xfId="0" applyNumberFormat="1" applyFont="1" applyFill="1" applyBorder="1" applyAlignment="1">
      <alignment vertical="top" wrapText="1"/>
    </xf>
    <xf numFmtId="49" fontId="4"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3" fillId="7" borderId="37" xfId="0" applyNumberFormat="1" applyFont="1" applyFill="1" applyBorder="1" applyAlignment="1">
      <alignment horizontal="left" vertical="top" wrapText="1"/>
    </xf>
    <xf numFmtId="166" fontId="3" fillId="7" borderId="20" xfId="0" applyNumberFormat="1" applyFont="1" applyFill="1" applyBorder="1" applyAlignment="1">
      <alignment vertical="top" wrapText="1"/>
    </xf>
    <xf numFmtId="166" fontId="9" fillId="7" borderId="18" xfId="0" applyNumberFormat="1" applyFont="1" applyFill="1" applyBorder="1" applyAlignment="1">
      <alignment horizontal="center" vertical="center" wrapText="1"/>
    </xf>
    <xf numFmtId="166" fontId="4" fillId="7" borderId="28" xfId="0" applyNumberFormat="1" applyFont="1" applyFill="1" applyBorder="1" applyAlignment="1">
      <alignment horizontal="center" vertical="top"/>
    </xf>
    <xf numFmtId="166" fontId="9" fillId="7" borderId="18" xfId="0" applyNumberFormat="1" applyFont="1" applyFill="1" applyBorder="1" applyAlignment="1">
      <alignment horizontal="center" vertical="top" wrapText="1"/>
    </xf>
    <xf numFmtId="166" fontId="4" fillId="9" borderId="34" xfId="0" applyNumberFormat="1" applyFont="1" applyFill="1" applyBorder="1" applyAlignment="1">
      <alignment horizontal="center" vertical="top"/>
    </xf>
    <xf numFmtId="166" fontId="3" fillId="7" borderId="28" xfId="0" applyNumberFormat="1" applyFont="1" applyFill="1" applyBorder="1" applyAlignment="1">
      <alignment vertical="top" wrapText="1"/>
    </xf>
    <xf numFmtId="166" fontId="3" fillId="0" borderId="37" xfId="0" applyNumberFormat="1" applyFont="1" applyFill="1" applyBorder="1" applyAlignment="1">
      <alignment horizontal="left" vertical="top" wrapText="1"/>
    </xf>
    <xf numFmtId="166" fontId="3" fillId="0" borderId="29" xfId="0" applyNumberFormat="1" applyFont="1" applyFill="1" applyBorder="1" applyAlignment="1">
      <alignment horizontal="left" vertical="top" wrapText="1"/>
    </xf>
    <xf numFmtId="166" fontId="3" fillId="7" borderId="7" xfId="0" applyNumberFormat="1" applyFont="1" applyFill="1" applyBorder="1" applyAlignment="1">
      <alignment horizontal="left" vertical="top" wrapText="1"/>
    </xf>
    <xf numFmtId="166" fontId="4" fillId="7" borderId="47" xfId="0" applyNumberFormat="1" applyFont="1" applyFill="1" applyBorder="1" applyAlignment="1">
      <alignment horizontal="center" vertical="top"/>
    </xf>
    <xf numFmtId="166" fontId="3" fillId="7" borderId="48" xfId="0" applyNumberFormat="1" applyFont="1" applyFill="1" applyBorder="1" applyAlignment="1">
      <alignment horizontal="left" vertical="top" wrapText="1"/>
    </xf>
    <xf numFmtId="49" fontId="4" fillId="7" borderId="49" xfId="0" applyNumberFormat="1" applyFont="1" applyFill="1" applyBorder="1" applyAlignment="1">
      <alignment horizontal="center" vertical="top"/>
    </xf>
    <xf numFmtId="166" fontId="3" fillId="7" borderId="29" xfId="0" applyNumberFormat="1" applyFont="1" applyFill="1" applyBorder="1" applyAlignment="1">
      <alignment horizontal="left" vertical="top" wrapText="1"/>
    </xf>
    <xf numFmtId="3" fontId="3" fillId="0" borderId="100" xfId="0" applyNumberFormat="1" applyFont="1" applyFill="1" applyBorder="1" applyAlignment="1">
      <alignment horizontal="center" vertical="top"/>
    </xf>
    <xf numFmtId="166" fontId="20" fillId="7" borderId="29" xfId="0" applyNumberFormat="1" applyFont="1" applyFill="1" applyBorder="1" applyAlignment="1">
      <alignment horizontal="left" vertical="top" wrapText="1"/>
    </xf>
    <xf numFmtId="166" fontId="3" fillId="7" borderId="107" xfId="0" applyNumberFormat="1" applyFont="1" applyFill="1" applyBorder="1" applyAlignment="1">
      <alignment horizontal="center" vertical="top"/>
    </xf>
    <xf numFmtId="166" fontId="4" fillId="0" borderId="14" xfId="0" applyNumberFormat="1" applyFont="1" applyBorder="1" applyAlignment="1">
      <alignment horizontal="center" vertical="top"/>
    </xf>
    <xf numFmtId="166" fontId="3" fillId="7" borderId="15" xfId="0" applyNumberFormat="1" applyFont="1" applyFill="1" applyBorder="1" applyAlignment="1">
      <alignment horizontal="center" vertical="top" wrapText="1"/>
    </xf>
    <xf numFmtId="0" fontId="1" fillId="0" borderId="0" xfId="0" applyFont="1" applyBorder="1" applyAlignment="1">
      <alignment horizontal="center" vertical="center" textRotation="90" wrapText="1"/>
    </xf>
    <xf numFmtId="166" fontId="7" fillId="7" borderId="82" xfId="0" applyNumberFormat="1" applyFont="1" applyFill="1" applyBorder="1" applyAlignment="1">
      <alignment horizontal="center" vertical="top"/>
    </xf>
    <xf numFmtId="166" fontId="7" fillId="7" borderId="110" xfId="0" applyNumberFormat="1" applyFont="1" applyFill="1" applyBorder="1" applyAlignment="1">
      <alignment horizontal="center" vertical="top"/>
    </xf>
    <xf numFmtId="166" fontId="3" fillId="7" borderId="83" xfId="0" applyNumberFormat="1" applyFont="1" applyFill="1" applyBorder="1" applyAlignment="1">
      <alignment horizontal="center" vertical="top"/>
    </xf>
    <xf numFmtId="3" fontId="7" fillId="0" borderId="88" xfId="0" applyNumberFormat="1" applyFont="1" applyFill="1" applyBorder="1" applyAlignment="1">
      <alignment horizontal="center" vertical="top"/>
    </xf>
    <xf numFmtId="3" fontId="3" fillId="7" borderId="112" xfId="0" applyNumberFormat="1" applyFont="1" applyFill="1" applyBorder="1" applyAlignment="1">
      <alignment horizontal="center" vertical="top"/>
    </xf>
    <xf numFmtId="3" fontId="7" fillId="0" borderId="111" xfId="0" applyNumberFormat="1" applyFont="1" applyFill="1" applyBorder="1" applyAlignment="1">
      <alignment horizontal="center" vertical="top"/>
    </xf>
    <xf numFmtId="166" fontId="3" fillId="0" borderId="100" xfId="0" applyNumberFormat="1" applyFont="1" applyFill="1" applyBorder="1" applyAlignment="1">
      <alignment horizontal="center" vertical="top"/>
    </xf>
    <xf numFmtId="166" fontId="3" fillId="0" borderId="28" xfId="0" applyNumberFormat="1" applyFont="1" applyFill="1" applyBorder="1" applyAlignment="1">
      <alignment vertical="top" wrapText="1"/>
    </xf>
    <xf numFmtId="166" fontId="3" fillId="7" borderId="1" xfId="0" applyNumberFormat="1" applyFont="1" applyFill="1" applyBorder="1" applyAlignment="1">
      <alignment vertical="top" wrapText="1"/>
    </xf>
    <xf numFmtId="0" fontId="3" fillId="0" borderId="87" xfId="0" applyFont="1" applyBorder="1" applyAlignment="1">
      <alignment vertical="top" wrapText="1"/>
    </xf>
    <xf numFmtId="166" fontId="3" fillId="7" borderId="80" xfId="0" applyNumberFormat="1" applyFont="1" applyFill="1" applyBorder="1" applyAlignment="1">
      <alignment vertical="top" wrapText="1"/>
    </xf>
    <xf numFmtId="0" fontId="3" fillId="0" borderId="87" xfId="0" applyFont="1" applyBorder="1" applyAlignment="1">
      <alignment vertical="top"/>
    </xf>
    <xf numFmtId="49" fontId="2" fillId="7" borderId="20" xfId="0" applyNumberFormat="1" applyFont="1" applyFill="1" applyBorder="1" applyAlignment="1">
      <alignment horizontal="center" vertical="center" textRotation="90" wrapText="1"/>
    </xf>
    <xf numFmtId="49" fontId="2" fillId="7" borderId="11" xfId="0" applyNumberFormat="1" applyFont="1" applyFill="1" applyBorder="1" applyAlignment="1">
      <alignment horizontal="center" vertical="center" textRotation="90" wrapText="1"/>
    </xf>
    <xf numFmtId="49" fontId="2" fillId="7" borderId="28" xfId="0" applyNumberFormat="1" applyFont="1" applyFill="1" applyBorder="1" applyAlignment="1">
      <alignment horizontal="center" vertical="center" textRotation="90" wrapText="1"/>
    </xf>
    <xf numFmtId="166" fontId="3" fillId="7" borderId="70" xfId="0" applyNumberFormat="1" applyFont="1" applyFill="1" applyBorder="1" applyAlignment="1">
      <alignment horizontal="right" vertical="top"/>
    </xf>
    <xf numFmtId="166" fontId="9" fillId="7" borderId="21" xfId="0" applyNumberFormat="1" applyFont="1" applyFill="1" applyBorder="1" applyAlignment="1">
      <alignment horizontal="center" vertical="top" wrapText="1"/>
    </xf>
    <xf numFmtId="166" fontId="3" fillId="7" borderId="21"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3" fillId="0" borderId="96" xfId="0" applyNumberFormat="1" applyFont="1" applyFill="1" applyBorder="1" applyAlignment="1">
      <alignment horizontal="center" vertical="top"/>
    </xf>
    <xf numFmtId="3" fontId="3" fillId="0" borderId="98" xfId="0" applyNumberFormat="1" applyFont="1" applyFill="1" applyBorder="1" applyAlignment="1">
      <alignment horizontal="center" vertical="top"/>
    </xf>
    <xf numFmtId="3" fontId="25" fillId="7" borderId="20" xfId="0" applyNumberFormat="1" applyFont="1" applyFill="1" applyBorder="1" applyAlignment="1">
      <alignment horizontal="center" vertical="top"/>
    </xf>
    <xf numFmtId="3" fontId="25" fillId="7" borderId="39" xfId="0" applyNumberFormat="1" applyFont="1" applyFill="1" applyBorder="1" applyAlignment="1">
      <alignment horizontal="center" vertical="top"/>
    </xf>
    <xf numFmtId="3" fontId="25" fillId="7" borderId="11" xfId="1" applyNumberFormat="1" applyFont="1" applyFill="1" applyBorder="1" applyAlignment="1">
      <alignment horizontal="center" vertical="top" wrapText="1"/>
    </xf>
    <xf numFmtId="3" fontId="25" fillId="7" borderId="44" xfId="1" applyNumberFormat="1" applyFont="1" applyFill="1" applyBorder="1" applyAlignment="1">
      <alignment horizontal="center" vertical="top" wrapText="1"/>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25" fillId="7" borderId="3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0" fontId="0" fillId="7" borderId="18" xfId="0" applyFont="1" applyFill="1" applyBorder="1" applyAlignment="1">
      <alignment horizontal="center" wrapText="1"/>
    </xf>
    <xf numFmtId="166" fontId="4" fillId="3" borderId="47" xfId="0" applyNumberFormat="1" applyFont="1" applyFill="1" applyBorder="1" applyAlignment="1">
      <alignment horizontal="center" vertical="top" wrapText="1"/>
    </xf>
    <xf numFmtId="3" fontId="3" fillId="7" borderId="20"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wrapText="1"/>
    </xf>
    <xf numFmtId="49" fontId="3" fillId="7" borderId="47" xfId="0" applyNumberFormat="1" applyFont="1" applyFill="1" applyBorder="1" applyAlignment="1">
      <alignment horizontal="center" vertical="top"/>
    </xf>
    <xf numFmtId="49" fontId="3" fillId="7" borderId="21" xfId="0" applyNumberFormat="1" applyFont="1" applyFill="1" applyBorder="1" applyAlignment="1">
      <alignment horizontal="center" vertical="top"/>
    </xf>
    <xf numFmtId="49" fontId="3" fillId="7" borderId="114" xfId="0" applyNumberFormat="1" applyFont="1" applyFill="1" applyBorder="1" applyAlignment="1">
      <alignment horizontal="center" vertical="top"/>
    </xf>
    <xf numFmtId="49" fontId="3" fillId="7" borderId="111" xfId="0" applyNumberFormat="1" applyFont="1" applyFill="1" applyBorder="1" applyAlignment="1">
      <alignment horizontal="center" vertical="top"/>
    </xf>
    <xf numFmtId="49" fontId="3" fillId="7" borderId="27" xfId="0" applyNumberFormat="1" applyFont="1" applyFill="1" applyBorder="1" applyAlignment="1">
      <alignment horizontal="center" vertical="top"/>
    </xf>
    <xf numFmtId="0" fontId="31" fillId="7" borderId="11" xfId="0" applyFont="1" applyFill="1" applyBorder="1" applyAlignment="1">
      <alignment horizontal="center" vertical="top" wrapText="1"/>
    </xf>
    <xf numFmtId="166" fontId="25" fillId="7" borderId="86" xfId="0" applyNumberFormat="1" applyFont="1" applyFill="1" applyBorder="1" applyAlignment="1">
      <alignment horizontal="left" vertical="top" wrapText="1"/>
    </xf>
    <xf numFmtId="3" fontId="32" fillId="7" borderId="87" xfId="0" applyNumberFormat="1" applyFont="1" applyFill="1" applyBorder="1" applyAlignment="1">
      <alignment horizontal="center" vertical="center" wrapText="1"/>
    </xf>
    <xf numFmtId="3" fontId="25" fillId="7" borderId="11" xfId="0" applyNumberFormat="1" applyFont="1" applyFill="1" applyBorder="1" applyAlignment="1">
      <alignment horizontal="center" vertical="top"/>
    </xf>
    <xf numFmtId="166" fontId="25" fillId="7" borderId="7" xfId="0" applyNumberFormat="1" applyFont="1" applyFill="1" applyBorder="1" applyAlignment="1">
      <alignment horizontal="left" vertical="top" wrapText="1"/>
    </xf>
    <xf numFmtId="3" fontId="25" fillId="7" borderId="49" xfId="0" applyNumberFormat="1" applyFont="1" applyFill="1" applyBorder="1" applyAlignment="1">
      <alignment horizontal="center" vertical="top"/>
    </xf>
    <xf numFmtId="3" fontId="25" fillId="7" borderId="20" xfId="0" applyNumberFormat="1" applyFont="1" applyFill="1" applyBorder="1" applyAlignment="1">
      <alignment horizontal="center" vertical="top" wrapText="1"/>
    </xf>
    <xf numFmtId="3" fontId="25" fillId="7" borderId="39" xfId="0" applyNumberFormat="1" applyFont="1" applyFill="1" applyBorder="1" applyAlignment="1">
      <alignment horizontal="center" vertical="top" wrapText="1"/>
    </xf>
    <xf numFmtId="3" fontId="25" fillId="7" borderId="11" xfId="0" applyNumberFormat="1" applyFont="1" applyFill="1" applyBorder="1" applyAlignment="1">
      <alignment horizontal="center" vertical="top" wrapText="1"/>
    </xf>
    <xf numFmtId="3" fontId="25" fillId="7" borderId="44" xfId="0" applyNumberFormat="1" applyFont="1" applyFill="1" applyBorder="1" applyAlignment="1">
      <alignment horizontal="center" vertical="top" wrapText="1"/>
    </xf>
    <xf numFmtId="3" fontId="25" fillId="7" borderId="28" xfId="0" applyNumberFormat="1" applyFont="1" applyFill="1" applyBorder="1" applyAlignment="1">
      <alignment horizontal="center" vertical="top" wrapText="1"/>
    </xf>
    <xf numFmtId="166" fontId="28" fillId="7" borderId="29" xfId="0" applyNumberFormat="1" applyFont="1" applyFill="1" applyBorder="1" applyAlignment="1">
      <alignment horizontal="left" vertical="top" wrapText="1"/>
    </xf>
    <xf numFmtId="0" fontId="31" fillId="7" borderId="37" xfId="0" applyFont="1" applyFill="1" applyBorder="1" applyAlignment="1">
      <alignment vertical="top" wrapText="1"/>
    </xf>
    <xf numFmtId="0" fontId="31" fillId="7" borderId="20" xfId="0" applyFont="1" applyFill="1" applyBorder="1" applyAlignment="1">
      <alignment horizontal="center" vertical="top" wrapText="1"/>
    </xf>
    <xf numFmtId="3" fontId="25" fillId="7" borderId="44" xfId="0" applyNumberFormat="1" applyFont="1" applyFill="1" applyBorder="1" applyAlignment="1">
      <alignment horizontal="center" vertical="top"/>
    </xf>
    <xf numFmtId="3" fontId="25" fillId="7" borderId="28" xfId="0" applyNumberFormat="1" applyFont="1" applyFill="1" applyBorder="1" applyAlignment="1">
      <alignment horizontal="center" vertical="top"/>
    </xf>
    <xf numFmtId="3" fontId="25" fillId="7" borderId="0" xfId="0" applyNumberFormat="1" applyFont="1" applyFill="1" applyBorder="1" applyAlignment="1">
      <alignment horizontal="center" vertical="top"/>
    </xf>
    <xf numFmtId="166" fontId="20" fillId="3" borderId="29" xfId="0" applyNumberFormat="1" applyFont="1" applyFill="1" applyBorder="1" applyAlignment="1">
      <alignment horizontal="left" vertical="top" wrapText="1"/>
    </xf>
    <xf numFmtId="165" fontId="3" fillId="0" borderId="23" xfId="0" applyNumberFormat="1" applyFont="1" applyBorder="1" applyAlignment="1">
      <alignment horizontal="center"/>
    </xf>
    <xf numFmtId="165" fontId="3" fillId="0" borderId="77" xfId="0" applyNumberFormat="1" applyFont="1" applyBorder="1" applyAlignment="1">
      <alignment horizontal="center"/>
    </xf>
    <xf numFmtId="166" fontId="3" fillId="7" borderId="6" xfId="0" applyNumberFormat="1" applyFont="1" applyFill="1" applyBorder="1" applyAlignment="1">
      <alignment horizontal="center"/>
    </xf>
    <xf numFmtId="166" fontId="3" fillId="7" borderId="11" xfId="0" applyNumberFormat="1" applyFont="1" applyFill="1" applyBorder="1" applyAlignment="1">
      <alignment horizontal="center"/>
    </xf>
    <xf numFmtId="166" fontId="3" fillId="7" borderId="0" xfId="0" applyNumberFormat="1" applyFont="1" applyFill="1" applyBorder="1" applyAlignment="1">
      <alignment horizontal="center"/>
    </xf>
    <xf numFmtId="166" fontId="3" fillId="7" borderId="23" xfId="0" applyNumberFormat="1" applyFont="1" applyFill="1" applyBorder="1" applyAlignment="1">
      <alignment horizontal="center"/>
    </xf>
    <xf numFmtId="166" fontId="3" fillId="7" borderId="28" xfId="0" applyNumberFormat="1" applyFont="1" applyFill="1" applyBorder="1" applyAlignment="1">
      <alignment horizontal="center"/>
    </xf>
    <xf numFmtId="166" fontId="3" fillId="7" borderId="77" xfId="0" applyNumberFormat="1" applyFont="1" applyFill="1" applyBorder="1" applyAlignment="1">
      <alignment horizontal="center"/>
    </xf>
    <xf numFmtId="166" fontId="4" fillId="7" borderId="75" xfId="0" applyNumberFormat="1" applyFont="1" applyFill="1" applyBorder="1" applyAlignment="1">
      <alignment horizontal="center"/>
    </xf>
    <xf numFmtId="166" fontId="4" fillId="7" borderId="10" xfId="0" applyNumberFormat="1" applyFont="1" applyFill="1" applyBorder="1" applyAlignment="1">
      <alignment horizontal="center"/>
    </xf>
    <xf numFmtId="166" fontId="27" fillId="7" borderId="49" xfId="0" applyNumberFormat="1" applyFont="1" applyFill="1" applyBorder="1" applyAlignment="1">
      <alignment horizontal="center" vertical="top"/>
    </xf>
    <xf numFmtId="166" fontId="25" fillId="7" borderId="7" xfId="0" applyNumberFormat="1" applyFont="1" applyFill="1" applyBorder="1" applyAlignment="1">
      <alignment vertical="top" wrapText="1"/>
    </xf>
    <xf numFmtId="166" fontId="25" fillId="7" borderId="37" xfId="0" applyNumberFormat="1" applyFont="1" applyFill="1" applyBorder="1" applyAlignment="1">
      <alignment vertical="top" wrapText="1"/>
    </xf>
    <xf numFmtId="3" fontId="15" fillId="7" borderId="61" xfId="0" applyNumberFormat="1" applyFont="1" applyFill="1" applyBorder="1" applyAlignment="1">
      <alignment horizontal="center" vertical="top"/>
    </xf>
    <xf numFmtId="3" fontId="15" fillId="7" borderId="21" xfId="0" applyNumberFormat="1" applyFont="1" applyFill="1" applyBorder="1" applyAlignment="1">
      <alignment horizontal="center" vertical="top"/>
    </xf>
    <xf numFmtId="3" fontId="15" fillId="7" borderId="18" xfId="0" applyNumberFormat="1" applyFont="1" applyFill="1" applyBorder="1" applyAlignment="1">
      <alignment horizontal="center" vertical="top"/>
    </xf>
    <xf numFmtId="166" fontId="25" fillId="7" borderId="29" xfId="0" applyNumberFormat="1" applyFont="1" applyFill="1" applyBorder="1" applyAlignment="1">
      <alignment vertical="top" wrapText="1"/>
    </xf>
    <xf numFmtId="3" fontId="25" fillId="7" borderId="27" xfId="0" applyNumberFormat="1" applyFont="1" applyFill="1" applyBorder="1" applyAlignment="1">
      <alignment horizontal="center" vertical="top"/>
    </xf>
    <xf numFmtId="3" fontId="7" fillId="7" borderId="11" xfId="0" applyNumberFormat="1" applyFont="1" applyFill="1" applyBorder="1" applyAlignment="1">
      <alignment horizontal="center" vertical="top" wrapText="1"/>
    </xf>
    <xf numFmtId="3" fontId="7" fillId="7" borderId="44" xfId="0" applyNumberFormat="1" applyFont="1" applyFill="1" applyBorder="1" applyAlignment="1">
      <alignment horizontal="center" vertical="top" wrapText="1"/>
    </xf>
    <xf numFmtId="3" fontId="7" fillId="7" borderId="28" xfId="0" applyNumberFormat="1" applyFont="1" applyFill="1" applyBorder="1" applyAlignment="1">
      <alignment horizontal="center" vertical="top"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3" fontId="3" fillId="7" borderId="122" xfId="0" applyNumberFormat="1" applyFont="1" applyFill="1" applyBorder="1" applyAlignment="1">
      <alignment horizontal="center" vertical="top"/>
    </xf>
    <xf numFmtId="3" fontId="3" fillId="7" borderId="11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9" fillId="7" borderId="18" xfId="0" applyNumberFormat="1" applyFont="1" applyFill="1" applyBorder="1" applyAlignment="1">
      <alignment horizontal="center" vertical="center" wrapText="1"/>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37" xfId="0" applyNumberFormat="1" applyFont="1" applyFill="1" applyBorder="1" applyAlignment="1">
      <alignment horizontal="left" vertical="top" wrapText="1"/>
    </xf>
    <xf numFmtId="166" fontId="9" fillId="7" borderId="18" xfId="0" applyNumberFormat="1" applyFont="1" applyFill="1" applyBorder="1" applyAlignment="1">
      <alignment horizontal="center" vertical="top" wrapText="1"/>
    </xf>
    <xf numFmtId="3" fontId="3" fillId="7" borderId="20"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35" xfId="0" applyNumberFormat="1" applyFont="1" applyFill="1" applyBorder="1" applyAlignment="1">
      <alignment horizontal="left" vertical="top" wrapText="1"/>
    </xf>
    <xf numFmtId="166" fontId="4" fillId="3" borderId="49" xfId="0" applyNumberFormat="1" applyFont="1" applyFill="1" applyBorder="1" applyAlignment="1">
      <alignment horizontal="center" vertical="top"/>
    </xf>
    <xf numFmtId="0" fontId="31" fillId="7" borderId="7" xfId="0" applyFont="1" applyFill="1" applyBorder="1" applyAlignment="1">
      <alignment vertical="top" wrapText="1"/>
    </xf>
    <xf numFmtId="0" fontId="25" fillId="7" borderId="37" xfId="0" applyFont="1" applyFill="1" applyBorder="1" applyAlignment="1">
      <alignment vertical="top" wrapText="1"/>
    </xf>
    <xf numFmtId="166" fontId="4" fillId="3" borderId="11" xfId="0" applyNumberFormat="1" applyFont="1" applyFill="1" applyBorder="1" applyAlignment="1">
      <alignment horizontal="center" vertical="top" wrapText="1"/>
    </xf>
    <xf numFmtId="49" fontId="2" fillId="3" borderId="49" xfId="0" applyNumberFormat="1" applyFont="1" applyFill="1" applyBorder="1" applyAlignment="1">
      <alignment horizontal="center" vertical="top" textRotation="90" wrapText="1"/>
    </xf>
    <xf numFmtId="166" fontId="4" fillId="7" borderId="28" xfId="0" applyNumberFormat="1" applyFont="1" applyFill="1" applyBorder="1" applyAlignment="1">
      <alignment horizontal="center" vertical="top"/>
    </xf>
    <xf numFmtId="3" fontId="3" fillId="7" borderId="47"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3" fillId="7" borderId="28" xfId="0" applyNumberFormat="1" applyFont="1" applyFill="1" applyBorder="1" applyAlignment="1">
      <alignment horizontal="center" vertical="center" textRotation="90" wrapText="1"/>
    </xf>
    <xf numFmtId="0" fontId="25" fillId="7" borderId="7" xfId="0" applyFont="1" applyFill="1" applyBorder="1" applyAlignment="1">
      <alignment vertical="top" wrapText="1"/>
    </xf>
    <xf numFmtId="0" fontId="25" fillId="7" borderId="20" xfId="0" applyFont="1" applyFill="1" applyBorder="1" applyAlignment="1">
      <alignment horizontal="center" vertical="top" wrapText="1"/>
    </xf>
    <xf numFmtId="0" fontId="25" fillId="7" borderId="29" xfId="0" applyFont="1" applyFill="1" applyBorder="1" applyAlignment="1">
      <alignment vertical="top" wrapText="1"/>
    </xf>
    <xf numFmtId="0" fontId="25" fillId="7" borderId="28" xfId="0" applyFont="1" applyFill="1" applyBorder="1" applyAlignment="1">
      <alignment horizontal="center" vertical="top" wrapText="1"/>
    </xf>
    <xf numFmtId="3" fontId="7" fillId="7" borderId="0" xfId="0" applyNumberFormat="1" applyFont="1" applyFill="1" applyBorder="1" applyAlignment="1">
      <alignment horizontal="center" vertical="top" wrapText="1"/>
    </xf>
    <xf numFmtId="3" fontId="7" fillId="7" borderId="21" xfId="0" applyNumberFormat="1" applyFont="1" applyFill="1" applyBorder="1" applyAlignment="1">
      <alignment horizontal="center" vertical="top" wrapText="1"/>
    </xf>
    <xf numFmtId="166" fontId="3" fillId="7" borderId="87" xfId="0" applyNumberFormat="1" applyFont="1" applyFill="1" applyBorder="1" applyAlignment="1">
      <alignment horizontal="left" vertical="top" wrapText="1"/>
    </xf>
    <xf numFmtId="0" fontId="3" fillId="7" borderId="29" xfId="0" applyFont="1" applyFill="1" applyBorder="1" applyAlignment="1">
      <alignment horizontal="left" vertical="top" wrapText="1"/>
    </xf>
    <xf numFmtId="49" fontId="7" fillId="7" borderId="0" xfId="0" applyNumberFormat="1" applyFont="1" applyFill="1" applyBorder="1" applyAlignment="1">
      <alignment horizontal="center" vertical="center" textRotation="90" wrapText="1"/>
    </xf>
    <xf numFmtId="166" fontId="3" fillId="3" borderId="11" xfId="0" applyNumberFormat="1" applyFont="1" applyFill="1" applyBorder="1" applyAlignment="1">
      <alignment horizontal="left" vertical="top" wrapText="1"/>
    </xf>
    <xf numFmtId="49" fontId="3" fillId="0" borderId="49" xfId="0" applyNumberFormat="1" applyFont="1" applyFill="1" applyBorder="1" applyAlignment="1">
      <alignment horizontal="center" vertical="top"/>
    </xf>
    <xf numFmtId="166" fontId="4" fillId="7" borderId="23" xfId="0" applyNumberFormat="1" applyFont="1" applyFill="1" applyBorder="1" applyAlignment="1">
      <alignment horizontal="center" vertical="top"/>
    </xf>
    <xf numFmtId="166" fontId="4" fillId="7" borderId="66" xfId="0" applyNumberFormat="1" applyFont="1" applyFill="1" applyBorder="1" applyAlignment="1">
      <alignment horizontal="center" vertical="top"/>
    </xf>
    <xf numFmtId="166" fontId="7" fillId="7" borderId="28" xfId="0" applyNumberFormat="1" applyFont="1" applyFill="1" applyBorder="1" applyAlignment="1">
      <alignment horizontal="left" textRotation="90" wrapText="1"/>
    </xf>
    <xf numFmtId="49" fontId="7" fillId="7" borderId="28" xfId="0" applyNumberFormat="1" applyFont="1" applyFill="1" applyBorder="1" applyAlignment="1">
      <alignment horizontal="center" vertical="center" textRotation="90" wrapText="1"/>
    </xf>
    <xf numFmtId="0" fontId="0" fillId="7" borderId="27" xfId="0" applyFont="1" applyFill="1" applyBorder="1" applyAlignment="1">
      <alignment horizontal="center" vertical="top"/>
    </xf>
    <xf numFmtId="166" fontId="3" fillId="7" borderId="124" xfId="0" applyNumberFormat="1" applyFont="1" applyFill="1" applyBorder="1" applyAlignment="1">
      <alignment horizontal="center" vertical="top"/>
    </xf>
    <xf numFmtId="166" fontId="4" fillId="7" borderId="80" xfId="0" applyNumberFormat="1" applyFont="1" applyFill="1" applyBorder="1" applyAlignment="1">
      <alignment horizontal="center" vertical="top"/>
    </xf>
    <xf numFmtId="166" fontId="12" fillId="7" borderId="11" xfId="0" applyNumberFormat="1" applyFont="1" applyFill="1" applyBorder="1" applyAlignment="1">
      <alignment horizontal="center" vertical="center" wrapText="1"/>
    </xf>
    <xf numFmtId="166" fontId="4" fillId="7" borderId="49" xfId="0" applyNumberFormat="1" applyFont="1" applyFill="1" applyBorder="1" applyAlignment="1">
      <alignment horizontal="center" vertical="top"/>
    </xf>
    <xf numFmtId="166" fontId="3" fillId="7" borderId="18" xfId="0" applyNumberFormat="1" applyFont="1" applyFill="1" applyBorder="1" applyAlignment="1">
      <alignment horizontal="center" vertical="center" wrapText="1"/>
    </xf>
    <xf numFmtId="166" fontId="9" fillId="7" borderId="18" xfId="0" applyNumberFormat="1" applyFont="1" applyFill="1" applyBorder="1" applyAlignment="1">
      <alignment horizontal="center" vertical="center" wrapText="1"/>
    </xf>
    <xf numFmtId="166" fontId="3" fillId="7" borderId="49" xfId="0" applyNumberFormat="1" applyFont="1" applyFill="1" applyBorder="1" applyAlignment="1">
      <alignment vertical="top"/>
    </xf>
    <xf numFmtId="3" fontId="3" fillId="0" borderId="48" xfId="0" applyNumberFormat="1" applyFont="1" applyFill="1" applyBorder="1" applyAlignment="1">
      <alignment horizontal="center" vertical="top"/>
    </xf>
    <xf numFmtId="166" fontId="3" fillId="7" borderId="79" xfId="0" applyNumberFormat="1" applyFont="1" applyFill="1" applyBorder="1" applyAlignment="1">
      <alignment vertical="top" wrapText="1"/>
    </xf>
    <xf numFmtId="49" fontId="33" fillId="7" borderId="28" xfId="0" applyNumberFormat="1" applyFont="1" applyFill="1" applyBorder="1" applyAlignment="1">
      <alignment horizontal="center" vertical="top"/>
    </xf>
    <xf numFmtId="166" fontId="15" fillId="7" borderId="6"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0" fontId="3" fillId="7" borderId="37" xfId="0" applyFont="1" applyFill="1" applyBorder="1" applyAlignment="1">
      <alignment horizontal="left" vertical="top" wrapText="1"/>
    </xf>
    <xf numFmtId="0" fontId="25" fillId="7" borderId="29" xfId="0" applyFont="1" applyFill="1" applyBorder="1" applyAlignment="1">
      <alignment horizontal="left" vertical="top" wrapText="1"/>
    </xf>
    <xf numFmtId="166" fontId="4" fillId="7" borderId="77" xfId="0" applyNumberFormat="1" applyFont="1" applyFill="1" applyBorder="1" applyAlignment="1">
      <alignment horizontal="center" vertical="top" textRotation="90" wrapText="1"/>
    </xf>
    <xf numFmtId="166" fontId="3" fillId="7" borderId="0" xfId="0" applyNumberFormat="1" applyFont="1" applyFill="1" applyBorder="1" applyAlignment="1">
      <alignment horizontal="right" vertical="top" wrapText="1"/>
    </xf>
    <xf numFmtId="166" fontId="3" fillId="7" borderId="6" xfId="0" applyNumberFormat="1" applyFont="1" applyFill="1" applyBorder="1" applyAlignment="1">
      <alignment horizontal="right" vertical="top" wrapText="1"/>
    </xf>
    <xf numFmtId="166" fontId="3" fillId="7" borderId="18" xfId="0" applyNumberFormat="1" applyFont="1" applyFill="1" applyBorder="1" applyAlignment="1">
      <alignment horizontal="center" vertical="top" wrapText="1"/>
    </xf>
    <xf numFmtId="166" fontId="4" fillId="2" borderId="11"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166" fontId="3" fillId="7" borderId="84" xfId="0" applyNumberFormat="1" applyFont="1" applyFill="1" applyBorder="1" applyAlignment="1">
      <alignment horizontal="left" vertical="top" wrapText="1"/>
    </xf>
    <xf numFmtId="166" fontId="4" fillId="7" borderId="0" xfId="0" applyNumberFormat="1" applyFont="1" applyFill="1" applyBorder="1" applyAlignment="1">
      <alignment horizontal="center" vertical="top" wrapText="1"/>
    </xf>
    <xf numFmtId="0" fontId="3" fillId="7" borderId="37" xfId="0" applyFont="1" applyFill="1" applyBorder="1" applyAlignment="1">
      <alignment vertical="center" wrapText="1"/>
    </xf>
    <xf numFmtId="0" fontId="3" fillId="7" borderId="20" xfId="0" applyFont="1" applyFill="1" applyBorder="1" applyAlignment="1">
      <alignment horizontal="center" vertical="center"/>
    </xf>
    <xf numFmtId="0" fontId="3" fillId="7" borderId="20" xfId="0" applyFont="1" applyFill="1" applyBorder="1" applyAlignment="1">
      <alignment horizontal="right" vertical="center"/>
    </xf>
    <xf numFmtId="0" fontId="3" fillId="7" borderId="28" xfId="0" applyFont="1" applyFill="1" applyBorder="1" applyAlignment="1">
      <alignment horizontal="center" vertical="center"/>
    </xf>
    <xf numFmtId="0" fontId="3" fillId="7" borderId="28" xfId="0" applyFont="1" applyFill="1" applyBorder="1" applyAlignment="1">
      <alignment horizontal="right" vertical="center"/>
    </xf>
    <xf numFmtId="49" fontId="4" fillId="8" borderId="49" xfId="0" applyNumberFormat="1" applyFont="1" applyFill="1" applyBorder="1" applyAlignment="1">
      <alignment horizontal="center" vertical="top"/>
    </xf>
    <xf numFmtId="49" fontId="3" fillId="7" borderId="0" xfId="0" applyNumberFormat="1" applyFont="1" applyFill="1" applyBorder="1" applyAlignment="1">
      <alignment horizontal="center" vertical="top"/>
    </xf>
    <xf numFmtId="49" fontId="3" fillId="7" borderId="77" xfId="0" applyNumberFormat="1" applyFont="1" applyFill="1" applyBorder="1" applyAlignment="1">
      <alignment horizontal="center" vertical="top"/>
    </xf>
    <xf numFmtId="166" fontId="3" fillId="3" borderId="11" xfId="0" applyNumberFormat="1" applyFont="1" applyFill="1" applyBorder="1" applyAlignment="1">
      <alignment horizontal="center" vertical="top"/>
    </xf>
    <xf numFmtId="49" fontId="24" fillId="7" borderId="28" xfId="0" applyNumberFormat="1" applyFont="1" applyFill="1" applyBorder="1" applyAlignment="1">
      <alignment horizontal="center" vertical="top"/>
    </xf>
    <xf numFmtId="166" fontId="4" fillId="7" borderId="1" xfId="0" applyNumberFormat="1" applyFont="1" applyFill="1" applyBorder="1" applyAlignment="1">
      <alignment horizontal="center" vertical="top"/>
    </xf>
    <xf numFmtId="166" fontId="3" fillId="7" borderId="77" xfId="0" applyNumberFormat="1" applyFont="1" applyFill="1" applyBorder="1" applyAlignment="1">
      <alignment horizontal="center" vertical="top" wrapText="1"/>
    </xf>
    <xf numFmtId="166" fontId="4" fillId="7" borderId="40" xfId="0" applyNumberFormat="1" applyFont="1" applyFill="1" applyBorder="1" applyAlignment="1">
      <alignment horizontal="center" vertical="top"/>
    </xf>
    <xf numFmtId="3" fontId="3" fillId="7" borderId="108"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3" fontId="3" fillId="7" borderId="114" xfId="0" applyNumberFormat="1" applyFont="1" applyFill="1" applyBorder="1" applyAlignment="1">
      <alignment horizontal="center" vertical="top"/>
    </xf>
    <xf numFmtId="3" fontId="32" fillId="7" borderId="20" xfId="0" applyNumberFormat="1" applyFont="1" applyFill="1" applyBorder="1" applyAlignment="1">
      <alignment horizontal="center" vertical="center" wrapText="1"/>
    </xf>
    <xf numFmtId="3" fontId="7" fillId="7" borderId="47" xfId="0" applyNumberFormat="1" applyFont="1" applyFill="1" applyBorder="1" applyAlignment="1">
      <alignment horizontal="center" vertical="center" wrapText="1"/>
    </xf>
    <xf numFmtId="3" fontId="7" fillId="7" borderId="21" xfId="0" applyNumberFormat="1" applyFont="1" applyFill="1" applyBorder="1" applyAlignment="1">
      <alignment horizontal="center" vertical="center" wrapText="1"/>
    </xf>
    <xf numFmtId="166" fontId="4" fillId="7" borderId="10" xfId="0" applyNumberFormat="1" applyFont="1" applyFill="1" applyBorder="1" applyAlignment="1">
      <alignment horizontal="center" vertical="top"/>
    </xf>
    <xf numFmtId="49" fontId="3" fillId="7" borderId="96" xfId="0" applyNumberFormat="1" applyFont="1" applyFill="1" applyBorder="1" applyAlignment="1">
      <alignment horizontal="center" vertical="top"/>
    </xf>
    <xf numFmtId="49" fontId="3" fillId="7" borderId="88" xfId="0" applyNumberFormat="1" applyFont="1" applyFill="1" applyBorder="1" applyAlignment="1">
      <alignment horizontal="center" vertical="top"/>
    </xf>
    <xf numFmtId="166" fontId="3" fillId="7" borderId="0" xfId="0" applyNumberFormat="1" applyFont="1" applyFill="1" applyBorder="1" applyAlignment="1">
      <alignment vertical="top"/>
    </xf>
    <xf numFmtId="166" fontId="3" fillId="7" borderId="77" xfId="0" applyNumberFormat="1" applyFont="1" applyFill="1" applyBorder="1" applyAlignment="1">
      <alignment vertical="top"/>
    </xf>
    <xf numFmtId="3" fontId="25" fillId="7" borderId="54" xfId="0" applyNumberFormat="1" applyFont="1" applyFill="1" applyBorder="1" applyAlignment="1">
      <alignment horizontal="center" vertical="top" wrapText="1"/>
    </xf>
    <xf numFmtId="166" fontId="4" fillId="3" borderId="54" xfId="0" applyNumberFormat="1" applyFont="1" applyFill="1" applyBorder="1" applyAlignment="1">
      <alignment horizontal="center" vertical="top"/>
    </xf>
    <xf numFmtId="3" fontId="25" fillId="7" borderId="7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49" fontId="3" fillId="7" borderId="7" xfId="0" applyNumberFormat="1" applyFont="1" applyFill="1" applyBorder="1" applyAlignment="1">
      <alignment horizontal="left" vertical="top" wrapText="1"/>
    </xf>
    <xf numFmtId="166" fontId="4" fillId="0" borderId="49" xfId="0" applyNumberFormat="1" applyFont="1" applyBorder="1" applyAlignment="1">
      <alignment horizontal="center" vertical="top"/>
    </xf>
    <xf numFmtId="166" fontId="4" fillId="7" borderId="11"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3" fillId="7" borderId="28" xfId="0" applyNumberFormat="1" applyFont="1" applyFill="1" applyBorder="1" applyAlignment="1">
      <alignment vertical="top" wrapText="1"/>
    </xf>
    <xf numFmtId="166" fontId="3" fillId="2" borderId="72" xfId="0" applyNumberFormat="1" applyFont="1" applyFill="1" applyBorder="1" applyAlignment="1">
      <alignment horizontal="center" vertical="top" wrapText="1"/>
    </xf>
    <xf numFmtId="166" fontId="3" fillId="7" borderId="7" xfId="0" applyNumberFormat="1" applyFont="1" applyFill="1" applyBorder="1" applyAlignment="1">
      <alignment horizontal="left" vertical="top" wrapText="1"/>
    </xf>
    <xf numFmtId="3" fontId="3" fillId="7" borderId="47"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3" fontId="3" fillId="7" borderId="39"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3" fontId="3" fillId="7" borderId="20" xfId="0" applyNumberFormat="1" applyFont="1" applyFill="1" applyBorder="1" applyAlignment="1">
      <alignment horizontal="center" vertical="top" wrapText="1"/>
    </xf>
    <xf numFmtId="3" fontId="3" fillId="7" borderId="82" xfId="0" applyNumberFormat="1" applyFont="1" applyFill="1" applyBorder="1" applyAlignment="1">
      <alignment horizontal="center" vertical="top" wrapText="1"/>
    </xf>
    <xf numFmtId="166" fontId="3" fillId="7" borderId="37" xfId="0" applyNumberFormat="1" applyFont="1" applyFill="1" applyBorder="1" applyAlignment="1">
      <alignment horizontal="left" vertical="top" wrapText="1"/>
    </xf>
    <xf numFmtId="166" fontId="4" fillId="2" borderId="11"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166" fontId="4" fillId="3" borderId="11" xfId="0" applyNumberFormat="1" applyFont="1" applyFill="1" applyBorder="1" applyAlignment="1">
      <alignment horizontal="center" vertical="top" wrapText="1"/>
    </xf>
    <xf numFmtId="0" fontId="25" fillId="7" borderId="37" xfId="0" applyFont="1" applyFill="1" applyBorder="1" applyAlignment="1">
      <alignment vertical="top" wrapText="1"/>
    </xf>
    <xf numFmtId="166" fontId="4" fillId="3" borderId="49" xfId="0" applyNumberFormat="1" applyFont="1" applyFill="1" applyBorder="1" applyAlignment="1">
      <alignment horizontal="center" vertical="top"/>
    </xf>
    <xf numFmtId="166" fontId="4" fillId="3" borderId="35" xfId="0" applyNumberFormat="1" applyFont="1" applyFill="1" applyBorder="1" applyAlignment="1">
      <alignment horizontal="center" vertical="top" wrapText="1"/>
    </xf>
    <xf numFmtId="166" fontId="4" fillId="4" borderId="74" xfId="0" applyNumberFormat="1" applyFont="1" applyFill="1" applyBorder="1" applyAlignment="1">
      <alignment horizontal="center" vertical="top" wrapText="1"/>
    </xf>
    <xf numFmtId="3" fontId="4" fillId="0" borderId="70" xfId="0" applyNumberFormat="1" applyFont="1" applyBorder="1" applyAlignment="1">
      <alignment horizontal="center" vertical="center" wrapText="1"/>
    </xf>
    <xf numFmtId="166" fontId="4" fillId="5" borderId="70" xfId="0" applyNumberFormat="1" applyFont="1" applyFill="1" applyBorder="1" applyAlignment="1">
      <alignment horizontal="center" vertical="top" wrapText="1"/>
    </xf>
    <xf numFmtId="166" fontId="4" fillId="8" borderId="69" xfId="0" applyNumberFormat="1" applyFont="1" applyFill="1" applyBorder="1" applyAlignment="1">
      <alignment horizontal="center" vertical="top" wrapText="1"/>
    </xf>
    <xf numFmtId="166" fontId="3" fillId="7" borderId="69" xfId="0" applyNumberFormat="1" applyFont="1" applyFill="1" applyBorder="1" applyAlignment="1">
      <alignment horizontal="center" vertical="top" wrapText="1"/>
    </xf>
    <xf numFmtId="166" fontId="3" fillId="0" borderId="69" xfId="0" applyNumberFormat="1" applyFont="1" applyBorder="1" applyAlignment="1">
      <alignment horizontal="center" vertical="top" wrapText="1"/>
    </xf>
    <xf numFmtId="166" fontId="3" fillId="8" borderId="69"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wrapText="1"/>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4" fillId="7" borderId="42"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0" fontId="31" fillId="7" borderId="7" xfId="0" applyFont="1" applyFill="1" applyBorder="1" applyAlignment="1">
      <alignment vertical="top" wrapText="1"/>
    </xf>
    <xf numFmtId="166" fontId="3" fillId="7" borderId="48" xfId="0" applyNumberFormat="1" applyFont="1" applyFill="1" applyBorder="1" applyAlignment="1">
      <alignment horizontal="left" vertical="top" wrapText="1"/>
    </xf>
    <xf numFmtId="0" fontId="0" fillId="7" borderId="30" xfId="0" applyFill="1" applyBorder="1" applyAlignment="1">
      <alignment vertical="top" wrapText="1"/>
    </xf>
    <xf numFmtId="166" fontId="9" fillId="7" borderId="9" xfId="0" applyNumberFormat="1" applyFont="1" applyFill="1" applyBorder="1" applyAlignment="1">
      <alignment vertical="top" wrapText="1"/>
    </xf>
    <xf numFmtId="166" fontId="4" fillId="3" borderId="49" xfId="0" applyNumberFormat="1" applyFont="1" applyFill="1" applyBorder="1" applyAlignment="1">
      <alignment horizontal="center" vertical="top" wrapText="1"/>
    </xf>
    <xf numFmtId="166" fontId="3" fillId="7" borderId="29" xfId="0" applyNumberFormat="1" applyFont="1" applyFill="1" applyBorder="1" applyAlignment="1">
      <alignment horizontal="left" vertical="top" wrapText="1"/>
    </xf>
    <xf numFmtId="3" fontId="3" fillId="0" borderId="0" xfId="0" applyNumberFormat="1" applyFont="1" applyAlignment="1">
      <alignment horizontal="left" vertical="top" wrapText="1"/>
    </xf>
    <xf numFmtId="0" fontId="3" fillId="7" borderId="32" xfId="0" applyFont="1" applyFill="1" applyBorder="1" applyAlignment="1">
      <alignment vertical="top"/>
    </xf>
    <xf numFmtId="0" fontId="3" fillId="7" borderId="0" xfId="0" applyFont="1" applyFill="1" applyAlignment="1">
      <alignment vertical="top"/>
    </xf>
    <xf numFmtId="0" fontId="3" fillId="7" borderId="23" xfId="0" applyFont="1" applyFill="1" applyBorder="1" applyAlignment="1">
      <alignment horizontal="center" vertical="top"/>
    </xf>
    <xf numFmtId="0" fontId="23" fillId="0" borderId="0" xfId="0" applyFont="1" applyFill="1"/>
    <xf numFmtId="165" fontId="3" fillId="7" borderId="0" xfId="0" applyNumberFormat="1" applyFont="1" applyFill="1" applyBorder="1" applyAlignment="1">
      <alignment horizontal="center" vertical="top"/>
    </xf>
    <xf numFmtId="165" fontId="3" fillId="7" borderId="6" xfId="0" applyNumberFormat="1" applyFont="1" applyFill="1" applyBorder="1" applyAlignment="1">
      <alignment horizontal="center" vertical="top"/>
    </xf>
    <xf numFmtId="165" fontId="3" fillId="7" borderId="77" xfId="0" applyNumberFormat="1" applyFont="1" applyFill="1" applyBorder="1" applyAlignment="1">
      <alignment horizontal="center" vertical="top"/>
    </xf>
    <xf numFmtId="165" fontId="3" fillId="7" borderId="23" xfId="0" applyNumberFormat="1" applyFont="1" applyFill="1" applyBorder="1" applyAlignment="1">
      <alignment horizontal="center" vertical="top"/>
    </xf>
    <xf numFmtId="49" fontId="3" fillId="7" borderId="83" xfId="0" applyNumberFormat="1" applyFont="1" applyFill="1" applyBorder="1" applyAlignment="1">
      <alignment horizontal="center" vertical="top"/>
    </xf>
    <xf numFmtId="165" fontId="3" fillId="7" borderId="8" xfId="0" applyNumberFormat="1" applyFont="1" applyFill="1" applyBorder="1" applyAlignment="1">
      <alignment horizontal="center" vertical="top"/>
    </xf>
    <xf numFmtId="166" fontId="8" fillId="3" borderId="49" xfId="0" applyNumberFormat="1" applyFont="1" applyFill="1" applyBorder="1" applyAlignment="1">
      <alignment horizontal="left" vertical="top" wrapText="1"/>
    </xf>
    <xf numFmtId="166" fontId="3" fillId="0" borderId="5" xfId="0" applyNumberFormat="1" applyFont="1" applyFill="1" applyBorder="1" applyAlignment="1">
      <alignment horizontal="left" vertical="top" wrapText="1"/>
    </xf>
    <xf numFmtId="3" fontId="3" fillId="7" borderId="42" xfId="0" applyNumberFormat="1" applyFont="1" applyFill="1" applyBorder="1" applyAlignment="1">
      <alignment horizontal="center" vertical="top" wrapText="1"/>
    </xf>
    <xf numFmtId="3" fontId="3" fillId="7" borderId="26" xfId="0" applyNumberFormat="1" applyFont="1" applyFill="1" applyBorder="1" applyAlignment="1">
      <alignment horizontal="center" vertical="top" wrapText="1"/>
    </xf>
    <xf numFmtId="166" fontId="4" fillId="3" borderId="15" xfId="0" applyNumberFormat="1" applyFont="1" applyFill="1" applyBorder="1" applyAlignment="1">
      <alignment horizontal="center" vertical="top"/>
    </xf>
    <xf numFmtId="166" fontId="3" fillId="0" borderId="28" xfId="0" applyNumberFormat="1" applyFont="1" applyFill="1" applyBorder="1" applyAlignment="1">
      <alignment horizontal="center" vertical="top"/>
    </xf>
    <xf numFmtId="166" fontId="3" fillId="0" borderId="34" xfId="0" applyNumberFormat="1" applyFont="1" applyBorder="1" applyAlignment="1">
      <alignment vertical="top"/>
    </xf>
    <xf numFmtId="166" fontId="3" fillId="0" borderId="45" xfId="0" applyNumberFormat="1" applyFont="1" applyBorder="1" applyAlignment="1">
      <alignment vertical="top"/>
    </xf>
    <xf numFmtId="166" fontId="3" fillId="0" borderId="25" xfId="0" applyNumberFormat="1" applyFont="1" applyBorder="1" applyAlignment="1">
      <alignment vertical="top"/>
    </xf>
    <xf numFmtId="166" fontId="3" fillId="0" borderId="51" xfId="0" applyNumberFormat="1" applyFont="1" applyBorder="1" applyAlignment="1">
      <alignment vertical="top"/>
    </xf>
    <xf numFmtId="166" fontId="7" fillId="7" borderId="35" xfId="0" applyNumberFormat="1" applyFont="1" applyFill="1" applyBorder="1" applyAlignment="1">
      <alignment horizontal="center" vertical="center" textRotation="90" wrapText="1"/>
    </xf>
    <xf numFmtId="166" fontId="3" fillId="0" borderId="6" xfId="0" applyNumberFormat="1" applyFont="1" applyBorder="1" applyAlignment="1">
      <alignment vertical="top"/>
    </xf>
    <xf numFmtId="0" fontId="0" fillId="0" borderId="49" xfId="0" applyBorder="1" applyAlignment="1">
      <alignment vertical="top" wrapText="1"/>
    </xf>
    <xf numFmtId="49" fontId="7" fillId="7" borderId="103" xfId="0" applyNumberFormat="1" applyFont="1" applyFill="1" applyBorder="1" applyAlignment="1">
      <alignment horizontal="center" vertical="top" wrapText="1"/>
    </xf>
    <xf numFmtId="49" fontId="3" fillId="0" borderId="47" xfId="0" applyNumberFormat="1" applyFont="1" applyFill="1" applyBorder="1" applyAlignment="1">
      <alignment horizontal="center" vertical="top"/>
    </xf>
    <xf numFmtId="49" fontId="3" fillId="0" borderId="92" xfId="0" applyNumberFormat="1" applyFont="1" applyFill="1" applyBorder="1" applyAlignment="1">
      <alignment horizontal="center" vertical="top"/>
    </xf>
    <xf numFmtId="3" fontId="3" fillId="0" borderId="92" xfId="0" applyNumberFormat="1" applyFont="1" applyFill="1" applyBorder="1" applyAlignment="1">
      <alignment horizontal="center" vertical="top"/>
    </xf>
    <xf numFmtId="3" fontId="3" fillId="0" borderId="103" xfId="0" applyNumberFormat="1" applyFont="1" applyFill="1" applyBorder="1" applyAlignment="1">
      <alignment horizontal="center" vertical="top"/>
    </xf>
    <xf numFmtId="166" fontId="9" fillId="7" borderId="74" xfId="0" applyNumberFormat="1" applyFont="1" applyFill="1" applyBorder="1" applyAlignment="1">
      <alignment vertical="top" wrapText="1"/>
    </xf>
    <xf numFmtId="0" fontId="0" fillId="7" borderId="30" xfId="0" applyFill="1" applyBorder="1" applyAlignment="1">
      <alignment horizontal="center" textRotation="90" wrapText="1"/>
    </xf>
    <xf numFmtId="166" fontId="3" fillId="7" borderId="31" xfId="0" applyNumberFormat="1" applyFont="1" applyFill="1" applyBorder="1" applyAlignment="1">
      <alignment horizontal="center" vertical="top"/>
    </xf>
    <xf numFmtId="166" fontId="3" fillId="0" borderId="19" xfId="0" applyNumberFormat="1" applyFont="1" applyFill="1" applyBorder="1" applyAlignment="1">
      <alignment horizontal="left" vertical="top" wrapText="1"/>
    </xf>
    <xf numFmtId="166" fontId="3" fillId="0" borderId="54" xfId="0" applyNumberFormat="1" applyFont="1" applyFill="1" applyBorder="1" applyAlignment="1">
      <alignment horizontal="center" vertical="top"/>
    </xf>
    <xf numFmtId="166" fontId="25" fillId="7" borderId="29" xfId="0" applyNumberFormat="1" applyFont="1" applyFill="1" applyBorder="1" applyAlignment="1">
      <alignment horizontal="left" vertical="top" wrapText="1"/>
    </xf>
    <xf numFmtId="166" fontId="3" fillId="7" borderId="18" xfId="0" applyNumberFormat="1" applyFont="1" applyFill="1" applyBorder="1" applyAlignment="1">
      <alignment horizontal="center" vertical="top" wrapText="1"/>
    </xf>
    <xf numFmtId="166" fontId="3" fillId="7" borderId="7" xfId="0" applyNumberFormat="1" applyFont="1" applyFill="1" applyBorder="1" applyAlignment="1">
      <alignment horizontal="left" vertical="top" wrapText="1"/>
    </xf>
    <xf numFmtId="3" fontId="3" fillId="7" borderId="47" xfId="0" applyNumberFormat="1" applyFont="1" applyFill="1" applyBorder="1" applyAlignment="1">
      <alignment horizontal="center" vertical="top"/>
    </xf>
    <xf numFmtId="166" fontId="4" fillId="7" borderId="2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166" fontId="25" fillId="7" borderId="37" xfId="0" applyNumberFormat="1" applyFont="1" applyFill="1" applyBorder="1" applyAlignment="1">
      <alignment horizontal="left" vertical="top" wrapText="1"/>
    </xf>
    <xf numFmtId="166" fontId="25" fillId="7" borderId="7" xfId="0" applyNumberFormat="1" applyFont="1" applyFill="1" applyBorder="1" applyAlignment="1">
      <alignment horizontal="left" vertical="top" wrapText="1"/>
    </xf>
    <xf numFmtId="166" fontId="3" fillId="7" borderId="7" xfId="0" applyNumberFormat="1" applyFont="1" applyFill="1" applyBorder="1" applyAlignment="1">
      <alignment vertical="top" wrapText="1"/>
    </xf>
    <xf numFmtId="0" fontId="31" fillId="7" borderId="7" xfId="0" applyFont="1" applyFill="1" applyBorder="1" applyAlignment="1">
      <alignment vertical="top" wrapText="1"/>
    </xf>
    <xf numFmtId="0" fontId="30" fillId="7" borderId="66" xfId="0" applyFont="1" applyFill="1" applyBorder="1" applyAlignment="1">
      <alignment vertical="top"/>
    </xf>
    <xf numFmtId="0" fontId="28" fillId="7" borderId="29" xfId="0" applyFont="1" applyFill="1" applyBorder="1" applyAlignment="1">
      <alignment vertical="top" wrapText="1"/>
    </xf>
    <xf numFmtId="3" fontId="3" fillId="0" borderId="52" xfId="0" applyNumberFormat="1" applyFont="1" applyFill="1" applyBorder="1" applyAlignment="1">
      <alignment horizontal="left" vertical="top" wrapText="1"/>
    </xf>
    <xf numFmtId="0" fontId="34" fillId="0" borderId="0" xfId="0" applyFont="1" applyAlignment="1">
      <alignment horizontal="justify" vertical="center"/>
    </xf>
    <xf numFmtId="49" fontId="3" fillId="7" borderId="49" xfId="0" applyNumberFormat="1" applyFont="1" applyFill="1" applyBorder="1" applyAlignment="1">
      <alignment vertical="top" wrapText="1"/>
    </xf>
    <xf numFmtId="166" fontId="4" fillId="7" borderId="2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0" fontId="0" fillId="7" borderId="28" xfId="0" applyFont="1" applyFill="1" applyBorder="1" applyAlignment="1">
      <alignment horizontal="center" vertical="top" textRotation="90" wrapText="1"/>
    </xf>
    <xf numFmtId="166" fontId="25" fillId="7" borderId="37" xfId="0" applyNumberFormat="1" applyFont="1" applyFill="1" applyBorder="1" applyAlignment="1">
      <alignment horizontal="left" vertical="top" wrapText="1"/>
    </xf>
    <xf numFmtId="0" fontId="3" fillId="7" borderId="7" xfId="0" applyFont="1" applyFill="1" applyBorder="1" applyAlignment="1">
      <alignment horizontal="left" vertical="top" wrapText="1"/>
    </xf>
    <xf numFmtId="166" fontId="25" fillId="7" borderId="7" xfId="0" applyNumberFormat="1" applyFont="1" applyFill="1" applyBorder="1" applyAlignment="1">
      <alignment horizontal="left" vertical="top" wrapText="1"/>
    </xf>
    <xf numFmtId="0" fontId="30" fillId="7" borderId="66" xfId="0" applyFont="1" applyFill="1" applyBorder="1" applyAlignment="1">
      <alignment vertical="top"/>
    </xf>
    <xf numFmtId="0" fontId="28" fillId="7" borderId="29" xfId="0" applyFont="1" applyFill="1" applyBorder="1" applyAlignment="1">
      <alignment vertical="top" wrapText="1"/>
    </xf>
    <xf numFmtId="0" fontId="3" fillId="0" borderId="0" xfId="0" applyFont="1" applyAlignment="1">
      <alignment horizontal="justify" vertical="center"/>
    </xf>
    <xf numFmtId="166" fontId="15" fillId="7" borderId="34" xfId="0" applyNumberFormat="1" applyFont="1" applyFill="1" applyBorder="1" applyAlignment="1">
      <alignment horizontal="center" vertical="top"/>
    </xf>
    <xf numFmtId="166" fontId="15" fillId="7" borderId="11" xfId="0" applyNumberFormat="1" applyFont="1" applyFill="1" applyBorder="1" applyAlignment="1">
      <alignment horizontal="center" vertical="top"/>
    </xf>
    <xf numFmtId="166" fontId="3" fillId="7" borderId="18" xfId="0" applyNumberFormat="1" applyFont="1" applyFill="1" applyBorder="1" applyAlignment="1">
      <alignment vertical="top"/>
    </xf>
    <xf numFmtId="166" fontId="3" fillId="7" borderId="18" xfId="0" applyNumberFormat="1" applyFont="1" applyFill="1" applyBorder="1" applyAlignment="1">
      <alignment horizontal="center" vertical="top" wrapText="1"/>
    </xf>
    <xf numFmtId="166" fontId="4" fillId="8" borderId="31" xfId="0" applyNumberFormat="1" applyFont="1" applyFill="1" applyBorder="1" applyAlignment="1">
      <alignment horizontal="center" vertical="top"/>
    </xf>
    <xf numFmtId="0" fontId="3" fillId="10" borderId="23" xfId="0" applyFont="1" applyFill="1" applyBorder="1" applyAlignment="1">
      <alignment horizontal="center" vertical="center"/>
    </xf>
    <xf numFmtId="166" fontId="3" fillId="10" borderId="6" xfId="0" applyNumberFormat="1" applyFont="1" applyFill="1" applyBorder="1" applyAlignment="1">
      <alignment horizontal="center" vertical="center"/>
    </xf>
    <xf numFmtId="0" fontId="3" fillId="10" borderId="66" xfId="0" applyFont="1" applyFill="1" applyBorder="1" applyAlignment="1">
      <alignment horizontal="center" vertical="center" wrapText="1"/>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17" fillId="7" borderId="28" xfId="0" applyNumberFormat="1" applyFont="1" applyFill="1" applyBorder="1" applyAlignment="1">
      <alignment horizontal="center" vertical="center" wrapText="1"/>
    </xf>
    <xf numFmtId="166" fontId="25" fillId="7" borderId="7" xfId="0" applyNumberFormat="1" applyFont="1" applyFill="1" applyBorder="1" applyAlignment="1">
      <alignment horizontal="left" vertical="top" wrapText="1"/>
    </xf>
    <xf numFmtId="166" fontId="3" fillId="7" borderId="7" xfId="0" applyNumberFormat="1" applyFont="1" applyFill="1" applyBorder="1" applyAlignment="1">
      <alignment vertical="top" wrapText="1"/>
    </xf>
    <xf numFmtId="3" fontId="3" fillId="3" borderId="20" xfId="0" applyNumberFormat="1" applyFont="1" applyFill="1" applyBorder="1" applyAlignment="1">
      <alignment horizontal="center" vertical="top" wrapText="1"/>
    </xf>
    <xf numFmtId="3" fontId="3" fillId="3" borderId="39" xfId="0" applyNumberFormat="1" applyFont="1" applyFill="1" applyBorder="1" applyAlignment="1">
      <alignment horizontal="center" vertical="top" wrapText="1"/>
    </xf>
    <xf numFmtId="49" fontId="2" fillId="7" borderId="11" xfId="0" applyNumberFormat="1" applyFont="1" applyFill="1" applyBorder="1" applyAlignment="1">
      <alignment horizontal="center" vertical="center" textRotation="90" wrapText="1"/>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4" fillId="7" borderId="49" xfId="0" applyNumberFormat="1" applyFont="1" applyFill="1" applyBorder="1" applyAlignment="1">
      <alignment horizontal="center" vertical="top"/>
    </xf>
    <xf numFmtId="166" fontId="9" fillId="7" borderId="18"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25" fillId="7" borderId="37" xfId="0" applyNumberFormat="1" applyFont="1" applyFill="1" applyBorder="1" applyAlignment="1">
      <alignment horizontal="left" vertical="top" wrapText="1"/>
    </xf>
    <xf numFmtId="166" fontId="4" fillId="7" borderId="11" xfId="0" applyNumberFormat="1" applyFont="1" applyFill="1" applyBorder="1" applyAlignment="1">
      <alignment horizontal="center" vertical="top" wrapText="1"/>
    </xf>
    <xf numFmtId="166" fontId="25" fillId="7" borderId="7" xfId="0" applyNumberFormat="1" applyFont="1" applyFill="1" applyBorder="1" applyAlignment="1">
      <alignment horizontal="left" vertical="top" wrapText="1"/>
    </xf>
    <xf numFmtId="166" fontId="4" fillId="2" borderId="30"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4" fillId="7" borderId="11"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49" fontId="4" fillId="7" borderId="20"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49" fontId="4" fillId="7" borderId="28" xfId="0" applyNumberFormat="1" applyFont="1" applyFill="1" applyBorder="1" applyAlignment="1">
      <alignment horizontal="center" vertical="top"/>
    </xf>
    <xf numFmtId="166" fontId="3" fillId="7" borderId="18" xfId="0" applyNumberFormat="1" applyFont="1" applyFill="1" applyBorder="1" applyAlignment="1">
      <alignment horizontal="center" vertical="top" wrapText="1"/>
    </xf>
    <xf numFmtId="49" fontId="4" fillId="8" borderId="11" xfId="0" applyNumberFormat="1" applyFont="1" applyFill="1" applyBorder="1" applyAlignment="1">
      <alignment horizontal="center" vertical="top"/>
    </xf>
    <xf numFmtId="0" fontId="9" fillId="0" borderId="34" xfId="0" applyFont="1" applyBorder="1" applyAlignment="1">
      <alignment vertical="top" wrapText="1"/>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166" fontId="3" fillId="7" borderId="11" xfId="0" applyNumberFormat="1" applyFont="1" applyFill="1" applyBorder="1" applyAlignment="1">
      <alignment vertical="top" wrapText="1"/>
    </xf>
    <xf numFmtId="49" fontId="4" fillId="7" borderId="49"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9" fillId="7" borderId="29" xfId="0" applyNumberFormat="1" applyFont="1" applyFill="1" applyBorder="1" applyAlignment="1">
      <alignment vertical="top" wrapText="1"/>
    </xf>
    <xf numFmtId="166" fontId="3" fillId="7" borderId="81" xfId="0" applyNumberFormat="1" applyFont="1" applyFill="1" applyBorder="1" applyAlignment="1">
      <alignment horizontal="left" vertical="top" wrapText="1"/>
    </xf>
    <xf numFmtId="3" fontId="3" fillId="7" borderId="20" xfId="0" applyNumberFormat="1" applyFont="1" applyFill="1" applyBorder="1" applyAlignment="1">
      <alignment horizontal="center" vertical="top" wrapText="1"/>
    </xf>
    <xf numFmtId="3" fontId="3" fillId="7" borderId="47" xfId="0" applyNumberFormat="1" applyFont="1" applyFill="1" applyBorder="1" applyAlignment="1">
      <alignment horizontal="center" vertical="top" wrapText="1"/>
    </xf>
    <xf numFmtId="166" fontId="9" fillId="7" borderId="11" xfId="0" applyNumberFormat="1" applyFont="1" applyFill="1" applyBorder="1" applyAlignment="1">
      <alignment horizontal="center" vertical="center" textRotation="90" wrapText="1"/>
    </xf>
    <xf numFmtId="49" fontId="4" fillId="7" borderId="25" xfId="0" applyNumberFormat="1" applyFont="1" applyFill="1" applyBorder="1" applyAlignment="1">
      <alignment horizontal="center" vertical="top"/>
    </xf>
    <xf numFmtId="0" fontId="3" fillId="7" borderId="11" xfId="0" applyFont="1" applyFill="1" applyBorder="1" applyAlignment="1">
      <alignment vertical="top" wrapText="1"/>
    </xf>
    <xf numFmtId="49" fontId="4" fillId="9" borderId="5"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166" fontId="3" fillId="7" borderId="25" xfId="0" applyNumberFormat="1" applyFont="1" applyFill="1" applyBorder="1" applyAlignment="1">
      <alignment vertical="top" wrapText="1"/>
    </xf>
    <xf numFmtId="166" fontId="4" fillId="7" borderId="11" xfId="0" applyNumberFormat="1" applyFont="1" applyFill="1" applyBorder="1" applyAlignment="1">
      <alignment horizontal="center" vertical="top" wrapText="1"/>
    </xf>
    <xf numFmtId="166" fontId="4" fillId="2" borderId="49" xfId="0" applyNumberFormat="1" applyFont="1" applyFill="1" applyBorder="1" applyAlignment="1">
      <alignment horizontal="center" vertical="top"/>
    </xf>
    <xf numFmtId="166" fontId="4" fillId="7" borderId="35" xfId="0" applyNumberFormat="1" applyFont="1" applyFill="1" applyBorder="1" applyAlignment="1">
      <alignment horizontal="center" vertical="top"/>
    </xf>
    <xf numFmtId="49" fontId="3" fillId="7" borderId="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wrapText="1"/>
    </xf>
    <xf numFmtId="166" fontId="4" fillId="9" borderId="34" xfId="0" applyNumberFormat="1" applyFont="1" applyFill="1" applyBorder="1" applyAlignment="1">
      <alignment horizontal="center" vertical="top"/>
    </xf>
    <xf numFmtId="0" fontId="0" fillId="7" borderId="18" xfId="0" applyFont="1" applyFill="1" applyBorder="1" applyAlignment="1">
      <alignment horizontal="center" vertical="top" wrapText="1"/>
    </xf>
    <xf numFmtId="166" fontId="9" fillId="0" borderId="30" xfId="0" applyNumberFormat="1" applyFont="1" applyFill="1" applyBorder="1" applyAlignment="1">
      <alignment vertical="top" wrapText="1"/>
    </xf>
    <xf numFmtId="166" fontId="12" fillId="7" borderId="30" xfId="0" applyNumberFormat="1" applyFont="1" applyFill="1" applyBorder="1" applyAlignment="1">
      <alignment horizontal="center" vertical="center" textRotation="90" wrapText="1"/>
    </xf>
    <xf numFmtId="166" fontId="4" fillId="7" borderId="31" xfId="0" applyNumberFormat="1" applyFont="1" applyFill="1" applyBorder="1" applyAlignment="1">
      <alignment horizontal="center" vertical="top"/>
    </xf>
    <xf numFmtId="166" fontId="20" fillId="7" borderId="9" xfId="0" applyNumberFormat="1" applyFont="1" applyFill="1" applyBorder="1" applyAlignment="1">
      <alignment horizontal="left" vertical="top" wrapText="1"/>
    </xf>
    <xf numFmtId="3" fontId="3" fillId="7" borderId="30" xfId="0" applyNumberFormat="1" applyFont="1" applyFill="1" applyBorder="1" applyAlignment="1">
      <alignment horizontal="center" vertical="top"/>
    </xf>
    <xf numFmtId="3" fontId="7" fillId="7" borderId="30" xfId="0" applyNumberFormat="1" applyFont="1" applyFill="1" applyBorder="1" applyAlignment="1">
      <alignment horizontal="center" vertical="top" wrapText="1"/>
    </xf>
    <xf numFmtId="3" fontId="7" fillId="7" borderId="31" xfId="0" applyNumberFormat="1" applyFont="1" applyFill="1" applyBorder="1" applyAlignment="1">
      <alignment horizontal="center" vertical="top" wrapText="1"/>
    </xf>
    <xf numFmtId="3" fontId="32" fillId="7" borderId="11" xfId="0" applyNumberFormat="1" applyFont="1" applyFill="1" applyBorder="1" applyAlignment="1">
      <alignment horizontal="center" vertical="center" wrapText="1"/>
    </xf>
    <xf numFmtId="3" fontId="7" fillId="7" borderId="49" xfId="0" applyNumberFormat="1" applyFont="1" applyFill="1" applyBorder="1" applyAlignment="1">
      <alignment horizontal="center" vertical="center" wrapText="1"/>
    </xf>
    <xf numFmtId="3" fontId="7" fillId="7" borderId="18" xfId="0" applyNumberFormat="1" applyFont="1" applyFill="1" applyBorder="1" applyAlignment="1">
      <alignment horizontal="center" vertical="center" wrapText="1"/>
    </xf>
    <xf numFmtId="166" fontId="3" fillId="7" borderId="44" xfId="0" applyNumberFormat="1" applyFont="1" applyFill="1" applyBorder="1" applyAlignment="1">
      <alignment horizontal="center"/>
    </xf>
    <xf numFmtId="166" fontId="3" fillId="7" borderId="48" xfId="0" applyNumberFormat="1" applyFont="1" applyFill="1" applyBorder="1" applyAlignment="1">
      <alignment horizontal="center"/>
    </xf>
    <xf numFmtId="166" fontId="3" fillId="7" borderId="44" xfId="0" applyNumberFormat="1" applyFont="1" applyFill="1" applyBorder="1" applyAlignment="1">
      <alignment horizontal="right" vertical="top" wrapText="1"/>
    </xf>
    <xf numFmtId="166" fontId="4" fillId="7" borderId="18" xfId="0" applyNumberFormat="1" applyFont="1" applyFill="1" applyBorder="1" applyAlignment="1">
      <alignment horizontal="center" vertical="top"/>
    </xf>
    <xf numFmtId="166" fontId="3" fillId="7" borderId="6" xfId="0" applyNumberFormat="1" applyFont="1" applyFill="1" applyBorder="1" applyAlignment="1">
      <alignment horizontal="center" wrapText="1"/>
    </xf>
    <xf numFmtId="3" fontId="25" fillId="7" borderId="18" xfId="0" applyNumberFormat="1" applyFont="1" applyFill="1" applyBorder="1" applyAlignment="1">
      <alignment horizontal="center" vertical="top"/>
    </xf>
    <xf numFmtId="166" fontId="9" fillId="7" borderId="30" xfId="0" applyNumberFormat="1" applyFont="1" applyFill="1" applyBorder="1" applyAlignment="1">
      <alignment vertical="top" wrapText="1"/>
    </xf>
    <xf numFmtId="3" fontId="3" fillId="7" borderId="26" xfId="0" applyNumberFormat="1" applyFont="1" applyFill="1" applyBorder="1" applyAlignment="1">
      <alignment horizontal="center" vertical="top"/>
    </xf>
    <xf numFmtId="166" fontId="4" fillId="2" borderId="73"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11"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20" xfId="0" applyNumberFormat="1" applyFont="1" applyFill="1" applyBorder="1" applyAlignment="1">
      <alignment vertical="top" wrapText="1"/>
    </xf>
    <xf numFmtId="166" fontId="3" fillId="7" borderId="28" xfId="0" applyNumberFormat="1" applyFont="1" applyFill="1" applyBorder="1" applyAlignment="1">
      <alignment vertical="top" wrapText="1"/>
    </xf>
    <xf numFmtId="166" fontId="3" fillId="7" borderId="49" xfId="0" applyNumberFormat="1" applyFont="1" applyFill="1" applyBorder="1" applyAlignment="1">
      <alignment vertical="top" wrapText="1"/>
    </xf>
    <xf numFmtId="49" fontId="4" fillId="7" borderId="49"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166" fontId="9" fillId="7" borderId="53" xfId="0" applyNumberFormat="1" applyFont="1" applyFill="1" applyBorder="1" applyAlignment="1">
      <alignment vertical="top" wrapText="1"/>
    </xf>
    <xf numFmtId="49" fontId="3" fillId="7" borderId="100" xfId="0" applyNumberFormat="1" applyFont="1" applyFill="1" applyBorder="1" applyAlignment="1">
      <alignment horizontal="center" vertical="top"/>
    </xf>
    <xf numFmtId="166" fontId="3" fillId="7" borderId="1" xfId="0" applyNumberFormat="1" applyFont="1" applyFill="1" applyBorder="1" applyAlignment="1">
      <alignment horizontal="left" vertical="top" wrapText="1"/>
    </xf>
    <xf numFmtId="49" fontId="4" fillId="7" borderId="42" xfId="0" applyNumberFormat="1" applyFont="1" applyFill="1" applyBorder="1" applyAlignment="1">
      <alignment horizontal="center" vertical="top"/>
    </xf>
    <xf numFmtId="166" fontId="4" fillId="7" borderId="18" xfId="0" applyNumberFormat="1" applyFont="1" applyFill="1" applyBorder="1" applyAlignment="1">
      <alignment horizontal="center" vertical="top" wrapText="1"/>
    </xf>
    <xf numFmtId="166" fontId="7" fillId="7" borderId="11" xfId="0" applyNumberFormat="1" applyFont="1" applyFill="1" applyBorder="1" applyAlignment="1">
      <alignment horizontal="center" vertical="top"/>
    </xf>
    <xf numFmtId="166" fontId="7" fillId="7" borderId="0" xfId="0" applyNumberFormat="1" applyFont="1" applyFill="1" applyBorder="1" applyAlignment="1">
      <alignment horizontal="center" vertical="top"/>
    </xf>
    <xf numFmtId="3" fontId="7" fillId="0" borderId="18" xfId="0" applyNumberFormat="1" applyFont="1" applyFill="1" applyBorder="1" applyAlignment="1">
      <alignment horizontal="center" vertical="top"/>
    </xf>
    <xf numFmtId="3" fontId="7" fillId="7" borderId="18" xfId="0" applyNumberFormat="1" applyFont="1" applyFill="1" applyBorder="1" applyAlignment="1">
      <alignment horizontal="center" vertical="top"/>
    </xf>
    <xf numFmtId="166" fontId="3" fillId="7" borderId="79" xfId="0" applyNumberFormat="1" applyFont="1" applyFill="1" applyBorder="1" applyAlignment="1">
      <alignment vertical="top"/>
    </xf>
    <xf numFmtId="166" fontId="3" fillId="7" borderId="80" xfId="0" applyNumberFormat="1" applyFont="1" applyFill="1" applyBorder="1" applyAlignment="1">
      <alignment vertical="top"/>
    </xf>
    <xf numFmtId="166" fontId="3" fillId="7" borderId="94" xfId="0" applyNumberFormat="1" applyFont="1" applyFill="1" applyBorder="1" applyAlignment="1">
      <alignment vertical="top"/>
    </xf>
    <xf numFmtId="0" fontId="7" fillId="7" borderId="19" xfId="0" applyFont="1" applyFill="1" applyBorder="1" applyAlignment="1">
      <alignment vertical="top" textRotation="90" wrapText="1"/>
    </xf>
    <xf numFmtId="0" fontId="7" fillId="7" borderId="48" xfId="0" applyFont="1" applyFill="1" applyBorder="1" applyAlignment="1">
      <alignment vertical="top" textRotation="90" wrapText="1"/>
    </xf>
    <xf numFmtId="49" fontId="7" fillId="7" borderId="20" xfId="0" applyNumberFormat="1" applyFont="1" applyFill="1" applyBorder="1" applyAlignment="1">
      <alignment vertical="center" textRotation="90" wrapText="1"/>
    </xf>
    <xf numFmtId="0" fontId="3" fillId="7" borderId="21" xfId="0" applyFont="1" applyFill="1" applyBorder="1" applyAlignment="1">
      <alignment horizontal="right" vertical="center"/>
    </xf>
    <xf numFmtId="0" fontId="29" fillId="7" borderId="27" xfId="0" applyFont="1" applyFill="1" applyBorder="1" applyAlignment="1">
      <alignment horizontal="right" vertical="center"/>
    </xf>
    <xf numFmtId="49" fontId="4" fillId="2" borderId="25" xfId="0" applyNumberFormat="1" applyFont="1" applyFill="1" applyBorder="1" applyAlignment="1">
      <alignment horizontal="center" vertical="top"/>
    </xf>
    <xf numFmtId="49" fontId="4" fillId="8" borderId="25" xfId="0" applyNumberFormat="1" applyFont="1" applyFill="1" applyBorder="1" applyAlignment="1">
      <alignment horizontal="center" vertical="top"/>
    </xf>
    <xf numFmtId="49" fontId="7" fillId="7" borderId="25" xfId="0" applyNumberFormat="1" applyFont="1" applyFill="1" applyBorder="1" applyAlignment="1">
      <alignment horizontal="center" vertical="center" textRotation="90" wrapText="1"/>
    </xf>
    <xf numFmtId="0" fontId="0" fillId="7" borderId="26" xfId="0" applyFont="1" applyFill="1" applyBorder="1" applyAlignment="1">
      <alignment horizontal="center" vertical="top"/>
    </xf>
    <xf numFmtId="166" fontId="4" fillId="7" borderId="45" xfId="0" applyNumberFormat="1" applyFont="1" applyFill="1" applyBorder="1" applyAlignment="1">
      <alignment horizontal="center" vertical="top"/>
    </xf>
    <xf numFmtId="166" fontId="9" fillId="7" borderId="5" xfId="0" applyNumberFormat="1" applyFont="1" applyFill="1" applyBorder="1" applyAlignment="1">
      <alignment vertical="top" wrapText="1"/>
    </xf>
    <xf numFmtId="49" fontId="4" fillId="7" borderId="31" xfId="0" applyNumberFormat="1" applyFont="1" applyFill="1" applyBorder="1" applyAlignment="1">
      <alignment horizontal="center" vertical="top"/>
    </xf>
    <xf numFmtId="166" fontId="9" fillId="7" borderId="48" xfId="0" applyNumberFormat="1" applyFont="1" applyFill="1" applyBorder="1" applyAlignment="1">
      <alignment vertical="top" wrapText="1"/>
    </xf>
    <xf numFmtId="166" fontId="9" fillId="7" borderId="19" xfId="0" applyNumberFormat="1" applyFont="1" applyFill="1" applyBorder="1" applyAlignment="1">
      <alignment vertical="top" wrapText="1"/>
    </xf>
    <xf numFmtId="0" fontId="3" fillId="0" borderId="46" xfId="0" applyFont="1" applyFill="1" applyBorder="1" applyAlignment="1">
      <alignment vertical="top" wrapText="1"/>
    </xf>
    <xf numFmtId="0" fontId="3" fillId="7" borderId="97" xfId="0" applyFont="1" applyFill="1" applyBorder="1" applyAlignment="1">
      <alignment vertical="top" wrapText="1"/>
    </xf>
    <xf numFmtId="0" fontId="3" fillId="0" borderId="125" xfId="0" applyFont="1" applyFill="1" applyBorder="1" applyAlignment="1">
      <alignment vertical="top" wrapText="1"/>
    </xf>
    <xf numFmtId="0" fontId="3" fillId="7" borderId="46" xfId="0" applyFont="1" applyFill="1" applyBorder="1" applyAlignment="1">
      <alignment vertical="top" wrapText="1"/>
    </xf>
    <xf numFmtId="49" fontId="4" fillId="7" borderId="18" xfId="0" applyNumberFormat="1" applyFont="1" applyFill="1" applyBorder="1" applyAlignment="1">
      <alignment horizontal="center" vertical="top"/>
    </xf>
    <xf numFmtId="166" fontId="4" fillId="7" borderId="28" xfId="0" applyNumberFormat="1" applyFont="1" applyFill="1" applyBorder="1" applyAlignment="1">
      <alignment horizontal="center" vertical="top"/>
    </xf>
    <xf numFmtId="3" fontId="3" fillId="0" borderId="96" xfId="0" applyNumberFormat="1" applyFont="1" applyFill="1" applyBorder="1" applyAlignment="1">
      <alignment horizontal="center" vertical="top" wrapText="1"/>
    </xf>
    <xf numFmtId="3" fontId="3" fillId="0" borderId="88" xfId="0" applyNumberFormat="1" applyFont="1" applyFill="1" applyBorder="1" applyAlignment="1">
      <alignment horizontal="center" vertical="top" wrapText="1"/>
    </xf>
    <xf numFmtId="166" fontId="3" fillId="3" borderId="34" xfId="0" applyNumberFormat="1" applyFont="1" applyFill="1" applyBorder="1" applyAlignment="1">
      <alignment horizontal="center" vertical="top"/>
    </xf>
    <xf numFmtId="166" fontId="20" fillId="7" borderId="48" xfId="0" applyNumberFormat="1" applyFont="1" applyFill="1" applyBorder="1" applyAlignment="1">
      <alignment horizontal="center" vertical="center" textRotation="90" wrapText="1"/>
    </xf>
    <xf numFmtId="166" fontId="20" fillId="7" borderId="37" xfId="0" applyNumberFormat="1" applyFont="1" applyFill="1" applyBorder="1" applyAlignment="1">
      <alignment horizontal="center" vertical="top"/>
    </xf>
    <xf numFmtId="166" fontId="20" fillId="7" borderId="19" xfId="0" applyNumberFormat="1" applyFont="1" applyFill="1" applyBorder="1" applyAlignment="1">
      <alignment horizontal="center" vertical="center" textRotation="90" wrapText="1"/>
    </xf>
    <xf numFmtId="166" fontId="3" fillId="7" borderId="16" xfId="0" applyNumberFormat="1" applyFont="1" applyFill="1" applyBorder="1" applyAlignment="1">
      <alignment vertical="top" wrapText="1"/>
    </xf>
    <xf numFmtId="3" fontId="3" fillId="0" borderId="102" xfId="0" applyNumberFormat="1" applyFont="1" applyFill="1" applyBorder="1" applyAlignment="1">
      <alignment horizontal="center" vertical="top" wrapText="1"/>
    </xf>
    <xf numFmtId="3" fontId="3" fillId="0" borderId="83"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49" fontId="7" fillId="7" borderId="20" xfId="0" applyNumberFormat="1" applyFont="1" applyFill="1" applyBorder="1" applyAlignment="1">
      <alignment horizontal="center" vertical="center" textRotation="90" wrapText="1"/>
    </xf>
    <xf numFmtId="166" fontId="2" fillId="7" borderId="20" xfId="0" applyNumberFormat="1" applyFont="1" applyFill="1" applyBorder="1" applyAlignment="1">
      <alignment horizontal="center" vertical="top" textRotation="90" wrapText="1"/>
    </xf>
    <xf numFmtId="166" fontId="3" fillId="7" borderId="47" xfId="0" applyNumberFormat="1" applyFont="1" applyFill="1" applyBorder="1" applyAlignment="1">
      <alignment vertical="top" wrapText="1"/>
    </xf>
    <xf numFmtId="166" fontId="3" fillId="7" borderId="7" xfId="0" applyNumberFormat="1" applyFont="1" applyFill="1" applyBorder="1" applyAlignment="1">
      <alignment vertical="top" wrapText="1"/>
    </xf>
    <xf numFmtId="0" fontId="3" fillId="7" borderId="5" xfId="0" applyFont="1" applyFill="1" applyBorder="1" applyAlignment="1">
      <alignment vertical="top" wrapText="1"/>
    </xf>
    <xf numFmtId="3" fontId="3" fillId="7" borderId="42"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4" fillId="2"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3" fontId="3" fillId="0" borderId="123" xfId="0" applyNumberFormat="1" applyFont="1" applyFill="1" applyBorder="1" applyAlignment="1">
      <alignment horizontal="center" vertical="top"/>
    </xf>
    <xf numFmtId="3" fontId="3" fillId="0" borderId="118" xfId="0" applyNumberFormat="1" applyFont="1" applyFill="1" applyBorder="1" applyAlignment="1">
      <alignment horizontal="center" vertical="top"/>
    </xf>
    <xf numFmtId="166" fontId="3" fillId="7" borderId="38" xfId="0" applyNumberFormat="1" applyFont="1" applyFill="1" applyBorder="1" applyAlignment="1">
      <alignment vertical="top" wrapText="1"/>
    </xf>
    <xf numFmtId="166" fontId="2" fillId="7" borderId="1" xfId="0" applyNumberFormat="1" applyFont="1" applyFill="1" applyBorder="1" applyAlignment="1">
      <alignment horizontal="center" vertical="top" textRotation="90" wrapText="1"/>
    </xf>
    <xf numFmtId="166" fontId="4" fillId="7" borderId="21" xfId="0" applyNumberFormat="1" applyFont="1" applyFill="1" applyBorder="1" applyAlignment="1">
      <alignment horizontal="center" vertical="top"/>
    </xf>
    <xf numFmtId="166" fontId="3" fillId="7" borderId="16" xfId="0" applyNumberFormat="1" applyFont="1" applyFill="1" applyBorder="1" applyAlignment="1">
      <alignment horizontal="left" vertical="top" wrapText="1"/>
    </xf>
    <xf numFmtId="166" fontId="3" fillId="7" borderId="22" xfId="0" applyNumberFormat="1" applyFont="1" applyFill="1" applyBorder="1" applyAlignment="1">
      <alignment horizontal="center" vertical="top"/>
    </xf>
    <xf numFmtId="166" fontId="3" fillId="7" borderId="69" xfId="0" applyNumberFormat="1" applyFont="1" applyFill="1" applyBorder="1" applyAlignment="1">
      <alignment horizontal="center" vertical="top"/>
    </xf>
    <xf numFmtId="166" fontId="3" fillId="7" borderId="1"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3" fillId="7" borderId="18" xfId="0" applyNumberFormat="1" applyFont="1" applyFill="1" applyBorder="1" applyAlignment="1">
      <alignment horizontal="center" vertical="top" wrapText="1"/>
    </xf>
    <xf numFmtId="49" fontId="4" fillId="8" borderId="11"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166" fontId="3" fillId="7" borderId="21" xfId="0" applyNumberFormat="1" applyFont="1" applyFill="1" applyBorder="1" applyAlignment="1">
      <alignment horizontal="center" vertical="top" wrapText="1"/>
    </xf>
    <xf numFmtId="49" fontId="7" fillId="7" borderId="11" xfId="0" applyNumberFormat="1" applyFont="1" applyFill="1" applyBorder="1" applyAlignment="1">
      <alignment horizontal="center" vertical="center" textRotation="90" wrapText="1"/>
    </xf>
    <xf numFmtId="49"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3" fontId="3" fillId="7" borderId="20" xfId="0" applyNumberFormat="1" applyFont="1" applyFill="1" applyBorder="1" applyAlignment="1">
      <alignment horizontal="center" vertical="top"/>
    </xf>
    <xf numFmtId="3" fontId="3" fillId="7" borderId="47" xfId="0" applyNumberFormat="1" applyFont="1" applyFill="1" applyBorder="1" applyAlignment="1">
      <alignment horizontal="center" vertical="top"/>
    </xf>
    <xf numFmtId="3" fontId="3" fillId="7" borderId="82" xfId="0" applyNumberFormat="1" applyFont="1" applyFill="1" applyBorder="1" applyAlignment="1">
      <alignment horizontal="center" vertical="top"/>
    </xf>
    <xf numFmtId="3" fontId="3" fillId="7" borderId="21" xfId="0" applyNumberFormat="1" applyFont="1" applyFill="1" applyBorder="1" applyAlignment="1">
      <alignment horizontal="center" vertical="top"/>
    </xf>
    <xf numFmtId="166" fontId="4" fillId="2" borderId="68"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7" fillId="7" borderId="11" xfId="0" applyNumberFormat="1" applyFont="1" applyFill="1" applyBorder="1" applyAlignment="1">
      <alignment horizontal="left" textRotation="90" wrapText="1"/>
    </xf>
    <xf numFmtId="166" fontId="20" fillId="7" borderId="7" xfId="0" applyNumberFormat="1" applyFont="1" applyFill="1" applyBorder="1" applyAlignment="1">
      <alignment vertical="top" wrapText="1"/>
    </xf>
    <xf numFmtId="0" fontId="35" fillId="0" borderId="0" xfId="0" applyFont="1" applyAlignment="1">
      <alignment horizontal="justify" vertical="center"/>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9" fillId="7" borderId="11" xfId="0" applyNumberFormat="1" applyFont="1" applyFill="1" applyBorder="1" applyAlignment="1">
      <alignment horizontal="center" vertical="center" textRotation="90" wrapText="1"/>
    </xf>
    <xf numFmtId="3" fontId="3" fillId="7" borderId="82" xfId="0" applyNumberFormat="1" applyFont="1" applyFill="1" applyBorder="1" applyAlignment="1">
      <alignment horizontal="center" vertical="top"/>
    </xf>
    <xf numFmtId="0" fontId="3" fillId="7" borderId="0" xfId="0" applyFont="1" applyFill="1" applyBorder="1" applyAlignment="1">
      <alignment horizontal="center" vertical="center"/>
    </xf>
    <xf numFmtId="166" fontId="3" fillId="7" borderId="102" xfId="0" applyNumberFormat="1" applyFont="1" applyFill="1" applyBorder="1" applyAlignment="1">
      <alignment horizontal="center" vertical="top"/>
    </xf>
    <xf numFmtId="3" fontId="7" fillId="7" borderId="111" xfId="0" applyNumberFormat="1" applyFont="1" applyFill="1" applyBorder="1" applyAlignment="1">
      <alignment horizontal="center" vertical="top"/>
    </xf>
    <xf numFmtId="3" fontId="7" fillId="7" borderId="83" xfId="0" applyNumberFormat="1" applyFont="1" applyFill="1" applyBorder="1" applyAlignment="1">
      <alignment horizontal="center" vertical="top"/>
    </xf>
    <xf numFmtId="165" fontId="3" fillId="0" borderId="0" xfId="0" applyNumberFormat="1" applyFont="1" applyBorder="1" applyAlignment="1">
      <alignment vertical="top"/>
    </xf>
    <xf numFmtId="166" fontId="2" fillId="7" borderId="20" xfId="0" applyNumberFormat="1" applyFont="1" applyFill="1" applyBorder="1" applyAlignment="1">
      <alignment horizontal="center" vertical="top" textRotation="90"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11"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20" xfId="0" applyNumberFormat="1" applyFont="1" applyFill="1" applyBorder="1" applyAlignment="1">
      <alignment vertical="top" wrapText="1"/>
    </xf>
    <xf numFmtId="166" fontId="3" fillId="7" borderId="28" xfId="0" applyNumberFormat="1" applyFont="1" applyFill="1" applyBorder="1" applyAlignment="1">
      <alignment vertical="top" wrapText="1"/>
    </xf>
    <xf numFmtId="166" fontId="3" fillId="7" borderId="11" xfId="0" applyNumberFormat="1" applyFont="1" applyFill="1" applyBorder="1" applyAlignment="1">
      <alignment vertical="top" wrapText="1"/>
    </xf>
    <xf numFmtId="166" fontId="4" fillId="9" borderId="34" xfId="0" applyNumberFormat="1" applyFont="1" applyFill="1" applyBorder="1" applyAlignment="1">
      <alignment horizontal="center" vertical="top"/>
    </xf>
    <xf numFmtId="166" fontId="4" fillId="3" borderId="11"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20"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4" fillId="3" borderId="47" xfId="0" applyNumberFormat="1" applyFont="1" applyFill="1" applyBorder="1" applyAlignment="1">
      <alignment horizontal="center" vertical="top" wrapText="1"/>
    </xf>
    <xf numFmtId="166" fontId="4" fillId="0" borderId="11"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wrapText="1"/>
    </xf>
    <xf numFmtId="49" fontId="3" fillId="7" borderId="7" xfId="0" applyNumberFormat="1" applyFont="1" applyFill="1" applyBorder="1" applyAlignment="1">
      <alignment horizontal="left" vertical="top" wrapText="1"/>
    </xf>
    <xf numFmtId="166" fontId="4" fillId="0" borderId="49" xfId="0" applyNumberFormat="1" applyFont="1" applyBorder="1" applyAlignment="1">
      <alignment horizontal="center" vertical="top"/>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0" fontId="3" fillId="7" borderId="11" xfId="0" applyFont="1" applyFill="1" applyBorder="1" applyAlignment="1">
      <alignment vertical="top" wrapText="1"/>
    </xf>
    <xf numFmtId="49" fontId="4" fillId="9" borderId="5"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49" fontId="4" fillId="7" borderId="25"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3" fillId="7" borderId="25" xfId="0" applyNumberFormat="1" applyFont="1" applyFill="1" applyBorder="1" applyAlignment="1">
      <alignment vertical="top" wrapText="1"/>
    </xf>
    <xf numFmtId="166" fontId="9" fillId="7" borderId="11" xfId="0" applyNumberFormat="1" applyFont="1" applyFill="1" applyBorder="1" applyAlignment="1">
      <alignment horizontal="center" vertical="center" textRotation="90" wrapText="1"/>
    </xf>
    <xf numFmtId="166" fontId="3" fillId="2" borderId="72" xfId="0" applyNumberFormat="1" applyFont="1" applyFill="1" applyBorder="1" applyAlignment="1">
      <alignment horizontal="center" vertical="top" wrapText="1"/>
    </xf>
    <xf numFmtId="166" fontId="3" fillId="2" borderId="73" xfId="0" applyNumberFormat="1" applyFont="1" applyFill="1" applyBorder="1" applyAlignment="1">
      <alignment horizontal="center" vertical="top" wrapText="1"/>
    </xf>
    <xf numFmtId="166" fontId="3" fillId="7" borderId="7" xfId="0" applyNumberFormat="1" applyFont="1" applyFill="1" applyBorder="1" applyAlignment="1">
      <alignment vertical="top" wrapText="1"/>
    </xf>
    <xf numFmtId="3" fontId="3" fillId="7" borderId="20" xfId="0" applyNumberFormat="1" applyFont="1" applyFill="1" applyBorder="1" applyAlignment="1">
      <alignment horizontal="center" vertical="top"/>
    </xf>
    <xf numFmtId="166" fontId="3" fillId="7" borderId="81" xfId="0" applyNumberFormat="1" applyFont="1" applyFill="1" applyBorder="1" applyAlignment="1">
      <alignment horizontal="left" vertical="top" wrapText="1"/>
    </xf>
    <xf numFmtId="3" fontId="3" fillId="7" borderId="20" xfId="0" applyNumberFormat="1" applyFont="1" applyFill="1" applyBorder="1" applyAlignment="1">
      <alignment horizontal="center" vertical="top" wrapText="1"/>
    </xf>
    <xf numFmtId="3" fontId="3" fillId="7" borderId="82" xfId="0" applyNumberFormat="1" applyFont="1" applyFill="1" applyBorder="1" applyAlignment="1">
      <alignment horizontal="center" vertical="top" wrapText="1"/>
    </xf>
    <xf numFmtId="3" fontId="3" fillId="7" borderId="47" xfId="0" applyNumberFormat="1" applyFont="1" applyFill="1" applyBorder="1" applyAlignment="1">
      <alignment horizontal="center" vertical="top" wrapText="1"/>
    </xf>
    <xf numFmtId="49" fontId="4" fillId="2" borderId="11"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166" fontId="2" fillId="7" borderId="20" xfId="0" applyNumberFormat="1" applyFont="1" applyFill="1" applyBorder="1" applyAlignment="1">
      <alignment horizontal="center" vertical="top" textRotation="90" wrapText="1"/>
    </xf>
    <xf numFmtId="166" fontId="3" fillId="7" borderId="11" xfId="0" applyNumberFormat="1" applyFont="1" applyFill="1" applyBorder="1" applyAlignment="1">
      <alignment horizontal="center" vertical="center" textRotation="90" wrapText="1"/>
    </xf>
    <xf numFmtId="166" fontId="3" fillId="7" borderId="48" xfId="0" applyNumberFormat="1" applyFont="1" applyFill="1" applyBorder="1" applyAlignment="1">
      <alignment vertical="top" wrapText="1"/>
    </xf>
    <xf numFmtId="166" fontId="4" fillId="8" borderId="69" xfId="0" applyNumberFormat="1" applyFont="1" applyFill="1" applyBorder="1" applyAlignment="1">
      <alignment horizontal="center" vertical="top" wrapText="1"/>
    </xf>
    <xf numFmtId="166" fontId="3" fillId="7" borderId="69" xfId="0" applyNumberFormat="1" applyFont="1" applyFill="1" applyBorder="1" applyAlignment="1">
      <alignment horizontal="center" vertical="top" wrapText="1"/>
    </xf>
    <xf numFmtId="0" fontId="0" fillId="0" borderId="52" xfId="0" applyBorder="1" applyAlignment="1">
      <alignment horizontal="left" vertical="top"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166" fontId="3" fillId="0" borderId="69" xfId="0" applyNumberFormat="1" applyFont="1" applyBorder="1" applyAlignment="1">
      <alignment horizontal="center" vertical="top" wrapText="1"/>
    </xf>
    <xf numFmtId="166" fontId="3" fillId="8" borderId="69"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wrapText="1"/>
    </xf>
    <xf numFmtId="3" fontId="3" fillId="0" borderId="0" xfId="0" applyNumberFormat="1" applyFont="1" applyAlignment="1">
      <alignment horizontal="left" vertical="top" wrapText="1"/>
    </xf>
    <xf numFmtId="0" fontId="0" fillId="7" borderId="28" xfId="0" applyFont="1" applyFill="1" applyBorder="1" applyAlignment="1">
      <alignment horizontal="center" vertical="top" textRotation="90" wrapText="1"/>
    </xf>
    <xf numFmtId="166" fontId="4" fillId="7" borderId="18"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3" fontId="3" fillId="7" borderId="82" xfId="0" applyNumberFormat="1" applyFont="1" applyFill="1" applyBorder="1" applyAlignment="1">
      <alignment horizontal="center" vertical="top"/>
    </xf>
    <xf numFmtId="166" fontId="3" fillId="2" borderId="32" xfId="0" applyNumberFormat="1" applyFont="1" applyFill="1" applyBorder="1" applyAlignment="1">
      <alignment horizontal="center" vertical="top" wrapText="1"/>
    </xf>
    <xf numFmtId="0" fontId="3" fillId="7" borderId="5" xfId="0" applyFont="1" applyFill="1" applyBorder="1" applyAlignment="1">
      <alignment vertical="top" wrapText="1"/>
    </xf>
    <xf numFmtId="166" fontId="4" fillId="8" borderId="53" xfId="0" applyNumberFormat="1" applyFont="1" applyFill="1" applyBorder="1" applyAlignment="1">
      <alignment horizontal="center" vertical="top"/>
    </xf>
    <xf numFmtId="3" fontId="25" fillId="7" borderId="61" xfId="0" applyNumberFormat="1" applyFont="1" applyFill="1" applyBorder="1" applyAlignment="1">
      <alignment horizontal="center" vertical="top" wrapText="1"/>
    </xf>
    <xf numFmtId="3" fontId="25" fillId="7" borderId="77" xfId="0" applyNumberFormat="1" applyFont="1" applyFill="1" applyBorder="1" applyAlignment="1">
      <alignment horizontal="center" vertical="top" wrapText="1"/>
    </xf>
    <xf numFmtId="3" fontId="25" fillId="7" borderId="0" xfId="0" applyNumberFormat="1" applyFont="1" applyFill="1" applyBorder="1" applyAlignment="1">
      <alignment horizontal="center" vertical="top" wrapText="1"/>
    </xf>
    <xf numFmtId="3" fontId="7" fillId="7" borderId="57" xfId="0" applyNumberFormat="1" applyFont="1" applyFill="1" applyBorder="1" applyAlignment="1">
      <alignment horizontal="center" vertical="top" wrapText="1"/>
    </xf>
    <xf numFmtId="3" fontId="3" fillId="0" borderId="52" xfId="0" applyNumberFormat="1" applyFont="1" applyFill="1" applyBorder="1" applyAlignment="1">
      <alignment horizontal="center" vertical="top"/>
    </xf>
    <xf numFmtId="3" fontId="3" fillId="7" borderId="110" xfId="0" applyNumberFormat="1" applyFont="1" applyFill="1" applyBorder="1" applyAlignment="1">
      <alignment horizontal="center" vertical="top" wrapText="1"/>
    </xf>
    <xf numFmtId="3" fontId="3" fillId="7" borderId="100" xfId="0" applyNumberFormat="1" applyFont="1" applyFill="1" applyBorder="1" applyAlignment="1">
      <alignment horizontal="center" vertical="top" wrapText="1"/>
    </xf>
    <xf numFmtId="3" fontId="3" fillId="7" borderId="61" xfId="0" applyNumberFormat="1" applyFont="1" applyFill="1" applyBorder="1" applyAlignment="1">
      <alignment horizontal="center" vertical="top" wrapText="1"/>
    </xf>
    <xf numFmtId="3" fontId="3" fillId="7" borderId="77" xfId="0" applyNumberFormat="1" applyFont="1" applyFill="1" applyBorder="1" applyAlignment="1">
      <alignment horizontal="center" vertical="top" wrapText="1"/>
    </xf>
    <xf numFmtId="3" fontId="25" fillId="7" borderId="61"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3" fillId="0" borderId="77" xfId="0" applyNumberFormat="1" applyFont="1" applyFill="1" applyBorder="1" applyAlignment="1">
      <alignment horizontal="center" vertical="top"/>
    </xf>
    <xf numFmtId="3" fontId="3" fillId="0" borderId="75" xfId="0" applyNumberFormat="1" applyFont="1" applyFill="1" applyBorder="1" applyAlignment="1">
      <alignment horizontal="center" vertical="top"/>
    </xf>
    <xf numFmtId="3" fontId="3" fillId="7" borderId="52" xfId="0" applyNumberFormat="1" applyFont="1" applyFill="1" applyBorder="1" applyAlignment="1">
      <alignment horizontal="center" vertical="top" wrapText="1"/>
    </xf>
    <xf numFmtId="3" fontId="3" fillId="7" borderId="0" xfId="0" applyNumberFormat="1" applyFont="1" applyFill="1" applyBorder="1" applyAlignment="1">
      <alignment horizontal="center" vertical="top" wrapText="1"/>
    </xf>
    <xf numFmtId="3" fontId="25" fillId="7" borderId="0" xfId="1" applyNumberFormat="1" applyFont="1" applyFill="1" applyBorder="1" applyAlignment="1">
      <alignment horizontal="center" vertical="top" wrapText="1"/>
    </xf>
    <xf numFmtId="166" fontId="3" fillId="0" borderId="52" xfId="0" applyNumberFormat="1" applyFont="1" applyBorder="1" applyAlignment="1">
      <alignment vertical="top"/>
    </xf>
    <xf numFmtId="166" fontId="3" fillId="7" borderId="119" xfId="0" applyNumberFormat="1" applyFont="1" applyFill="1" applyBorder="1" applyAlignment="1">
      <alignment vertical="top"/>
    </xf>
    <xf numFmtId="166" fontId="3" fillId="0" borderId="49" xfId="0" applyNumberFormat="1" applyFont="1" applyFill="1" applyBorder="1" applyAlignment="1">
      <alignment horizontal="center" vertical="top"/>
    </xf>
    <xf numFmtId="3" fontId="3" fillId="0" borderId="119" xfId="0" applyNumberFormat="1" applyFont="1" applyFill="1" applyBorder="1" applyAlignment="1">
      <alignment horizontal="center" vertical="top"/>
    </xf>
    <xf numFmtId="166" fontId="3" fillId="7" borderId="32" xfId="0" applyNumberFormat="1" applyFont="1" applyFill="1" applyBorder="1" applyAlignment="1">
      <alignment horizontal="center" vertical="top"/>
    </xf>
    <xf numFmtId="3" fontId="3" fillId="0" borderId="64" xfId="0" applyNumberFormat="1" applyFont="1" applyFill="1" applyBorder="1" applyAlignment="1">
      <alignment horizontal="center" vertical="top"/>
    </xf>
    <xf numFmtId="3" fontId="3" fillId="0" borderId="61" xfId="0" applyNumberFormat="1" applyFont="1" applyFill="1" applyBorder="1" applyAlignment="1">
      <alignment horizontal="center" vertical="top"/>
    </xf>
    <xf numFmtId="166" fontId="3" fillId="0" borderId="52" xfId="0" applyNumberFormat="1" applyFont="1" applyFill="1" applyBorder="1" applyAlignment="1">
      <alignment horizontal="center" vertical="top"/>
    </xf>
    <xf numFmtId="166" fontId="3" fillId="0" borderId="77" xfId="0" applyNumberFormat="1" applyFont="1" applyFill="1" applyBorder="1" applyAlignment="1">
      <alignment horizontal="center" vertical="top"/>
    </xf>
    <xf numFmtId="166" fontId="3" fillId="0" borderId="61" xfId="0" applyNumberFormat="1" applyFont="1" applyFill="1" applyBorder="1" applyAlignment="1">
      <alignment horizontal="center" vertical="top"/>
    </xf>
    <xf numFmtId="49" fontId="3" fillId="0" borderId="100" xfId="0" applyNumberFormat="1" applyFont="1" applyFill="1" applyBorder="1" applyAlignment="1">
      <alignment horizontal="center" vertical="top"/>
    </xf>
    <xf numFmtId="166" fontId="3" fillId="0" borderId="121" xfId="0" applyNumberFormat="1" applyFont="1" applyFill="1" applyBorder="1" applyAlignment="1">
      <alignment horizontal="center" vertical="top"/>
    </xf>
    <xf numFmtId="166" fontId="7" fillId="7" borderId="32" xfId="0" applyNumberFormat="1" applyFont="1" applyFill="1" applyBorder="1" applyAlignment="1">
      <alignment horizontal="center" vertical="top" wrapText="1"/>
    </xf>
    <xf numFmtId="0" fontId="35" fillId="0" borderId="0" xfId="0" applyFont="1" applyAlignment="1">
      <alignment horizontal="left" vertical="top" wrapText="1"/>
    </xf>
    <xf numFmtId="0" fontId="0" fillId="0" borderId="0" xfId="0" applyAlignment="1">
      <alignment horizontal="left" vertical="top"/>
    </xf>
    <xf numFmtId="0" fontId="4" fillId="0" borderId="0" xfId="0" applyFont="1" applyBorder="1" applyAlignment="1">
      <alignment horizontal="right" vertical="top"/>
    </xf>
    <xf numFmtId="3" fontId="25" fillId="0" borderId="26" xfId="0" applyNumberFormat="1" applyFont="1" applyBorder="1" applyAlignment="1">
      <alignment vertical="top"/>
    </xf>
    <xf numFmtId="0" fontId="3" fillId="0" borderId="65" xfId="0" applyFont="1" applyBorder="1" applyAlignment="1">
      <alignment horizontal="center" vertical="center" textRotation="90" wrapText="1"/>
    </xf>
    <xf numFmtId="3" fontId="25" fillId="0" borderId="31" xfId="0" applyNumberFormat="1" applyFont="1" applyBorder="1" applyAlignment="1">
      <alignment vertical="top"/>
    </xf>
    <xf numFmtId="49" fontId="3" fillId="7" borderId="102" xfId="0" applyNumberFormat="1" applyFont="1" applyFill="1" applyBorder="1" applyAlignment="1">
      <alignment horizontal="center" vertical="top"/>
    </xf>
    <xf numFmtId="3" fontId="3" fillId="7" borderId="92" xfId="0" applyNumberFormat="1" applyFont="1" applyFill="1" applyBorder="1" applyAlignment="1">
      <alignment horizontal="center" vertical="top" wrapText="1"/>
    </xf>
    <xf numFmtId="3" fontId="7" fillId="7" borderId="47" xfId="0" applyNumberFormat="1" applyFont="1" applyFill="1" applyBorder="1" applyAlignment="1">
      <alignment horizontal="center" vertical="top" wrapText="1"/>
    </xf>
    <xf numFmtId="3" fontId="7" fillId="7" borderId="35" xfId="0" applyNumberFormat="1" applyFont="1" applyFill="1" applyBorder="1" applyAlignment="1">
      <alignment horizontal="center" vertical="center" wrapText="1"/>
    </xf>
    <xf numFmtId="3" fontId="15" fillId="7" borderId="47" xfId="0" applyNumberFormat="1" applyFont="1" applyFill="1" applyBorder="1" applyAlignment="1">
      <alignment horizontal="center" vertical="top"/>
    </xf>
    <xf numFmtId="3" fontId="15" fillId="7" borderId="49" xfId="0" applyNumberFormat="1" applyFont="1" applyFill="1" applyBorder="1" applyAlignment="1">
      <alignment horizontal="center" vertical="top"/>
    </xf>
    <xf numFmtId="3" fontId="25" fillId="7" borderId="18" xfId="0" applyNumberFormat="1" applyFont="1" applyFill="1" applyBorder="1" applyAlignment="1">
      <alignment horizontal="center" vertical="top" wrapText="1"/>
    </xf>
    <xf numFmtId="3" fontId="3" fillId="0" borderId="26" xfId="0" applyNumberFormat="1" applyFont="1" applyFill="1" applyBorder="1" applyAlignment="1">
      <alignment horizontal="center" vertical="top"/>
    </xf>
    <xf numFmtId="3" fontId="25" fillId="7" borderId="18" xfId="1" applyNumberFormat="1" applyFont="1" applyFill="1" applyBorder="1" applyAlignment="1">
      <alignment horizontal="center" vertical="top" wrapText="1"/>
    </xf>
    <xf numFmtId="165" fontId="3" fillId="7" borderId="11" xfId="0" applyNumberFormat="1" applyFont="1" applyFill="1" applyBorder="1" applyAlignment="1">
      <alignment horizontal="center" vertical="top"/>
    </xf>
    <xf numFmtId="165" fontId="3" fillId="7" borderId="28" xfId="0" applyNumberFormat="1" applyFont="1" applyFill="1" applyBorder="1" applyAlignment="1">
      <alignment horizontal="center" vertical="top"/>
    </xf>
    <xf numFmtId="166" fontId="4" fillId="8" borderId="30" xfId="0" applyNumberFormat="1" applyFont="1" applyFill="1" applyBorder="1" applyAlignment="1">
      <alignment horizontal="center" vertical="top"/>
    </xf>
    <xf numFmtId="166" fontId="4" fillId="3" borderId="71" xfId="0" applyNumberFormat="1" applyFont="1" applyFill="1" applyBorder="1" applyAlignment="1">
      <alignment horizontal="center" vertical="top"/>
    </xf>
    <xf numFmtId="166" fontId="4" fillId="2" borderId="55" xfId="0" applyNumberFormat="1" applyFont="1" applyFill="1" applyBorder="1" applyAlignment="1">
      <alignment horizontal="center" vertical="top"/>
    </xf>
    <xf numFmtId="165" fontId="3" fillId="7" borderId="34" xfId="0" applyNumberFormat="1" applyFont="1" applyFill="1" applyBorder="1" applyAlignment="1">
      <alignment horizontal="center" vertical="top"/>
    </xf>
    <xf numFmtId="166" fontId="3" fillId="7" borderId="34" xfId="0" applyNumberFormat="1" applyFont="1" applyFill="1" applyBorder="1" applyAlignment="1">
      <alignment horizontal="center"/>
    </xf>
    <xf numFmtId="166" fontId="3" fillId="7" borderId="66" xfId="0" applyNumberFormat="1" applyFont="1" applyFill="1" applyBorder="1" applyAlignment="1">
      <alignment horizontal="center"/>
    </xf>
    <xf numFmtId="166" fontId="3" fillId="7" borderId="66" xfId="1" applyNumberFormat="1" applyFont="1" applyFill="1" applyBorder="1" applyAlignment="1">
      <alignment horizontal="center" vertical="top"/>
    </xf>
    <xf numFmtId="0" fontId="3" fillId="7" borderId="77" xfId="0" applyFont="1" applyFill="1" applyBorder="1" applyAlignment="1">
      <alignment vertical="top"/>
    </xf>
    <xf numFmtId="0" fontId="3" fillId="7" borderId="48" xfId="0" applyFont="1" applyFill="1" applyBorder="1" applyAlignment="1">
      <alignment horizontal="left" vertical="top" wrapText="1"/>
    </xf>
    <xf numFmtId="166" fontId="25" fillId="7" borderId="97" xfId="0" applyNumberFormat="1" applyFont="1" applyFill="1" applyBorder="1" applyAlignment="1">
      <alignment horizontal="left" vertical="top" wrapText="1"/>
    </xf>
    <xf numFmtId="0" fontId="25" fillId="7" borderId="19" xfId="0" applyFont="1" applyFill="1" applyBorder="1" applyAlignment="1">
      <alignment horizontal="left" vertical="top" wrapText="1"/>
    </xf>
    <xf numFmtId="166" fontId="25" fillId="7" borderId="48" xfId="0" applyNumberFormat="1" applyFont="1" applyFill="1" applyBorder="1" applyAlignment="1">
      <alignment horizontal="left" vertical="top" wrapText="1"/>
    </xf>
    <xf numFmtId="166" fontId="28" fillId="7" borderId="19" xfId="0" applyNumberFormat="1" applyFont="1" applyFill="1" applyBorder="1" applyAlignment="1">
      <alignment horizontal="left" vertical="top" wrapText="1"/>
    </xf>
    <xf numFmtId="166" fontId="3" fillId="7" borderId="19" xfId="0" applyNumberFormat="1" applyFont="1" applyFill="1" applyBorder="1" applyAlignment="1">
      <alignment vertical="top" wrapText="1"/>
    </xf>
    <xf numFmtId="166" fontId="20" fillId="7" borderId="53" xfId="0" applyNumberFormat="1" applyFont="1" applyFill="1" applyBorder="1" applyAlignment="1">
      <alignment horizontal="left" vertical="top" wrapText="1"/>
    </xf>
    <xf numFmtId="166" fontId="3" fillId="7" borderId="19" xfId="0" applyNumberFormat="1" applyFont="1" applyFill="1" applyBorder="1" applyAlignment="1">
      <alignment horizontal="left" vertical="top" wrapText="1"/>
    </xf>
    <xf numFmtId="0" fontId="3" fillId="7" borderId="99" xfId="0" applyFont="1" applyFill="1" applyBorder="1" applyAlignment="1">
      <alignment horizontal="left" vertical="top" wrapText="1"/>
    </xf>
    <xf numFmtId="0" fontId="3" fillId="7" borderId="97" xfId="0" applyFont="1" applyFill="1" applyBorder="1" applyAlignment="1">
      <alignment horizontal="left" vertical="top" wrapText="1"/>
    </xf>
    <xf numFmtId="166" fontId="20" fillId="7" borderId="19" xfId="0" applyNumberFormat="1" applyFont="1" applyFill="1" applyBorder="1" applyAlignment="1">
      <alignment vertical="top" wrapText="1"/>
    </xf>
    <xf numFmtId="0" fontId="31" fillId="7" borderId="48" xfId="0" applyFont="1" applyFill="1" applyBorder="1" applyAlignment="1">
      <alignment vertical="top" wrapText="1"/>
    </xf>
    <xf numFmtId="0" fontId="25" fillId="7" borderId="19" xfId="0" applyFont="1" applyFill="1" applyBorder="1" applyAlignment="1">
      <alignment vertical="top" wrapText="1"/>
    </xf>
    <xf numFmtId="0" fontId="25" fillId="7" borderId="48" xfId="0" applyFont="1" applyFill="1" applyBorder="1" applyAlignment="1">
      <alignment vertical="top" wrapText="1"/>
    </xf>
    <xf numFmtId="166" fontId="3" fillId="7" borderId="41" xfId="0" applyNumberFormat="1" applyFont="1" applyFill="1" applyBorder="1" applyAlignment="1">
      <alignment horizontal="left" vertical="top" wrapText="1"/>
    </xf>
    <xf numFmtId="166" fontId="3" fillId="7" borderId="46" xfId="0" applyNumberFormat="1" applyFont="1" applyFill="1" applyBorder="1" applyAlignment="1">
      <alignment horizontal="left" vertical="top" wrapText="1"/>
    </xf>
    <xf numFmtId="166" fontId="3" fillId="3" borderId="62" xfId="0" applyNumberFormat="1" applyFont="1" applyFill="1" applyBorder="1" applyAlignment="1">
      <alignment vertical="top" wrapText="1"/>
    </xf>
    <xf numFmtId="166" fontId="3" fillId="7" borderId="41" xfId="0" applyNumberFormat="1" applyFont="1" applyFill="1" applyBorder="1" applyAlignment="1">
      <alignment vertical="top" wrapText="1"/>
    </xf>
    <xf numFmtId="166" fontId="3" fillId="0" borderId="19" xfId="0" applyNumberFormat="1" applyFont="1" applyFill="1" applyBorder="1" applyAlignment="1">
      <alignment vertical="top" wrapText="1"/>
    </xf>
    <xf numFmtId="166" fontId="25" fillId="7" borderId="48" xfId="0" applyNumberFormat="1" applyFont="1" applyFill="1" applyBorder="1" applyAlignment="1">
      <alignment vertical="top" wrapText="1"/>
    </xf>
    <xf numFmtId="166" fontId="25" fillId="7" borderId="46" xfId="0" applyNumberFormat="1" applyFont="1" applyFill="1" applyBorder="1" applyAlignment="1">
      <alignment vertical="top" wrapText="1"/>
    </xf>
    <xf numFmtId="165" fontId="3" fillId="7" borderId="44" xfId="0" applyNumberFormat="1" applyFont="1" applyFill="1" applyBorder="1" applyAlignment="1">
      <alignment horizontal="center" vertical="top"/>
    </xf>
    <xf numFmtId="165" fontId="3" fillId="7" borderId="54" xfId="0" applyNumberFormat="1" applyFont="1" applyFill="1" applyBorder="1" applyAlignment="1">
      <alignment horizontal="center" vertical="top"/>
    </xf>
    <xf numFmtId="166" fontId="3" fillId="7" borderId="54" xfId="0" applyNumberFormat="1" applyFont="1" applyFill="1" applyBorder="1" applyAlignment="1">
      <alignment horizontal="center"/>
    </xf>
    <xf numFmtId="166" fontId="3" fillId="0" borderId="44" xfId="0" applyNumberFormat="1" applyFont="1" applyBorder="1" applyAlignment="1">
      <alignment vertical="top"/>
    </xf>
    <xf numFmtId="3" fontId="3" fillId="7" borderId="123" xfId="0" applyNumberFormat="1" applyFont="1" applyFill="1" applyBorder="1" applyAlignment="1">
      <alignment horizontal="center" vertical="top"/>
    </xf>
    <xf numFmtId="0" fontId="3" fillId="7" borderId="47" xfId="0" applyFont="1" applyFill="1" applyBorder="1" applyAlignment="1">
      <alignment horizontal="right" vertical="center"/>
    </xf>
    <xf numFmtId="0" fontId="29" fillId="7" borderId="35" xfId="0" applyFont="1" applyFill="1" applyBorder="1" applyAlignment="1">
      <alignment horizontal="right" vertical="center"/>
    </xf>
    <xf numFmtId="3" fontId="3" fillId="7" borderId="115" xfId="0" applyNumberFormat="1" applyFont="1" applyFill="1" applyBorder="1" applyAlignment="1">
      <alignment horizontal="center" vertical="top"/>
    </xf>
    <xf numFmtId="3" fontId="3" fillId="0" borderId="26" xfId="0" applyNumberFormat="1" applyFont="1" applyFill="1" applyBorder="1" applyAlignment="1">
      <alignment horizontal="center" vertical="top" wrapText="1"/>
    </xf>
    <xf numFmtId="166" fontId="3" fillId="0" borderId="11" xfId="0" applyNumberFormat="1" applyFont="1" applyBorder="1" applyAlignment="1">
      <alignment vertical="top"/>
    </xf>
    <xf numFmtId="166" fontId="3" fillId="3" borderId="18" xfId="0" applyNumberFormat="1" applyFont="1" applyFill="1" applyBorder="1" applyAlignment="1">
      <alignment horizontal="center" vertical="top"/>
    </xf>
    <xf numFmtId="166" fontId="3" fillId="3" borderId="25" xfId="0" applyNumberFormat="1" applyFont="1" applyFill="1" applyBorder="1" applyAlignment="1">
      <alignment horizontal="center" vertical="top"/>
    </xf>
    <xf numFmtId="3" fontId="7" fillId="7" borderId="49" xfId="0" applyNumberFormat="1" applyFont="1" applyFill="1" applyBorder="1" applyAlignment="1">
      <alignment horizontal="center" vertical="top"/>
    </xf>
    <xf numFmtId="3" fontId="7" fillId="0" borderId="49" xfId="0" applyNumberFormat="1" applyFont="1" applyFill="1" applyBorder="1" applyAlignment="1">
      <alignment horizontal="center" vertical="top"/>
    </xf>
    <xf numFmtId="166" fontId="4" fillId="2" borderId="74" xfId="0" applyNumberFormat="1" applyFont="1" applyFill="1" applyBorder="1" applyAlignment="1">
      <alignment horizontal="center" vertical="top"/>
    </xf>
    <xf numFmtId="166" fontId="3" fillId="7" borderId="41" xfId="0" applyNumberFormat="1" applyFont="1" applyFill="1" applyBorder="1" applyAlignment="1">
      <alignment horizontal="center" vertical="top"/>
    </xf>
    <xf numFmtId="166" fontId="3" fillId="7" borderId="36" xfId="0" applyNumberFormat="1" applyFont="1" applyFill="1" applyBorder="1" applyAlignment="1">
      <alignment vertical="top" wrapText="1"/>
    </xf>
    <xf numFmtId="166" fontId="3" fillId="7" borderId="99" xfId="0" applyNumberFormat="1" applyFont="1" applyFill="1" applyBorder="1" applyAlignment="1">
      <alignment vertical="top" wrapText="1"/>
    </xf>
    <xf numFmtId="0" fontId="3" fillId="7" borderId="125" xfId="0" applyFont="1" applyFill="1" applyBorder="1" applyAlignment="1">
      <alignment horizontal="left" vertical="top" wrapText="1"/>
    </xf>
    <xf numFmtId="166" fontId="3" fillId="0" borderId="41" xfId="0" applyNumberFormat="1" applyFont="1" applyFill="1" applyBorder="1" applyAlignment="1">
      <alignment vertical="top" wrapText="1"/>
    </xf>
    <xf numFmtId="0" fontId="3" fillId="7" borderId="19" xfId="0" applyFont="1" applyFill="1" applyBorder="1" applyAlignment="1">
      <alignment vertical="top" wrapText="1"/>
    </xf>
    <xf numFmtId="166" fontId="4" fillId="8" borderId="44" xfId="0" applyNumberFormat="1" applyFont="1" applyFill="1" applyBorder="1" applyAlignment="1">
      <alignment horizontal="center" vertical="top"/>
    </xf>
    <xf numFmtId="166" fontId="4" fillId="5" borderId="56" xfId="0" applyNumberFormat="1" applyFont="1" applyFill="1" applyBorder="1" applyAlignment="1">
      <alignment horizontal="center" vertical="top"/>
    </xf>
    <xf numFmtId="166" fontId="4" fillId="9" borderId="30" xfId="0" applyNumberFormat="1" applyFont="1" applyFill="1" applyBorder="1" applyAlignment="1">
      <alignment horizontal="center" vertical="top"/>
    </xf>
    <xf numFmtId="166" fontId="4" fillId="5" borderId="4" xfId="0" applyNumberFormat="1" applyFont="1" applyFill="1" applyBorder="1" applyAlignment="1">
      <alignment horizontal="center" vertical="top"/>
    </xf>
    <xf numFmtId="166" fontId="3" fillId="0" borderId="46" xfId="0" applyNumberFormat="1" applyFont="1" applyFill="1" applyBorder="1" applyAlignment="1">
      <alignment horizontal="left" vertical="top" wrapText="1"/>
    </xf>
    <xf numFmtId="166" fontId="3" fillId="0" borderId="97" xfId="0" applyNumberFormat="1" applyFont="1" applyFill="1" applyBorder="1" applyAlignment="1">
      <alignment horizontal="left" vertical="top" wrapText="1"/>
    </xf>
    <xf numFmtId="166" fontId="9" fillId="7" borderId="32" xfId="0" applyNumberFormat="1" applyFont="1" applyFill="1" applyBorder="1" applyAlignment="1">
      <alignment vertical="top" wrapText="1"/>
    </xf>
    <xf numFmtId="166" fontId="7" fillId="7" borderId="31" xfId="0" applyNumberFormat="1" applyFont="1" applyFill="1" applyBorder="1" applyAlignment="1">
      <alignment horizontal="center" vertical="top" wrapText="1"/>
    </xf>
    <xf numFmtId="166" fontId="4" fillId="8" borderId="1" xfId="0" applyNumberFormat="1" applyFont="1" applyFill="1" applyBorder="1" applyAlignment="1">
      <alignment horizontal="center" vertical="top" wrapText="1"/>
    </xf>
    <xf numFmtId="166" fontId="3" fillId="7" borderId="1" xfId="0" applyNumberFormat="1" applyFont="1" applyFill="1" applyBorder="1" applyAlignment="1">
      <alignment horizontal="center" vertical="top" wrapText="1"/>
    </xf>
    <xf numFmtId="166" fontId="3" fillId="8" borderId="1" xfId="0" applyNumberFormat="1" applyFont="1" applyFill="1" applyBorder="1" applyAlignment="1">
      <alignment horizontal="center" vertical="top" wrapText="1"/>
    </xf>
    <xf numFmtId="166" fontId="4" fillId="5" borderId="1"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xf>
    <xf numFmtId="166" fontId="4" fillId="5" borderId="1" xfId="0" applyNumberFormat="1" applyFont="1" applyFill="1" applyBorder="1" applyAlignment="1">
      <alignment horizontal="center" vertical="top"/>
    </xf>
    <xf numFmtId="166" fontId="4" fillId="5" borderId="43" xfId="0" applyNumberFormat="1" applyFont="1" applyFill="1" applyBorder="1" applyAlignment="1">
      <alignment horizontal="center" vertical="top"/>
    </xf>
    <xf numFmtId="166" fontId="4" fillId="8" borderId="69" xfId="0" applyNumberFormat="1" applyFont="1" applyFill="1" applyBorder="1" applyAlignment="1">
      <alignment horizontal="center" vertical="top"/>
    </xf>
    <xf numFmtId="166" fontId="4" fillId="8" borderId="1" xfId="0" applyNumberFormat="1" applyFont="1" applyFill="1" applyBorder="1" applyAlignment="1">
      <alignment horizontal="center" vertical="top"/>
    </xf>
    <xf numFmtId="166" fontId="4" fillId="8" borderId="43" xfId="0" applyNumberFormat="1" applyFont="1" applyFill="1" applyBorder="1" applyAlignment="1">
      <alignment horizontal="center" vertical="top"/>
    </xf>
    <xf numFmtId="166" fontId="3" fillId="8" borderId="69" xfId="0" applyNumberFormat="1" applyFont="1" applyFill="1" applyBorder="1" applyAlignment="1">
      <alignment horizontal="center" vertical="top"/>
    </xf>
    <xf numFmtId="166" fontId="3" fillId="8" borderId="1" xfId="0" applyNumberFormat="1" applyFont="1" applyFill="1" applyBorder="1" applyAlignment="1">
      <alignment horizontal="center" vertical="top"/>
    </xf>
    <xf numFmtId="166" fontId="4" fillId="11" borderId="74" xfId="0" applyNumberFormat="1" applyFont="1" applyFill="1" applyBorder="1" applyAlignment="1">
      <alignment horizontal="center" vertical="top" wrapText="1"/>
    </xf>
    <xf numFmtId="166" fontId="4" fillId="11" borderId="30" xfId="0" applyNumberFormat="1" applyFont="1" applyFill="1" applyBorder="1" applyAlignment="1">
      <alignment horizontal="center" vertical="top" wrapText="1"/>
    </xf>
    <xf numFmtId="166" fontId="4" fillId="11" borderId="74" xfId="0" applyNumberFormat="1" applyFont="1" applyFill="1" applyBorder="1" applyAlignment="1">
      <alignment horizontal="center" vertical="top"/>
    </xf>
    <xf numFmtId="166" fontId="4" fillId="11" borderId="30" xfId="0" applyNumberFormat="1" applyFont="1" applyFill="1" applyBorder="1" applyAlignment="1">
      <alignment horizontal="center" vertical="top"/>
    </xf>
    <xf numFmtId="166" fontId="4" fillId="11" borderId="33" xfId="0" applyNumberFormat="1" applyFont="1" applyFill="1" applyBorder="1" applyAlignment="1">
      <alignment horizontal="center" vertical="top"/>
    </xf>
    <xf numFmtId="166" fontId="15" fillId="7" borderId="28" xfId="0" applyNumberFormat="1" applyFont="1" applyFill="1" applyBorder="1" applyAlignment="1">
      <alignment horizontal="center" vertical="top"/>
    </xf>
    <xf numFmtId="166" fontId="15" fillId="7" borderId="52" xfId="0" applyNumberFormat="1" applyFont="1" applyFill="1" applyBorder="1" applyAlignment="1">
      <alignment horizontal="center" vertical="top"/>
    </xf>
    <xf numFmtId="166" fontId="15" fillId="7" borderId="0" xfId="0" applyNumberFormat="1" applyFont="1" applyFill="1" applyBorder="1" applyAlignment="1">
      <alignment horizontal="center" vertical="top"/>
    </xf>
    <xf numFmtId="166" fontId="15" fillId="7" borderId="77"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0" fontId="3" fillId="0" borderId="19" xfId="0" applyFont="1" applyBorder="1" applyAlignment="1">
      <alignment horizontal="left" vertical="top" wrapText="1"/>
    </xf>
    <xf numFmtId="3" fontId="15" fillId="3" borderId="61" xfId="0" applyNumberFormat="1" applyFont="1" applyFill="1" applyBorder="1" applyAlignment="1">
      <alignment horizontal="center" vertical="top" wrapText="1"/>
    </xf>
    <xf numFmtId="166" fontId="25" fillId="7" borderId="7" xfId="0" applyNumberFormat="1" applyFont="1" applyFill="1" applyBorder="1" applyAlignment="1">
      <alignment horizontal="left" vertical="top" wrapText="1"/>
    </xf>
    <xf numFmtId="166" fontId="3" fillId="7" borderId="64" xfId="0" applyNumberFormat="1" applyFont="1" applyFill="1" applyBorder="1" applyAlignment="1">
      <alignment horizontal="center" vertical="top" wrapText="1"/>
    </xf>
    <xf numFmtId="166" fontId="3" fillId="0" borderId="69" xfId="0" applyNumberFormat="1" applyFont="1" applyBorder="1" applyAlignment="1">
      <alignment horizontal="center" vertical="top" wrapText="1"/>
    </xf>
    <xf numFmtId="166" fontId="3" fillId="8" borderId="64" xfId="0" applyNumberFormat="1" applyFont="1" applyFill="1" applyBorder="1" applyAlignment="1">
      <alignment horizontal="center" vertical="top" wrapText="1"/>
    </xf>
    <xf numFmtId="0" fontId="4" fillId="0" borderId="0" xfId="0" applyNumberFormat="1" applyFont="1" applyFill="1" applyAlignment="1">
      <alignment vertical="top"/>
    </xf>
    <xf numFmtId="0" fontId="3" fillId="0" borderId="0" xfId="0" applyFont="1" applyFill="1" applyAlignment="1">
      <alignment horizontal="center" vertical="top"/>
    </xf>
    <xf numFmtId="3" fontId="3" fillId="0" borderId="0" xfId="0" applyNumberFormat="1" applyFont="1" applyFill="1" applyAlignment="1">
      <alignment vertical="top"/>
    </xf>
    <xf numFmtId="166" fontId="3" fillId="7" borderId="43" xfId="0" applyNumberFormat="1" applyFont="1" applyFill="1" applyBorder="1" applyAlignment="1">
      <alignment horizontal="center" vertical="top"/>
    </xf>
    <xf numFmtId="166" fontId="3" fillId="8" borderId="43"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9" fillId="7" borderId="11" xfId="0" applyNumberFormat="1" applyFont="1" applyFill="1" applyBorder="1" applyAlignment="1">
      <alignment horizontal="center" vertical="center" textRotation="90" wrapText="1"/>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4" fillId="0" borderId="11"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top" wrapText="1"/>
    </xf>
    <xf numFmtId="166" fontId="4" fillId="9" borderId="34"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3" fillId="7" borderId="81" xfId="0" applyNumberFormat="1" applyFont="1" applyFill="1" applyBorder="1" applyAlignment="1">
      <alignment horizontal="left" vertical="top" wrapText="1"/>
    </xf>
    <xf numFmtId="166" fontId="4" fillId="7" borderId="25"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4" fillId="7" borderId="49" xfId="0" applyNumberFormat="1" applyFont="1" applyFill="1" applyBorder="1" applyAlignment="1">
      <alignment horizontal="center" vertical="top" wrapText="1"/>
    </xf>
    <xf numFmtId="3" fontId="3" fillId="7" borderId="82" xfId="0" applyNumberFormat="1" applyFont="1" applyFill="1" applyBorder="1" applyAlignment="1">
      <alignment horizontal="center" vertical="top"/>
    </xf>
    <xf numFmtId="3" fontId="3" fillId="7" borderId="83" xfId="0" applyNumberFormat="1" applyFont="1" applyFill="1" applyBorder="1" applyAlignment="1">
      <alignment horizontal="center" vertical="top"/>
    </xf>
    <xf numFmtId="49" fontId="15" fillId="7" borderId="108"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3" fontId="3" fillId="7" borderId="83" xfId="0" applyNumberFormat="1" applyFont="1" applyFill="1" applyBorder="1" applyAlignment="1">
      <alignment horizontal="center" vertical="top"/>
    </xf>
    <xf numFmtId="0" fontId="3" fillId="0" borderId="0" xfId="0" applyFont="1" applyFill="1" applyBorder="1" applyAlignment="1">
      <alignment vertical="top"/>
    </xf>
    <xf numFmtId="0" fontId="29" fillId="7" borderId="18" xfId="0" applyFont="1" applyFill="1" applyBorder="1" applyAlignment="1">
      <alignment horizontal="right" vertical="center"/>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166" fontId="15" fillId="0" borderId="34" xfId="0" applyNumberFormat="1" applyFont="1" applyFill="1" applyBorder="1" applyAlignment="1">
      <alignment horizontal="center" vertical="top"/>
    </xf>
    <xf numFmtId="166" fontId="15" fillId="0" borderId="11" xfId="0" applyNumberFormat="1" applyFont="1" applyFill="1" applyBorder="1" applyAlignment="1">
      <alignment horizontal="center" vertical="top"/>
    </xf>
    <xf numFmtId="166" fontId="15" fillId="7" borderId="44" xfId="0" applyNumberFormat="1" applyFont="1" applyFill="1" applyBorder="1" applyAlignment="1">
      <alignment horizontal="center" vertical="top"/>
    </xf>
    <xf numFmtId="166" fontId="15" fillId="7" borderId="51" xfId="0" applyNumberFormat="1" applyFont="1" applyFill="1" applyBorder="1" applyAlignment="1">
      <alignment horizontal="center" vertical="top"/>
    </xf>
    <xf numFmtId="166" fontId="3" fillId="7" borderId="0" xfId="0" applyNumberFormat="1" applyFont="1" applyFill="1" applyBorder="1" applyAlignment="1">
      <alignment horizontal="center" vertical="center" wrapText="1"/>
    </xf>
    <xf numFmtId="166" fontId="15" fillId="7" borderId="20" xfId="0" applyNumberFormat="1" applyFont="1" applyFill="1" applyBorder="1" applyAlignment="1">
      <alignment horizontal="center" vertical="top"/>
    </xf>
    <xf numFmtId="166" fontId="15" fillId="7" borderId="39" xfId="0" applyNumberFormat="1" applyFont="1" applyFill="1" applyBorder="1" applyAlignment="1">
      <alignment horizontal="center" vertical="top"/>
    </xf>
    <xf numFmtId="166" fontId="15" fillId="7" borderId="61"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15" fillId="7" borderId="54" xfId="0" applyNumberFormat="1" applyFont="1" applyFill="1" applyBorder="1" applyAlignment="1">
      <alignment horizontal="center" vertical="top"/>
    </xf>
    <xf numFmtId="3" fontId="15" fillId="7" borderId="30" xfId="2" applyNumberFormat="1" applyFont="1" applyFill="1" applyBorder="1" applyAlignment="1">
      <alignment horizontal="center" vertical="top"/>
    </xf>
    <xf numFmtId="3" fontId="3" fillId="0" borderId="18" xfId="0" applyNumberFormat="1" applyFont="1" applyFill="1" applyBorder="1" applyAlignment="1">
      <alignment horizontal="left" vertical="top" wrapText="1"/>
    </xf>
    <xf numFmtId="166" fontId="4" fillId="2" borderId="30" xfId="0" applyNumberFormat="1" applyFont="1" applyFill="1" applyBorder="1" applyAlignment="1">
      <alignment horizontal="center" vertical="top"/>
    </xf>
    <xf numFmtId="3" fontId="3" fillId="7" borderId="18" xfId="0" applyNumberFormat="1" applyFont="1" applyFill="1" applyBorder="1" applyAlignment="1">
      <alignment horizontal="left" vertical="top" wrapText="1"/>
    </xf>
    <xf numFmtId="166" fontId="4" fillId="9" borderId="57" xfId="0" applyNumberFormat="1" applyFont="1" applyFill="1" applyBorder="1" applyAlignment="1">
      <alignment horizontal="center" vertical="top"/>
    </xf>
    <xf numFmtId="166" fontId="4" fillId="5" borderId="76" xfId="0" applyNumberFormat="1" applyFont="1" applyFill="1" applyBorder="1" applyAlignment="1">
      <alignment horizontal="center" vertical="top"/>
    </xf>
    <xf numFmtId="166" fontId="4" fillId="2" borderId="31"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0" fontId="3" fillId="7" borderId="113" xfId="0" applyFont="1" applyFill="1" applyBorder="1" applyAlignment="1">
      <alignment horizontal="left" vertical="top" wrapText="1"/>
    </xf>
    <xf numFmtId="166" fontId="25" fillId="7" borderId="46"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xf>
    <xf numFmtId="166" fontId="3" fillId="7" borderId="37" xfId="0" applyNumberFormat="1" applyFont="1" applyFill="1" applyBorder="1" applyAlignment="1">
      <alignment vertical="top" wrapText="1"/>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17" fillId="7" borderId="11" xfId="0" applyNumberFormat="1" applyFont="1" applyFill="1" applyBorder="1" applyAlignment="1">
      <alignment horizontal="center" vertical="center" wrapText="1"/>
    </xf>
    <xf numFmtId="165" fontId="15" fillId="7" borderId="44" xfId="0" applyNumberFormat="1" applyFont="1" applyFill="1" applyBorder="1" applyAlignment="1">
      <alignment horizontal="center" vertical="top"/>
    </xf>
    <xf numFmtId="166" fontId="15" fillId="7" borderId="50" xfId="0" applyNumberFormat="1" applyFont="1" applyFill="1" applyBorder="1" applyAlignment="1">
      <alignment horizontal="center" vertical="top"/>
    </xf>
    <xf numFmtId="166" fontId="15" fillId="7" borderId="0" xfId="0" applyNumberFormat="1" applyFont="1" applyFill="1" applyBorder="1" applyAlignment="1">
      <alignment horizontal="center" vertical="top" wrapText="1"/>
    </xf>
    <xf numFmtId="0" fontId="0" fillId="7" borderId="49" xfId="0" applyFill="1" applyBorder="1" applyAlignment="1">
      <alignment horizontal="left" vertical="top" wrapText="1"/>
    </xf>
    <xf numFmtId="0" fontId="0" fillId="0" borderId="35" xfId="0" applyFill="1" applyBorder="1" applyAlignment="1">
      <alignment horizontal="left" vertical="top" wrapText="1"/>
    </xf>
    <xf numFmtId="166" fontId="3" fillId="7" borderId="20" xfId="0" applyNumberFormat="1" applyFont="1" applyFill="1" applyBorder="1" applyAlignment="1">
      <alignment horizontal="center" vertical="top" wrapText="1"/>
    </xf>
    <xf numFmtId="166" fontId="3" fillId="7" borderId="39" xfId="0" applyNumberFormat="1" applyFont="1" applyFill="1" applyBorder="1" applyAlignment="1">
      <alignment horizontal="center" vertical="top" wrapText="1"/>
    </xf>
    <xf numFmtId="166" fontId="15" fillId="7" borderId="20" xfId="0" applyNumberFormat="1" applyFont="1" applyFill="1" applyBorder="1" applyAlignment="1">
      <alignment horizontal="center" vertical="top" wrapText="1"/>
    </xf>
    <xf numFmtId="166" fontId="15" fillId="7" borderId="61" xfId="0" applyNumberFormat="1" applyFont="1" applyFill="1" applyBorder="1" applyAlignment="1">
      <alignment horizontal="center" vertical="top" wrapText="1"/>
    </xf>
    <xf numFmtId="0" fontId="31" fillId="7" borderId="46" xfId="0" applyFont="1" applyFill="1" applyBorder="1" applyAlignment="1">
      <alignment vertical="top" wrapText="1"/>
    </xf>
    <xf numFmtId="166" fontId="3" fillId="7" borderId="77" xfId="0" applyNumberFormat="1" applyFont="1" applyFill="1" applyBorder="1" applyAlignment="1">
      <alignment horizontal="right" vertical="top" wrapText="1"/>
    </xf>
    <xf numFmtId="166" fontId="3" fillId="7" borderId="28" xfId="0" applyNumberFormat="1" applyFont="1" applyFill="1" applyBorder="1" applyAlignment="1">
      <alignment horizontal="right" vertical="top" wrapText="1"/>
    </xf>
    <xf numFmtId="166" fontId="3" fillId="7" borderId="66" xfId="0" applyNumberFormat="1" applyFont="1" applyFill="1" applyBorder="1" applyAlignment="1">
      <alignment horizontal="right" vertical="top" wrapText="1"/>
    </xf>
    <xf numFmtId="166" fontId="3" fillId="7" borderId="54" xfId="0" applyNumberFormat="1" applyFont="1" applyFill="1" applyBorder="1" applyAlignment="1">
      <alignment horizontal="right" vertical="top" wrapText="1"/>
    </xf>
    <xf numFmtId="0" fontId="31" fillId="7" borderId="19" xfId="0" applyFont="1" applyFill="1" applyBorder="1" applyAlignment="1">
      <alignment vertical="top" wrapText="1"/>
    </xf>
    <xf numFmtId="3" fontId="15" fillId="3" borderId="20" xfId="0" applyNumberFormat="1" applyFont="1" applyFill="1" applyBorder="1" applyAlignment="1">
      <alignment horizontal="center" vertical="top" wrapText="1"/>
    </xf>
    <xf numFmtId="166" fontId="33" fillId="7" borderId="20" xfId="0" applyNumberFormat="1" applyFont="1" applyFill="1" applyBorder="1" applyAlignment="1">
      <alignment horizontal="center" vertical="center" wrapText="1"/>
    </xf>
    <xf numFmtId="166" fontId="37" fillId="7" borderId="28" xfId="0" applyNumberFormat="1" applyFont="1" applyFill="1" applyBorder="1" applyAlignment="1">
      <alignment horizontal="center" vertical="center" wrapText="1"/>
    </xf>
    <xf numFmtId="166" fontId="33" fillId="7" borderId="11" xfId="0" applyNumberFormat="1" applyFont="1" applyFill="1" applyBorder="1" applyAlignment="1">
      <alignment horizontal="center" vertical="center" wrapText="1"/>
    </xf>
    <xf numFmtId="166" fontId="37" fillId="7" borderId="11" xfId="0" applyNumberFormat="1" applyFont="1" applyFill="1" applyBorder="1" applyAlignment="1">
      <alignment horizontal="center" vertical="center" wrapText="1"/>
    </xf>
    <xf numFmtId="166" fontId="3" fillId="7" borderId="48" xfId="0" applyNumberFormat="1" applyFont="1" applyFill="1" applyBorder="1" applyAlignment="1">
      <alignment horizontal="center" vertical="center" wrapText="1"/>
    </xf>
    <xf numFmtId="166" fontId="15" fillId="7" borderId="46" xfId="0" applyNumberFormat="1" applyFont="1" applyFill="1" applyBorder="1" applyAlignment="1">
      <alignment vertical="top" wrapText="1"/>
    </xf>
    <xf numFmtId="0" fontId="15" fillId="0" borderId="48" xfId="0" applyFont="1" applyBorder="1" applyAlignment="1">
      <alignment horizontal="left" vertical="top" wrapText="1"/>
    </xf>
    <xf numFmtId="166" fontId="4" fillId="5" borderId="16" xfId="0" applyNumberFormat="1" applyFont="1" applyFill="1" applyBorder="1" applyAlignment="1">
      <alignment horizontal="center" vertical="top"/>
    </xf>
    <xf numFmtId="166" fontId="4" fillId="8" borderId="16" xfId="0" applyNumberFormat="1" applyFont="1" applyFill="1" applyBorder="1" applyAlignment="1">
      <alignment horizontal="center" vertical="top"/>
    </xf>
    <xf numFmtId="166" fontId="3" fillId="7" borderId="16" xfId="0" applyNumberFormat="1" applyFont="1" applyFill="1" applyBorder="1" applyAlignment="1">
      <alignment horizontal="center" vertical="top"/>
    </xf>
    <xf numFmtId="166" fontId="3" fillId="7" borderId="17" xfId="0" applyNumberFormat="1" applyFont="1" applyFill="1" applyBorder="1" applyAlignment="1">
      <alignment horizontal="center" vertical="top"/>
    </xf>
    <xf numFmtId="166" fontId="3" fillId="8" borderId="16" xfId="0" applyNumberFormat="1" applyFont="1" applyFill="1" applyBorder="1" applyAlignment="1">
      <alignment horizontal="center" vertical="top"/>
    </xf>
    <xf numFmtId="166" fontId="4" fillId="11" borderId="9" xfId="0" applyNumberFormat="1" applyFont="1" applyFill="1" applyBorder="1" applyAlignment="1">
      <alignment horizontal="center" vertical="top"/>
    </xf>
    <xf numFmtId="166" fontId="4" fillId="8" borderId="17" xfId="0" applyNumberFormat="1" applyFont="1" applyFill="1" applyBorder="1" applyAlignment="1">
      <alignment horizontal="center" vertical="top"/>
    </xf>
    <xf numFmtId="166" fontId="3" fillId="0" borderId="0" xfId="0" applyNumberFormat="1" applyFont="1" applyAlignment="1">
      <alignment horizontal="left" vertical="top" wrapText="1"/>
    </xf>
    <xf numFmtId="0" fontId="4" fillId="0" borderId="0" xfId="0" applyNumberFormat="1" applyFont="1" applyFill="1" applyAlignment="1">
      <alignment horizontal="center" vertical="top"/>
    </xf>
    <xf numFmtId="0" fontId="3" fillId="0" borderId="0" xfId="0" applyFont="1" applyAlignment="1">
      <alignment horizontal="left" vertical="top" wrapText="1"/>
    </xf>
    <xf numFmtId="0" fontId="0" fillId="0" borderId="0" xfId="0" applyAlignment="1">
      <alignment horizontal="left" vertical="top" wrapText="1"/>
    </xf>
    <xf numFmtId="3" fontId="3" fillId="0" borderId="0" xfId="0" applyNumberFormat="1" applyFont="1" applyFill="1" applyBorder="1" applyAlignment="1">
      <alignment horizontal="left" vertical="top" wrapText="1"/>
    </xf>
    <xf numFmtId="0" fontId="9" fillId="0" borderId="0" xfId="0" applyFont="1" applyAlignment="1">
      <alignment horizontal="left" vertical="top"/>
    </xf>
    <xf numFmtId="0" fontId="0" fillId="0" borderId="52" xfId="0" applyFill="1" applyBorder="1" applyAlignment="1">
      <alignment horizontal="left" vertical="top" wrapText="1"/>
    </xf>
    <xf numFmtId="0" fontId="0" fillId="0" borderId="0" xfId="0" applyFill="1" applyAlignment="1">
      <alignment horizontal="left" vertical="top" wrapText="1"/>
    </xf>
    <xf numFmtId="166" fontId="9" fillId="0" borderId="0" xfId="0" applyNumberFormat="1" applyFont="1" applyFill="1" applyAlignment="1">
      <alignment horizontal="left" vertical="top" wrapText="1"/>
    </xf>
    <xf numFmtId="3" fontId="3" fillId="0" borderId="0" xfId="0" applyNumberFormat="1" applyFont="1" applyFill="1" applyBorder="1" applyAlignment="1">
      <alignment vertical="top"/>
    </xf>
    <xf numFmtId="0" fontId="9" fillId="0" borderId="0" xfId="0" applyFont="1" applyFill="1"/>
    <xf numFmtId="165" fontId="3" fillId="0" borderId="0" xfId="0" applyNumberFormat="1" applyFont="1" applyFill="1" applyBorder="1" applyAlignment="1">
      <alignment vertical="top"/>
    </xf>
    <xf numFmtId="164" fontId="3" fillId="0" borderId="0" xfId="1" applyFont="1" applyFill="1" applyBorder="1" applyAlignment="1">
      <alignment vertical="top"/>
    </xf>
    <xf numFmtId="166" fontId="3" fillId="0" borderId="0" xfId="0" applyNumberFormat="1" applyFont="1" applyFill="1" applyBorder="1" applyAlignment="1">
      <alignment vertical="top"/>
    </xf>
    <xf numFmtId="0" fontId="35" fillId="0" borderId="0" xfId="0" applyFont="1" applyFill="1" applyAlignment="1">
      <alignment horizontal="justify" vertical="center"/>
    </xf>
    <xf numFmtId="166" fontId="3" fillId="0" borderId="0" xfId="0" applyNumberFormat="1" applyFont="1" applyFill="1" applyAlignment="1">
      <alignment vertical="top"/>
    </xf>
    <xf numFmtId="166" fontId="15" fillId="0" borderId="0" xfId="0" applyNumberFormat="1" applyFont="1" applyFill="1" applyAlignment="1">
      <alignment vertical="top"/>
    </xf>
    <xf numFmtId="3" fontId="3" fillId="0" borderId="28" xfId="0" applyNumberFormat="1" applyFont="1" applyFill="1" applyBorder="1" applyAlignment="1">
      <alignment horizontal="center" vertical="top"/>
    </xf>
    <xf numFmtId="3" fontId="3" fillId="7" borderId="47"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3" fontId="3" fillId="0" borderId="35"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49" fontId="4" fillId="7" borderId="11" xfId="0" applyNumberFormat="1" applyFont="1" applyFill="1" applyBorder="1" applyAlignment="1">
      <alignment horizontal="center" vertical="top"/>
    </xf>
    <xf numFmtId="166" fontId="3" fillId="2" borderId="73" xfId="0" applyNumberFormat="1" applyFont="1" applyFill="1" applyBorder="1" applyAlignment="1">
      <alignment horizontal="center" vertical="top" wrapText="1"/>
    </xf>
    <xf numFmtId="0" fontId="0" fillId="0" borderId="7" xfId="0" applyBorder="1" applyAlignment="1">
      <alignment horizontal="left" vertical="top" wrapText="1"/>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166" fontId="9" fillId="7" borderId="35"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3" fontId="3" fillId="0" borderId="21"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0" fontId="0" fillId="0" borderId="29" xfId="0" applyBorder="1" applyAlignment="1">
      <alignment horizontal="left" vertical="top" wrapText="1"/>
    </xf>
    <xf numFmtId="166" fontId="25" fillId="7" borderId="7" xfId="0" applyNumberFormat="1" applyFont="1" applyFill="1" applyBorder="1" applyAlignment="1">
      <alignment horizontal="left" vertical="top" wrapText="1"/>
    </xf>
    <xf numFmtId="3" fontId="3" fillId="7" borderId="47" xfId="0" applyNumberFormat="1" applyFont="1" applyFill="1" applyBorder="1" applyAlignment="1">
      <alignment horizontal="center" vertical="top"/>
    </xf>
    <xf numFmtId="3" fontId="15" fillId="7" borderId="11" xfId="0" applyNumberFormat="1" applyFont="1" applyFill="1" applyBorder="1" applyAlignment="1">
      <alignment horizontal="center" vertical="top" wrapText="1"/>
    </xf>
    <xf numFmtId="3" fontId="3" fillId="7" borderId="18" xfId="0" applyNumberFormat="1" applyFont="1" applyFill="1" applyBorder="1" applyAlignment="1">
      <alignment horizontal="center" vertical="top"/>
    </xf>
    <xf numFmtId="3" fontId="3" fillId="0" borderId="47"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3" fillId="0" borderId="18" xfId="0" applyNumberFormat="1" applyFont="1" applyFill="1" applyBorder="1" applyAlignment="1">
      <alignment horizontal="center" vertical="top"/>
    </xf>
    <xf numFmtId="3" fontId="15" fillId="7" borderId="20" xfId="0" applyNumberFormat="1" applyFont="1" applyFill="1" applyBorder="1" applyAlignment="1">
      <alignment horizontal="center" vertical="top" wrapText="1"/>
    </xf>
    <xf numFmtId="3" fontId="25" fillId="7" borderId="18" xfId="0" applyNumberFormat="1" applyFont="1" applyFill="1" applyBorder="1" applyAlignment="1">
      <alignment horizontal="center" vertical="top" wrapText="1"/>
    </xf>
    <xf numFmtId="166" fontId="3" fillId="7" borderId="18" xfId="0" applyNumberFormat="1" applyFont="1" applyFill="1" applyBorder="1" applyAlignment="1">
      <alignment horizontal="center" vertical="top" wrapText="1"/>
    </xf>
    <xf numFmtId="3" fontId="3" fillId="7" borderId="21" xfId="0" applyNumberFormat="1" applyFont="1" applyFill="1" applyBorder="1" applyAlignment="1">
      <alignment horizontal="center" vertical="top" wrapText="1"/>
    </xf>
    <xf numFmtId="166" fontId="4" fillId="8" borderId="11" xfId="0" applyNumberFormat="1" applyFont="1" applyFill="1" applyBorder="1" applyAlignment="1">
      <alignment horizontal="center" vertical="top"/>
    </xf>
    <xf numFmtId="49" fontId="4" fillId="7" borderId="20" xfId="0" applyNumberFormat="1" applyFont="1" applyFill="1" applyBorder="1" applyAlignment="1">
      <alignment horizontal="center" vertical="top"/>
    </xf>
    <xf numFmtId="49" fontId="4" fillId="7" borderId="28" xfId="0" applyNumberFormat="1" applyFont="1" applyFill="1" applyBorder="1" applyAlignment="1">
      <alignment horizontal="center" vertical="top"/>
    </xf>
    <xf numFmtId="166" fontId="3" fillId="7" borderId="111" xfId="0" applyNumberFormat="1" applyFont="1" applyFill="1" applyBorder="1" applyAlignment="1">
      <alignment horizontal="center" vertical="top" wrapText="1"/>
    </xf>
    <xf numFmtId="166" fontId="9" fillId="7" borderId="18" xfId="0" applyNumberFormat="1" applyFont="1" applyFill="1" applyBorder="1" applyAlignment="1">
      <alignment horizontal="center" vertical="top" wrapText="1"/>
    </xf>
    <xf numFmtId="0" fontId="14" fillId="0" borderId="11" xfId="0" applyFont="1" applyBorder="1" applyAlignment="1">
      <alignment horizontal="center" vertical="top" textRotation="90"/>
    </xf>
    <xf numFmtId="166" fontId="3" fillId="2" borderId="32" xfId="0" applyNumberFormat="1" applyFont="1" applyFill="1" applyBorder="1" applyAlignment="1">
      <alignment horizontal="center" vertical="top" wrapText="1"/>
    </xf>
    <xf numFmtId="166" fontId="20" fillId="7" borderId="18" xfId="0" applyNumberFormat="1" applyFont="1" applyFill="1" applyBorder="1" applyAlignment="1">
      <alignment horizontal="center" vertical="center" wrapText="1"/>
    </xf>
    <xf numFmtId="166" fontId="4" fillId="7" borderId="28" xfId="0" applyNumberFormat="1" applyFont="1" applyFill="1" applyBorder="1" applyAlignment="1">
      <alignment horizontal="center" vertical="top"/>
    </xf>
    <xf numFmtId="166" fontId="4" fillId="4" borderId="74" xfId="0" applyNumberFormat="1" applyFont="1" applyFill="1" applyBorder="1" applyAlignment="1">
      <alignment horizontal="center" vertical="top" wrapText="1"/>
    </xf>
    <xf numFmtId="3" fontId="4" fillId="0" borderId="70" xfId="0" applyNumberFormat="1" applyFont="1" applyBorder="1" applyAlignment="1">
      <alignment horizontal="center" vertical="center" wrapText="1"/>
    </xf>
    <xf numFmtId="166" fontId="4" fillId="5" borderId="70" xfId="0" applyNumberFormat="1" applyFont="1" applyFill="1" applyBorder="1" applyAlignment="1">
      <alignment horizontal="center" vertical="top" wrapText="1"/>
    </xf>
    <xf numFmtId="166" fontId="4" fillId="8" borderId="69" xfId="0" applyNumberFormat="1" applyFont="1" applyFill="1" applyBorder="1" applyAlignment="1">
      <alignment horizontal="center" vertical="top" wrapText="1"/>
    </xf>
    <xf numFmtId="166" fontId="3" fillId="7" borderId="69" xfId="0" applyNumberFormat="1" applyFont="1" applyFill="1" applyBorder="1" applyAlignment="1">
      <alignment horizontal="center" vertical="top" wrapText="1"/>
    </xf>
    <xf numFmtId="166" fontId="3" fillId="0" borderId="69" xfId="0" applyNumberFormat="1" applyFont="1" applyBorder="1" applyAlignment="1">
      <alignment horizontal="center" vertical="top" wrapText="1"/>
    </xf>
    <xf numFmtId="166" fontId="3" fillId="8" borderId="69"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3" fontId="3" fillId="7" borderId="21" xfId="0" applyNumberFormat="1" applyFont="1" applyFill="1" applyBorder="1" applyAlignment="1">
      <alignment horizontal="center" vertical="top"/>
    </xf>
    <xf numFmtId="3" fontId="3" fillId="7" borderId="83" xfId="0" applyNumberFormat="1" applyFont="1" applyFill="1" applyBorder="1" applyAlignment="1">
      <alignment horizontal="center" vertical="top"/>
    </xf>
    <xf numFmtId="0" fontId="3" fillId="0" borderId="77" xfId="0" applyFont="1" applyBorder="1" applyAlignment="1">
      <alignment vertical="top"/>
    </xf>
    <xf numFmtId="3" fontId="3" fillId="0" borderId="75" xfId="0" applyNumberFormat="1" applyFont="1" applyFill="1" applyBorder="1" applyAlignment="1">
      <alignment horizontal="center" vertical="top" wrapText="1"/>
    </xf>
    <xf numFmtId="3" fontId="3" fillId="3" borderId="61" xfId="0" applyNumberFormat="1" applyFont="1" applyFill="1" applyBorder="1" applyAlignment="1">
      <alignment horizontal="center" vertical="top" wrapText="1"/>
    </xf>
    <xf numFmtId="166" fontId="3" fillId="0" borderId="75" xfId="0" applyNumberFormat="1" applyFont="1" applyBorder="1" applyAlignment="1">
      <alignment vertical="top"/>
    </xf>
    <xf numFmtId="3" fontId="3" fillId="7" borderId="52" xfId="0" applyNumberFormat="1" applyFont="1" applyFill="1" applyBorder="1" applyAlignment="1">
      <alignment horizontal="center" vertical="top"/>
    </xf>
    <xf numFmtId="3" fontId="7" fillId="7" borderId="77" xfId="0" applyNumberFormat="1" applyFont="1" applyFill="1" applyBorder="1" applyAlignment="1">
      <alignment horizontal="center" vertical="top" wrapText="1"/>
    </xf>
    <xf numFmtId="166" fontId="3" fillId="8" borderId="32" xfId="0" applyNumberFormat="1" applyFont="1" applyFill="1" applyBorder="1" applyAlignment="1">
      <alignment horizontal="center" vertical="top"/>
    </xf>
    <xf numFmtId="166" fontId="3" fillId="0" borderId="66" xfId="0" applyNumberFormat="1" applyFont="1" applyFill="1" applyBorder="1" applyAlignment="1">
      <alignment horizontal="center" vertical="top" wrapText="1"/>
    </xf>
    <xf numFmtId="166" fontId="3" fillId="0" borderId="66" xfId="0" applyNumberFormat="1" applyFont="1" applyFill="1" applyBorder="1" applyAlignment="1">
      <alignment horizontal="center" vertical="top"/>
    </xf>
    <xf numFmtId="166" fontId="3" fillId="0" borderId="66" xfId="1" applyNumberFormat="1" applyFont="1" applyFill="1" applyBorder="1" applyAlignment="1">
      <alignment horizontal="center" vertical="top" wrapText="1"/>
    </xf>
    <xf numFmtId="166" fontId="3" fillId="7" borderId="6" xfId="0" applyNumberFormat="1" applyFont="1" applyFill="1" applyBorder="1" applyAlignment="1">
      <alignment horizontal="center" vertical="center" wrapText="1"/>
    </xf>
    <xf numFmtId="0" fontId="3" fillId="0" borderId="17" xfId="0" applyFont="1" applyBorder="1" applyAlignment="1">
      <alignment vertical="top"/>
    </xf>
    <xf numFmtId="3" fontId="25" fillId="7" borderId="21" xfId="0" applyNumberFormat="1" applyFont="1" applyFill="1" applyBorder="1" applyAlignment="1">
      <alignment horizontal="center" vertical="top" wrapText="1"/>
    </xf>
    <xf numFmtId="3" fontId="25" fillId="7" borderId="27" xfId="0" applyNumberFormat="1" applyFont="1" applyFill="1" applyBorder="1" applyAlignment="1">
      <alignment horizontal="center" vertical="top" wrapText="1"/>
    </xf>
    <xf numFmtId="3" fontId="3" fillId="0" borderId="15" xfId="0" applyNumberFormat="1" applyFont="1" applyFill="1" applyBorder="1" applyAlignment="1">
      <alignment horizontal="center" vertical="top"/>
    </xf>
    <xf numFmtId="3" fontId="25" fillId="7" borderId="21" xfId="0" applyNumberFormat="1" applyFont="1" applyFill="1" applyBorder="1" applyAlignment="1">
      <alignment horizontal="center" vertical="top"/>
    </xf>
    <xf numFmtId="3" fontId="3" fillId="3" borderId="21" xfId="0" applyNumberFormat="1" applyFont="1" applyFill="1" applyBorder="1" applyAlignment="1">
      <alignment horizontal="center" vertical="top" wrapText="1"/>
    </xf>
    <xf numFmtId="0" fontId="38" fillId="0" borderId="10" xfId="0" applyFont="1" applyBorder="1" applyAlignment="1">
      <alignment horizontal="center" vertical="center" wrapText="1"/>
    </xf>
    <xf numFmtId="166" fontId="15" fillId="7" borderId="8" xfId="0" applyNumberFormat="1" applyFont="1" applyFill="1" applyBorder="1" applyAlignment="1">
      <alignment horizontal="center" vertical="top"/>
    </xf>
    <xf numFmtId="166" fontId="15" fillId="7" borderId="6" xfId="0" applyNumberFormat="1" applyFont="1" applyFill="1" applyBorder="1" applyAlignment="1">
      <alignment horizontal="center" vertical="top" wrapText="1"/>
    </xf>
    <xf numFmtId="166" fontId="15" fillId="7" borderId="8" xfId="0" applyNumberFormat="1" applyFont="1" applyFill="1" applyBorder="1" applyAlignment="1">
      <alignment horizontal="center" vertical="top" wrapText="1"/>
    </xf>
    <xf numFmtId="3" fontId="15" fillId="7" borderId="11" xfId="0" applyNumberFormat="1" applyFont="1" applyFill="1" applyBorder="1" applyAlignment="1">
      <alignment horizontal="center" vertical="top"/>
    </xf>
    <xf numFmtId="3" fontId="15" fillId="7" borderId="20" xfId="0" applyNumberFormat="1" applyFont="1" applyFill="1" applyBorder="1" applyAlignment="1">
      <alignment horizontal="center" vertical="top"/>
    </xf>
    <xf numFmtId="166" fontId="25" fillId="7" borderId="34" xfId="0" applyNumberFormat="1" applyFont="1" applyFill="1" applyBorder="1" applyAlignment="1">
      <alignment horizontal="left" vertical="top" wrapText="1"/>
    </xf>
    <xf numFmtId="0" fontId="15" fillId="10" borderId="23" xfId="0" applyFont="1" applyFill="1" applyBorder="1" applyAlignment="1">
      <alignment horizontal="center" vertical="center"/>
    </xf>
    <xf numFmtId="3" fontId="20" fillId="3" borderId="11" xfId="0" applyNumberFormat="1" applyFont="1" applyFill="1" applyBorder="1" applyAlignment="1">
      <alignment horizontal="center" vertical="top" wrapText="1"/>
    </xf>
    <xf numFmtId="3" fontId="3" fillId="3" borderId="11" xfId="0" applyNumberFormat="1" applyFont="1" applyFill="1" applyBorder="1" applyAlignment="1">
      <alignment horizontal="center" vertical="top" wrapText="1"/>
    </xf>
    <xf numFmtId="0" fontId="3" fillId="7" borderId="34" xfId="0" applyFont="1" applyFill="1" applyBorder="1" applyAlignment="1">
      <alignment horizontal="center" vertical="center"/>
    </xf>
    <xf numFmtId="166" fontId="15" fillId="10" borderId="6" xfId="0" applyNumberFormat="1" applyFont="1" applyFill="1" applyBorder="1" applyAlignment="1">
      <alignment horizontal="center" vertical="center"/>
    </xf>
    <xf numFmtId="3" fontId="3" fillId="3" borderId="18" xfId="0" applyNumberFormat="1" applyFont="1" applyFill="1" applyBorder="1" applyAlignment="1">
      <alignment horizontal="center" vertical="top" wrapText="1"/>
    </xf>
    <xf numFmtId="166" fontId="15" fillId="7" borderId="23" xfId="0" applyNumberFormat="1" applyFont="1" applyFill="1" applyBorder="1" applyAlignment="1">
      <alignment horizontal="center" vertical="top"/>
    </xf>
    <xf numFmtId="3" fontId="25" fillId="7" borderId="35" xfId="0" applyNumberFormat="1" applyFont="1" applyFill="1" applyBorder="1" applyAlignment="1">
      <alignment horizontal="center" vertical="top"/>
    </xf>
    <xf numFmtId="3" fontId="3" fillId="0" borderId="49" xfId="0" applyNumberFormat="1" applyFont="1" applyFill="1" applyBorder="1" applyAlignment="1">
      <alignment horizontal="center" vertical="top"/>
    </xf>
    <xf numFmtId="166" fontId="3" fillId="0" borderId="15" xfId="0" applyNumberFormat="1" applyFont="1" applyBorder="1" applyAlignment="1">
      <alignment vertical="top"/>
    </xf>
    <xf numFmtId="166" fontId="3" fillId="0" borderId="88" xfId="0" applyNumberFormat="1" applyFont="1" applyFill="1" applyBorder="1" applyAlignment="1">
      <alignment horizontal="center" vertical="top"/>
    </xf>
    <xf numFmtId="166" fontId="3" fillId="7" borderId="53" xfId="0" applyNumberFormat="1" applyFont="1" applyFill="1" applyBorder="1" applyAlignment="1">
      <alignment vertical="top" wrapText="1"/>
    </xf>
    <xf numFmtId="3" fontId="7" fillId="0" borderId="96" xfId="0" applyNumberFormat="1" applyFont="1" applyFill="1" applyBorder="1" applyAlignment="1">
      <alignment horizontal="center" vertical="top"/>
    </xf>
    <xf numFmtId="3" fontId="7" fillId="0" borderId="114" xfId="0" applyNumberFormat="1" applyFont="1" applyFill="1" applyBorder="1" applyAlignment="1">
      <alignment horizontal="center" vertical="top"/>
    </xf>
    <xf numFmtId="3" fontId="7" fillId="7" borderId="114" xfId="0" applyNumberFormat="1" applyFont="1" applyFill="1" applyBorder="1" applyAlignment="1">
      <alignment horizontal="center" vertical="top"/>
    </xf>
    <xf numFmtId="3" fontId="7" fillId="7" borderId="102" xfId="0" applyNumberFormat="1" applyFont="1" applyFill="1" applyBorder="1" applyAlignment="1">
      <alignment horizontal="center" vertical="top"/>
    </xf>
    <xf numFmtId="3" fontId="7" fillId="7" borderId="27" xfId="0" applyNumberFormat="1" applyFont="1" applyFill="1" applyBorder="1" applyAlignment="1">
      <alignment horizontal="center" vertical="top" wrapText="1"/>
    </xf>
    <xf numFmtId="166" fontId="20" fillId="7" borderId="46" xfId="0" applyNumberFormat="1" applyFont="1" applyFill="1" applyBorder="1" applyAlignment="1">
      <alignment horizontal="center" vertical="center" textRotation="90" wrapText="1"/>
    </xf>
    <xf numFmtId="166" fontId="3" fillId="7" borderId="126" xfId="0" applyNumberFormat="1" applyFont="1" applyFill="1" applyBorder="1" applyAlignment="1">
      <alignment horizontal="center" vertical="top"/>
    </xf>
    <xf numFmtId="166" fontId="3" fillId="7" borderId="127" xfId="0" applyNumberFormat="1" applyFont="1" applyFill="1" applyBorder="1" applyAlignment="1">
      <alignment horizontal="center" vertical="top"/>
    </xf>
    <xf numFmtId="0" fontId="3" fillId="7" borderId="90" xfId="0" applyFont="1" applyFill="1" applyBorder="1" applyAlignment="1">
      <alignment vertical="top" wrapText="1"/>
    </xf>
    <xf numFmtId="0" fontId="3" fillId="7" borderId="81" xfId="0" applyFont="1" applyFill="1" applyBorder="1" applyAlignment="1">
      <alignment vertical="top" wrapText="1"/>
    </xf>
    <xf numFmtId="0" fontId="3" fillId="7" borderId="107" xfId="0" applyFont="1" applyFill="1" applyBorder="1" applyAlignment="1">
      <alignment vertical="top" wrapText="1"/>
    </xf>
    <xf numFmtId="166" fontId="15" fillId="0" borderId="23" xfId="0" applyNumberFormat="1" applyFont="1" applyBorder="1" applyAlignment="1">
      <alignment horizontal="center" vertical="top"/>
    </xf>
    <xf numFmtId="3" fontId="15" fillId="7" borderId="47" xfId="0" applyNumberFormat="1" applyFont="1" applyFill="1" applyBorder="1" applyAlignment="1">
      <alignment horizontal="center" vertical="top" wrapText="1"/>
    </xf>
    <xf numFmtId="3" fontId="15" fillId="0" borderId="47" xfId="0" applyNumberFormat="1" applyFont="1" applyFill="1" applyBorder="1" applyAlignment="1">
      <alignment horizontal="center" vertical="top"/>
    </xf>
    <xf numFmtId="3" fontId="15" fillId="0" borderId="21" xfId="0" applyNumberFormat="1" applyFont="1" applyFill="1" applyBorder="1" applyAlignment="1">
      <alignment horizontal="center" vertical="top"/>
    </xf>
    <xf numFmtId="3" fontId="15" fillId="0" borderId="20" xfId="0" applyNumberFormat="1" applyFont="1" applyFill="1" applyBorder="1" applyAlignment="1">
      <alignment horizontal="center" vertical="top"/>
    </xf>
    <xf numFmtId="166" fontId="3" fillId="0" borderId="26" xfId="0" applyNumberFormat="1" applyFont="1" applyFill="1" applyBorder="1" applyAlignment="1">
      <alignment horizontal="center" vertical="top"/>
    </xf>
    <xf numFmtId="166" fontId="3" fillId="0" borderId="21" xfId="0" applyNumberFormat="1" applyFont="1" applyFill="1" applyBorder="1" applyAlignment="1">
      <alignment horizontal="center" vertical="top"/>
    </xf>
    <xf numFmtId="49" fontId="3" fillId="0" borderId="88" xfId="0" applyNumberFormat="1" applyFont="1" applyFill="1" applyBorder="1" applyAlignment="1">
      <alignment horizontal="center" vertical="top"/>
    </xf>
    <xf numFmtId="166" fontId="3" fillId="0" borderId="103" xfId="0" applyNumberFormat="1" applyFont="1" applyFill="1" applyBorder="1" applyAlignment="1">
      <alignment horizontal="center" vertical="top"/>
    </xf>
    <xf numFmtId="166" fontId="3" fillId="8" borderId="63" xfId="0" applyNumberFormat="1" applyFont="1" applyFill="1" applyBorder="1" applyAlignment="1">
      <alignment horizontal="center" vertical="top"/>
    </xf>
    <xf numFmtId="166" fontId="15" fillId="3" borderId="23" xfId="0" applyNumberFormat="1" applyFont="1" applyFill="1" applyBorder="1" applyAlignment="1">
      <alignment horizontal="center" vertical="top"/>
    </xf>
    <xf numFmtId="166" fontId="3" fillId="7" borderId="23" xfId="0" applyNumberFormat="1" applyFont="1" applyFill="1" applyBorder="1" applyAlignment="1">
      <alignment horizontal="center" vertical="center"/>
    </xf>
    <xf numFmtId="0" fontId="3" fillId="7" borderId="81" xfId="0" applyFont="1" applyFill="1" applyBorder="1" applyAlignment="1">
      <alignment wrapText="1"/>
    </xf>
    <xf numFmtId="1" fontId="3" fillId="7" borderId="82" xfId="0" applyNumberFormat="1" applyFont="1" applyFill="1" applyBorder="1" applyAlignment="1">
      <alignment horizontal="center" vertical="top"/>
    </xf>
    <xf numFmtId="166" fontId="3" fillId="7" borderId="8" xfId="0" applyNumberFormat="1" applyFont="1" applyFill="1" applyBorder="1" applyAlignment="1">
      <alignment horizontal="center" vertical="center"/>
    </xf>
    <xf numFmtId="3" fontId="3" fillId="7" borderId="18"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3" fillId="0" borderId="0" xfId="0" applyNumberFormat="1" applyFont="1" applyBorder="1" applyAlignment="1">
      <alignment vertical="top" wrapText="1"/>
    </xf>
    <xf numFmtId="166" fontId="15" fillId="7" borderId="30" xfId="0" applyNumberFormat="1" applyFont="1" applyFill="1" applyBorder="1" applyAlignment="1">
      <alignment vertical="top" wrapText="1"/>
    </xf>
    <xf numFmtId="0" fontId="15" fillId="0" borderId="0" xfId="0" applyFont="1" applyBorder="1" applyAlignment="1">
      <alignment vertical="top"/>
    </xf>
    <xf numFmtId="0" fontId="4" fillId="0" borderId="0" xfId="0" applyFont="1" applyAlignment="1">
      <alignment horizontal="justify" vertical="center"/>
    </xf>
    <xf numFmtId="0" fontId="3" fillId="0" borderId="0" xfId="0" applyFont="1" applyBorder="1" applyAlignment="1">
      <alignment horizontal="left" vertical="top"/>
    </xf>
    <xf numFmtId="166" fontId="3" fillId="7" borderId="37" xfId="0" applyNumberFormat="1" applyFont="1" applyFill="1" applyBorder="1" applyAlignment="1">
      <alignment vertical="top" wrapText="1"/>
    </xf>
    <xf numFmtId="3" fontId="3" fillId="7" borderId="47"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3" fontId="3" fillId="7" borderId="3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0" fontId="0" fillId="7" borderId="11" xfId="0"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35" xfId="0" applyNumberFormat="1" applyFont="1" applyFill="1" applyBorder="1" applyAlignment="1">
      <alignment horizontal="left" vertical="top" wrapText="1"/>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25" fillId="7" borderId="7" xfId="0" applyNumberFormat="1" applyFont="1" applyFill="1" applyBorder="1" applyAlignment="1">
      <alignment horizontal="left" vertical="top" wrapText="1"/>
    </xf>
    <xf numFmtId="166" fontId="25" fillId="7" borderId="37" xfId="0" applyNumberFormat="1" applyFont="1" applyFill="1" applyBorder="1" applyAlignment="1">
      <alignment horizontal="left" vertical="top" wrapText="1"/>
    </xf>
    <xf numFmtId="0" fontId="3" fillId="7" borderId="7" xfId="0" applyFont="1" applyFill="1" applyBorder="1" applyAlignment="1">
      <alignment horizontal="left" vertical="top" wrapText="1"/>
    </xf>
    <xf numFmtId="166" fontId="3" fillId="0" borderId="37" xfId="0" applyNumberFormat="1" applyFont="1" applyFill="1" applyBorder="1" applyAlignment="1">
      <alignment horizontal="left" vertical="top" wrapText="1"/>
    </xf>
    <xf numFmtId="166" fontId="3" fillId="0" borderId="29" xfId="0" applyNumberFormat="1" applyFont="1" applyFill="1" applyBorder="1" applyAlignment="1">
      <alignment horizontal="left" vertical="top" wrapText="1"/>
    </xf>
    <xf numFmtId="166" fontId="4" fillId="9" borderId="5"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3" fillId="7" borderId="7" xfId="0" applyNumberFormat="1" applyFont="1" applyFill="1" applyBorder="1" applyAlignment="1">
      <alignment horizontal="left" vertical="top" wrapText="1"/>
    </xf>
    <xf numFmtId="166" fontId="3" fillId="7" borderId="37"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xf>
    <xf numFmtId="0" fontId="0" fillId="7" borderId="7" xfId="0" applyFill="1" applyBorder="1" applyAlignment="1">
      <alignment horizontal="left" vertical="top" wrapText="1"/>
    </xf>
    <xf numFmtId="166" fontId="4" fillId="7" borderId="11" xfId="0" applyNumberFormat="1" applyFont="1" applyFill="1" applyBorder="1" applyAlignment="1">
      <alignment horizontal="center" vertical="center" wrapText="1"/>
    </xf>
    <xf numFmtId="3" fontId="3" fillId="7" borderId="11"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166" fontId="15" fillId="7" borderId="11" xfId="0" applyNumberFormat="1" applyFont="1" applyFill="1" applyBorder="1" applyAlignment="1">
      <alignment horizontal="center" vertical="top" wrapText="1"/>
    </xf>
    <xf numFmtId="166" fontId="15" fillId="7" borderId="44" xfId="0" applyNumberFormat="1" applyFont="1" applyFill="1" applyBorder="1" applyAlignment="1">
      <alignment horizontal="center" vertical="top" wrapText="1"/>
    </xf>
    <xf numFmtId="0" fontId="0" fillId="7" borderId="48" xfId="0" applyFill="1" applyBorder="1" applyAlignment="1">
      <alignment horizontal="left" vertical="top" wrapText="1"/>
    </xf>
    <xf numFmtId="166" fontId="3" fillId="7" borderId="97" xfId="0" applyNumberFormat="1" applyFont="1" applyFill="1" applyBorder="1" applyAlignment="1">
      <alignment horizontal="left" vertical="top" wrapText="1"/>
    </xf>
    <xf numFmtId="0" fontId="3" fillId="7" borderId="19" xfId="0" applyFont="1" applyFill="1" applyBorder="1" applyAlignment="1">
      <alignment horizontal="left" vertical="top" wrapText="1"/>
    </xf>
    <xf numFmtId="166" fontId="20" fillId="7" borderId="19" xfId="0" applyNumberFormat="1" applyFont="1" applyFill="1" applyBorder="1" applyAlignment="1">
      <alignment horizontal="left" vertical="top" wrapText="1"/>
    </xf>
    <xf numFmtId="166" fontId="3" fillId="7" borderId="28" xfId="0" applyNumberFormat="1" applyFont="1" applyFill="1" applyBorder="1" applyAlignment="1">
      <alignment horizontal="center" vertical="top" wrapText="1"/>
    </xf>
    <xf numFmtId="166" fontId="4" fillId="7" borderId="47" xfId="0" applyNumberFormat="1" applyFont="1" applyFill="1" applyBorder="1" applyAlignment="1">
      <alignment horizontal="center" vertical="top" wrapText="1"/>
    </xf>
    <xf numFmtId="166" fontId="8" fillId="7" borderId="14" xfId="0" applyNumberFormat="1" applyFont="1" applyFill="1" applyBorder="1" applyAlignment="1">
      <alignment horizontal="left" vertical="top" wrapText="1"/>
    </xf>
    <xf numFmtId="166" fontId="5" fillId="7" borderId="13" xfId="0" applyNumberFormat="1" applyFont="1" applyFill="1" applyBorder="1" applyAlignment="1">
      <alignment horizontal="center" vertical="center" textRotation="90" wrapText="1"/>
    </xf>
    <xf numFmtId="166" fontId="4" fillId="7" borderId="15" xfId="0" applyNumberFormat="1" applyFont="1" applyFill="1" applyBorder="1" applyAlignment="1">
      <alignment horizontal="center" vertical="top"/>
    </xf>
    <xf numFmtId="166" fontId="4" fillId="7" borderId="75" xfId="0" applyNumberFormat="1" applyFont="1" applyFill="1" applyBorder="1" applyAlignment="1">
      <alignment horizontal="center" vertical="top"/>
    </xf>
    <xf numFmtId="166" fontId="4" fillId="7" borderId="71" xfId="0" applyNumberFormat="1" applyFont="1" applyFill="1" applyBorder="1" applyAlignment="1">
      <alignment horizontal="center" vertical="top"/>
    </xf>
    <xf numFmtId="166" fontId="3" fillId="7" borderId="12" xfId="0" applyNumberFormat="1" applyFont="1" applyFill="1" applyBorder="1" applyAlignment="1">
      <alignment vertical="top" wrapText="1"/>
    </xf>
    <xf numFmtId="3" fontId="3" fillId="7" borderId="13" xfId="0" applyNumberFormat="1" applyFont="1" applyFill="1" applyBorder="1" applyAlignment="1">
      <alignment horizontal="center" vertical="top"/>
    </xf>
    <xf numFmtId="3" fontId="3" fillId="7" borderId="71" xfId="0" applyNumberFormat="1" applyFont="1" applyFill="1" applyBorder="1" applyAlignment="1">
      <alignment horizontal="center" vertical="top"/>
    </xf>
    <xf numFmtId="166" fontId="3" fillId="7" borderId="19" xfId="0" applyNumberFormat="1" applyFont="1" applyFill="1" applyBorder="1" applyAlignment="1">
      <alignment horizontal="center" vertical="center" textRotation="90" wrapText="1"/>
    </xf>
    <xf numFmtId="166" fontId="4" fillId="7" borderId="18"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166" fontId="3" fillId="7" borderId="37" xfId="0" applyNumberFormat="1" applyFont="1" applyFill="1" applyBorder="1" applyAlignment="1">
      <alignment horizontal="left" vertical="top" wrapText="1"/>
    </xf>
    <xf numFmtId="166" fontId="4" fillId="7" borderId="11" xfId="0" applyNumberFormat="1" applyFont="1" applyFill="1" applyBorder="1" applyAlignment="1">
      <alignment horizontal="center" vertical="center" wrapText="1"/>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166" fontId="4" fillId="9" borderId="5"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9" fillId="7" borderId="11" xfId="0" applyNumberFormat="1" applyFont="1" applyFill="1" applyBorder="1" applyAlignment="1">
      <alignment horizontal="center" vertical="center" textRotation="90" wrapText="1"/>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3" fillId="7" borderId="48" xfId="0" applyNumberFormat="1" applyFont="1" applyFill="1" applyBorder="1" applyAlignment="1">
      <alignment vertical="top" wrapText="1"/>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25" fillId="7" borderId="7" xfId="0" applyNumberFormat="1" applyFont="1" applyFill="1" applyBorder="1" applyAlignment="1">
      <alignment horizontal="left" vertical="top" wrapText="1"/>
    </xf>
    <xf numFmtId="166" fontId="4" fillId="9" borderId="34"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3" fillId="7" borderId="46" xfId="0" applyNumberFormat="1" applyFont="1" applyFill="1" applyBorder="1" applyAlignment="1">
      <alignment vertical="top" wrapText="1"/>
    </xf>
    <xf numFmtId="3" fontId="3" fillId="7" borderId="18" xfId="0" applyNumberFormat="1" applyFont="1" applyFill="1" applyBorder="1" applyAlignment="1">
      <alignment horizontal="center" vertical="top"/>
    </xf>
    <xf numFmtId="166" fontId="3" fillId="7" borderId="46" xfId="0" applyNumberFormat="1" applyFont="1" applyFill="1" applyBorder="1" applyAlignment="1">
      <alignment horizontal="left" vertical="top" wrapText="1"/>
    </xf>
    <xf numFmtId="166" fontId="3" fillId="7" borderId="48" xfId="0" applyNumberFormat="1" applyFont="1" applyFill="1" applyBorder="1" applyAlignment="1">
      <alignment horizontal="left" vertical="top" wrapText="1"/>
    </xf>
    <xf numFmtId="0" fontId="25" fillId="7" borderId="46" xfId="0" applyFont="1" applyFill="1" applyBorder="1" applyAlignment="1">
      <alignment vertical="top" wrapText="1"/>
    </xf>
    <xf numFmtId="166" fontId="25" fillId="7" borderId="48" xfId="0" applyNumberFormat="1" applyFont="1" applyFill="1" applyBorder="1" applyAlignment="1">
      <alignment horizontal="left" vertical="top" wrapText="1"/>
    </xf>
    <xf numFmtId="3" fontId="3" fillId="0" borderId="18"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center" wrapText="1"/>
    </xf>
    <xf numFmtId="3" fontId="3" fillId="7" borderId="46" xfId="0" applyNumberFormat="1" applyFont="1" applyFill="1" applyBorder="1" applyAlignment="1">
      <alignment horizontal="center" vertical="top"/>
    </xf>
    <xf numFmtId="166" fontId="20" fillId="7" borderId="11" xfId="0" applyNumberFormat="1" applyFont="1" applyFill="1" applyBorder="1" applyAlignment="1">
      <alignment horizontal="center" vertical="top"/>
    </xf>
    <xf numFmtId="0" fontId="0" fillId="0" borderId="49" xfId="0" applyBorder="1" applyAlignment="1">
      <alignment horizontal="left" vertical="top" wrapText="1"/>
    </xf>
    <xf numFmtId="3" fontId="3" fillId="0" borderId="77"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49" fontId="3" fillId="7" borderId="61" xfId="0" applyNumberFormat="1" applyFont="1" applyFill="1" applyBorder="1" applyAlignment="1">
      <alignment horizontal="center" vertical="top" wrapText="1"/>
    </xf>
    <xf numFmtId="3" fontId="41" fillId="7" borderId="20" xfId="0" applyNumberFormat="1" applyFont="1" applyFill="1" applyBorder="1" applyAlignment="1">
      <alignment horizontal="center" vertical="top" wrapText="1"/>
    </xf>
    <xf numFmtId="166" fontId="41" fillId="7" borderId="11" xfId="0" applyNumberFormat="1" applyFont="1" applyFill="1" applyBorder="1" applyAlignment="1">
      <alignment horizontal="center" vertical="top"/>
    </xf>
    <xf numFmtId="166" fontId="41" fillId="7" borderId="44" xfId="0" applyNumberFormat="1" applyFont="1" applyFill="1" applyBorder="1" applyAlignment="1">
      <alignment horizontal="center" vertical="top"/>
    </xf>
    <xf numFmtId="3" fontId="41" fillId="7" borderId="11" xfId="0" applyNumberFormat="1" applyFont="1" applyFill="1" applyBorder="1" applyAlignment="1">
      <alignment horizontal="center" vertical="top" wrapText="1"/>
    </xf>
    <xf numFmtId="3" fontId="3" fillId="7" borderId="28" xfId="0" applyNumberFormat="1" applyFont="1" applyFill="1" applyBorder="1" applyAlignment="1">
      <alignment vertical="top" wrapText="1"/>
    </xf>
    <xf numFmtId="166" fontId="3" fillId="7" borderId="11" xfId="0" applyNumberFormat="1" applyFont="1" applyFill="1" applyBorder="1" applyAlignment="1">
      <alignment horizontal="center" vertical="center" wrapText="1"/>
    </xf>
    <xf numFmtId="166" fontId="15" fillId="0" borderId="44" xfId="0" applyNumberFormat="1" applyFont="1" applyFill="1" applyBorder="1" applyAlignment="1">
      <alignment horizontal="center" vertical="top"/>
    </xf>
    <xf numFmtId="166" fontId="4" fillId="2" borderId="78" xfId="0" applyNumberFormat="1" applyFont="1" applyFill="1" applyBorder="1" applyAlignment="1">
      <alignment horizontal="center" vertical="top"/>
    </xf>
    <xf numFmtId="49" fontId="3" fillId="0" borderId="11" xfId="2" applyNumberFormat="1" applyFont="1" applyFill="1" applyBorder="1" applyAlignment="1">
      <alignment horizontal="center" vertical="top" wrapText="1"/>
    </xf>
    <xf numFmtId="166" fontId="4" fillId="5" borderId="66" xfId="0" applyNumberFormat="1" applyFont="1" applyFill="1" applyBorder="1" applyAlignment="1">
      <alignment horizontal="center" vertical="top" wrapText="1"/>
    </xf>
    <xf numFmtId="166" fontId="4" fillId="5" borderId="28" xfId="0" applyNumberFormat="1" applyFont="1" applyFill="1" applyBorder="1" applyAlignment="1">
      <alignment horizontal="center" vertical="top" wrapText="1"/>
    </xf>
    <xf numFmtId="166" fontId="4" fillId="5" borderId="66" xfId="0" applyNumberFormat="1" applyFont="1" applyFill="1" applyBorder="1" applyAlignment="1">
      <alignment horizontal="center" vertical="top"/>
    </xf>
    <xf numFmtId="166" fontId="4" fillId="5" borderId="28" xfId="0" applyNumberFormat="1" applyFont="1" applyFill="1" applyBorder="1" applyAlignment="1">
      <alignment horizontal="center" vertical="top"/>
    </xf>
    <xf numFmtId="166" fontId="4" fillId="5" borderId="54" xfId="0" applyNumberFormat="1" applyFont="1" applyFill="1" applyBorder="1" applyAlignment="1">
      <alignment horizontal="center" vertical="top"/>
    </xf>
    <xf numFmtId="166" fontId="4" fillId="5" borderId="29" xfId="0" applyNumberFormat="1" applyFont="1" applyFill="1" applyBorder="1" applyAlignment="1">
      <alignment horizontal="center" vertical="top"/>
    </xf>
    <xf numFmtId="166" fontId="4" fillId="5" borderId="27" xfId="0" applyNumberFormat="1" applyFont="1" applyFill="1" applyBorder="1" applyAlignment="1">
      <alignment horizontal="center" vertical="top"/>
    </xf>
    <xf numFmtId="0" fontId="25" fillId="7" borderId="56"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73" xfId="0" applyFont="1" applyFill="1" applyBorder="1" applyAlignment="1">
      <alignment horizontal="center" vertical="center" wrapText="1"/>
    </xf>
    <xf numFmtId="0" fontId="3" fillId="7" borderId="56" xfId="0" applyFont="1" applyFill="1" applyBorder="1" applyAlignment="1">
      <alignment horizontal="center" vertical="center" wrapText="1"/>
    </xf>
    <xf numFmtId="166" fontId="9" fillId="7" borderId="11" xfId="0" applyNumberFormat="1" applyFont="1" applyFill="1" applyBorder="1" applyAlignment="1">
      <alignment horizontal="center" vertical="center" textRotation="90" wrapText="1"/>
    </xf>
    <xf numFmtId="166" fontId="4" fillId="3" borderId="11"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center" wrapText="1"/>
    </xf>
    <xf numFmtId="166" fontId="3" fillId="7" borderId="28" xfId="0" applyNumberFormat="1" applyFont="1" applyFill="1" applyBorder="1" applyAlignment="1">
      <alignment horizontal="center" vertical="center" textRotation="90" wrapText="1"/>
    </xf>
    <xf numFmtId="49" fontId="3" fillId="0"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49" fontId="40" fillId="7" borderId="92" xfId="0" applyNumberFormat="1" applyFont="1" applyFill="1" applyBorder="1" applyAlignment="1">
      <alignment horizontal="center" vertical="top" wrapText="1"/>
    </xf>
    <xf numFmtId="166" fontId="15" fillId="7" borderId="127" xfId="0" applyNumberFormat="1" applyFont="1" applyFill="1" applyBorder="1" applyAlignment="1">
      <alignment horizontal="center" vertical="top"/>
    </xf>
    <xf numFmtId="166" fontId="15" fillId="7" borderId="66" xfId="0" applyNumberFormat="1" applyFont="1" applyFill="1" applyBorder="1" applyAlignment="1">
      <alignment horizontal="center" vertical="top"/>
    </xf>
    <xf numFmtId="3" fontId="40" fillId="7" borderId="11" xfId="0" applyNumberFormat="1" applyFont="1" applyFill="1" applyBorder="1" applyAlignment="1">
      <alignment horizontal="center" vertical="top" wrapText="1"/>
    </xf>
    <xf numFmtId="49" fontId="40" fillId="7" borderId="35" xfId="0" applyNumberFormat="1" applyFont="1" applyFill="1" applyBorder="1" applyAlignment="1">
      <alignment horizontal="center" vertical="top" wrapText="1"/>
    </xf>
    <xf numFmtId="3" fontId="15" fillId="7" borderId="48" xfId="0" applyNumberFormat="1" applyFont="1" applyFill="1" applyBorder="1" applyAlignment="1">
      <alignment horizontal="center" vertical="top"/>
    </xf>
    <xf numFmtId="0" fontId="3" fillId="0" borderId="0" xfId="0" applyFont="1" applyBorder="1" applyAlignment="1">
      <alignment vertical="top" wrapText="1"/>
    </xf>
    <xf numFmtId="3" fontId="3" fillId="7" borderId="27"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xf>
    <xf numFmtId="166" fontId="4" fillId="7" borderId="28" xfId="0" applyNumberFormat="1" applyFont="1" applyFill="1" applyBorder="1" applyAlignment="1">
      <alignment horizontal="center" vertical="top" wrapText="1"/>
    </xf>
    <xf numFmtId="3" fontId="3" fillId="7" borderId="18"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3" fontId="7" fillId="7" borderId="82" xfId="0" applyNumberFormat="1" applyFont="1" applyFill="1" applyBorder="1" applyAlignment="1">
      <alignment horizontal="center" vertical="top"/>
    </xf>
    <xf numFmtId="166" fontId="15" fillId="7" borderId="7" xfId="0" applyNumberFormat="1" applyFont="1" applyFill="1" applyBorder="1" applyAlignment="1">
      <alignment horizontal="center" vertical="top"/>
    </xf>
    <xf numFmtId="49" fontId="3" fillId="7" borderId="27" xfId="0" applyNumberFormat="1" applyFont="1" applyFill="1" applyBorder="1" applyAlignment="1">
      <alignment horizontal="left" vertical="top" wrapText="1"/>
    </xf>
    <xf numFmtId="3" fontId="3" fillId="7" borderId="83" xfId="0" applyNumberFormat="1" applyFont="1" applyFill="1" applyBorder="1" applyAlignment="1">
      <alignment horizontal="center" vertical="top" wrapText="1"/>
    </xf>
    <xf numFmtId="166" fontId="5" fillId="7" borderId="25" xfId="0" applyNumberFormat="1" applyFont="1" applyFill="1" applyBorder="1" applyAlignment="1">
      <alignment horizontal="center" vertical="top" wrapText="1"/>
    </xf>
    <xf numFmtId="166" fontId="5" fillId="7" borderId="11" xfId="0" applyNumberFormat="1" applyFont="1" applyFill="1" applyBorder="1" applyAlignment="1">
      <alignment horizontal="center" vertical="top" wrapText="1"/>
    </xf>
    <xf numFmtId="166" fontId="5" fillId="7" borderId="30" xfId="0" applyNumberFormat="1" applyFont="1" applyFill="1" applyBorder="1" applyAlignment="1">
      <alignment horizontal="center" vertical="top" wrapText="1"/>
    </xf>
    <xf numFmtId="166" fontId="5" fillId="7" borderId="28" xfId="0" applyNumberFormat="1" applyFont="1" applyFill="1" applyBorder="1" applyAlignment="1">
      <alignment horizontal="center" vertical="top" wrapText="1"/>
    </xf>
    <xf numFmtId="0" fontId="3" fillId="0" borderId="34" xfId="0" applyFont="1" applyBorder="1" applyAlignment="1">
      <alignment vertical="top"/>
    </xf>
    <xf numFmtId="166" fontId="3" fillId="0" borderId="34" xfId="0" applyNumberFormat="1" applyFont="1" applyBorder="1" applyAlignment="1">
      <alignment horizontal="center" vertical="top"/>
    </xf>
    <xf numFmtId="166" fontId="3" fillId="0" borderId="6" xfId="0" applyNumberFormat="1" applyFont="1" applyBorder="1" applyAlignment="1">
      <alignment horizontal="center" vertical="top"/>
    </xf>
    <xf numFmtId="166" fontId="24" fillId="7" borderId="7" xfId="0" applyNumberFormat="1" applyFont="1" applyFill="1" applyBorder="1" applyAlignment="1">
      <alignment vertical="top" wrapText="1"/>
    </xf>
    <xf numFmtId="166" fontId="24" fillId="0" borderId="0" xfId="0" applyNumberFormat="1" applyFont="1" applyBorder="1" applyAlignment="1">
      <alignment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0" fontId="30" fillId="7" borderId="7" xfId="0" applyFont="1" applyFill="1" applyBorder="1" applyAlignment="1">
      <alignment vertical="top" wrapText="1"/>
    </xf>
    <xf numFmtId="0" fontId="0" fillId="0" borderId="11" xfId="0" applyBorder="1" applyAlignment="1">
      <alignment horizontal="center" vertical="center" textRotation="90" wrapText="1"/>
    </xf>
    <xf numFmtId="49" fontId="4" fillId="9" borderId="7"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49" fontId="4" fillId="7" borderId="49"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166" fontId="3" fillId="7" borderId="48" xfId="0" applyNumberFormat="1" applyFont="1" applyFill="1" applyBorder="1" applyAlignment="1">
      <alignment vertical="top" wrapText="1"/>
    </xf>
    <xf numFmtId="3" fontId="3" fillId="7" borderId="21" xfId="0" applyNumberFormat="1" applyFont="1" applyFill="1" applyBorder="1" applyAlignment="1">
      <alignment horizontal="left" vertical="top" wrapText="1"/>
    </xf>
    <xf numFmtId="3" fontId="3" fillId="7" borderId="11" xfId="0" applyNumberFormat="1" applyFont="1" applyFill="1" applyBorder="1" applyAlignment="1">
      <alignment horizontal="center" vertical="top" wrapText="1"/>
    </xf>
    <xf numFmtId="0" fontId="9" fillId="7" borderId="18" xfId="0" applyFont="1" applyFill="1" applyBorder="1" applyAlignment="1">
      <alignment vertical="top"/>
    </xf>
    <xf numFmtId="166" fontId="3" fillId="7" borderId="48" xfId="0" applyNumberFormat="1" applyFont="1" applyFill="1" applyBorder="1" applyAlignment="1">
      <alignment horizontal="left" vertical="top" wrapText="1"/>
    </xf>
    <xf numFmtId="0" fontId="9" fillId="7" borderId="48" xfId="0" applyFont="1" applyFill="1" applyBorder="1" applyAlignment="1">
      <alignment vertical="top" wrapText="1"/>
    </xf>
    <xf numFmtId="3" fontId="3" fillId="7" borderId="18"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0" fontId="25" fillId="7" borderId="7" xfId="0" applyFont="1" applyFill="1" applyBorder="1" applyAlignment="1">
      <alignment vertical="top" wrapText="1"/>
    </xf>
    <xf numFmtId="3" fontId="3" fillId="7" borderId="11" xfId="0" applyNumberFormat="1" applyFont="1" applyFill="1" applyBorder="1" applyAlignment="1">
      <alignment horizontal="center" vertical="top"/>
    </xf>
    <xf numFmtId="0" fontId="0" fillId="0" borderId="11" xfId="0" applyBorder="1" applyAlignment="1">
      <alignment horizontal="center" vertical="center" textRotation="90" wrapText="1"/>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2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0" fontId="0" fillId="7" borderId="11" xfId="0" applyFill="1" applyBorder="1" applyAlignment="1">
      <alignment horizontal="left" vertical="top" wrapText="1"/>
    </xf>
    <xf numFmtId="166" fontId="4" fillId="9" borderId="34"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3" fillId="7" borderId="48" xfId="0" applyNumberFormat="1" applyFont="1" applyFill="1" applyBorder="1" applyAlignment="1">
      <alignment horizontal="left" vertical="top" wrapText="1"/>
    </xf>
    <xf numFmtId="3" fontId="3" fillId="7" borderId="11" xfId="0" applyNumberFormat="1" applyFont="1" applyFill="1" applyBorder="1" applyAlignment="1">
      <alignment horizontal="center" vertical="top" wrapText="1"/>
    </xf>
    <xf numFmtId="3" fontId="3" fillId="7" borderId="11" xfId="0" applyNumberFormat="1" applyFont="1" applyFill="1" applyBorder="1" applyAlignment="1">
      <alignment horizontal="center" vertical="top"/>
    </xf>
    <xf numFmtId="0" fontId="3" fillId="7" borderId="8" xfId="0" applyFont="1" applyFill="1" applyBorder="1" applyAlignment="1">
      <alignment horizontal="center" vertical="top"/>
    </xf>
    <xf numFmtId="165" fontId="3" fillId="7" borderId="61" xfId="0" applyNumberFormat="1" applyFont="1" applyFill="1" applyBorder="1" applyAlignment="1">
      <alignment horizontal="center" vertical="top"/>
    </xf>
    <xf numFmtId="165" fontId="3" fillId="7" borderId="20" xfId="0" applyNumberFormat="1" applyFont="1" applyFill="1" applyBorder="1" applyAlignment="1">
      <alignment horizontal="center" vertical="top"/>
    </xf>
    <xf numFmtId="165" fontId="3" fillId="7" borderId="50" xfId="0" applyNumberFormat="1" applyFont="1" applyFill="1" applyBorder="1" applyAlignment="1">
      <alignment horizontal="center" vertical="top"/>
    </xf>
    <xf numFmtId="165" fontId="15" fillId="7" borderId="39" xfId="0" applyNumberFormat="1" applyFont="1" applyFill="1" applyBorder="1" applyAlignment="1">
      <alignment horizontal="center" vertical="top"/>
    </xf>
    <xf numFmtId="165" fontId="15" fillId="7" borderId="54" xfId="0" applyNumberFormat="1" applyFont="1" applyFill="1" applyBorder="1" applyAlignment="1">
      <alignment horizontal="center" vertical="top"/>
    </xf>
    <xf numFmtId="0" fontId="9" fillId="0" borderId="49" xfId="0" applyFont="1" applyBorder="1" applyAlignment="1">
      <alignment horizontal="left" vertical="top" wrapText="1"/>
    </xf>
    <xf numFmtId="166" fontId="33" fillId="8" borderId="5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33" fillId="8" borderId="31" xfId="0" applyNumberFormat="1" applyFont="1" applyFill="1" applyBorder="1" applyAlignment="1">
      <alignment horizontal="center" vertical="top"/>
    </xf>
    <xf numFmtId="3" fontId="40" fillId="7" borderId="47" xfId="0" applyNumberFormat="1" applyFont="1" applyFill="1" applyBorder="1" applyAlignment="1">
      <alignment horizontal="center" vertical="center" wrapText="1"/>
    </xf>
    <xf numFmtId="3" fontId="25" fillId="7" borderId="46" xfId="0" applyNumberFormat="1" applyFont="1" applyFill="1" applyBorder="1" applyAlignment="1">
      <alignment horizontal="center" vertical="top" wrapText="1"/>
    </xf>
    <xf numFmtId="3" fontId="25" fillId="7" borderId="19" xfId="0" applyNumberFormat="1" applyFont="1" applyFill="1" applyBorder="1" applyAlignment="1">
      <alignment horizontal="center" vertical="top" wrapText="1"/>
    </xf>
    <xf numFmtId="0" fontId="0" fillId="7" borderId="35" xfId="0" applyFill="1" applyBorder="1" applyAlignment="1">
      <alignment horizontal="left" vertical="top" wrapText="1"/>
    </xf>
    <xf numFmtId="166" fontId="15" fillId="7" borderId="49" xfId="0" applyNumberFormat="1" applyFont="1" applyFill="1" applyBorder="1" applyAlignment="1">
      <alignment horizontal="center" vertical="top"/>
    </xf>
    <xf numFmtId="166" fontId="15" fillId="7" borderId="34" xfId="0" applyNumberFormat="1" applyFont="1" applyFill="1" applyBorder="1" applyAlignment="1">
      <alignment horizontal="center" vertical="top" wrapText="1"/>
    </xf>
    <xf numFmtId="166" fontId="3" fillId="7" borderId="54" xfId="0" applyNumberFormat="1" applyFont="1" applyFill="1" applyBorder="1" applyAlignment="1">
      <alignment horizontal="center" vertical="top" wrapText="1"/>
    </xf>
    <xf numFmtId="0" fontId="3" fillId="0" borderId="34" xfId="0" applyFont="1" applyBorder="1" applyAlignment="1">
      <alignment horizontal="center" vertical="top"/>
    </xf>
    <xf numFmtId="0" fontId="15" fillId="0" borderId="11" xfId="0" applyFont="1" applyBorder="1" applyAlignment="1">
      <alignment horizontal="center" vertical="top"/>
    </xf>
    <xf numFmtId="0" fontId="15" fillId="0" borderId="44" xfId="0" applyFont="1" applyBorder="1" applyAlignment="1">
      <alignment horizontal="center" vertical="top"/>
    </xf>
    <xf numFmtId="0" fontId="15" fillId="0" borderId="0" xfId="0" applyFont="1" applyBorder="1" applyAlignment="1">
      <alignment horizontal="center" vertical="top"/>
    </xf>
    <xf numFmtId="49" fontId="42" fillId="7" borderId="85" xfId="0" applyNumberFormat="1" applyFont="1" applyFill="1" applyBorder="1" applyAlignment="1">
      <alignment horizontal="center" vertical="top"/>
    </xf>
    <xf numFmtId="3" fontId="15" fillId="7" borderId="85" xfId="0" applyNumberFormat="1" applyFont="1" applyFill="1" applyBorder="1" applyAlignment="1">
      <alignment horizontal="center" vertical="top"/>
    </xf>
    <xf numFmtId="166" fontId="15" fillId="7" borderId="48"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3" fontId="15" fillId="7" borderId="0" xfId="0" applyNumberFormat="1" applyFont="1" applyFill="1" applyBorder="1" applyAlignment="1">
      <alignment horizontal="center" vertical="top" wrapText="1"/>
    </xf>
    <xf numFmtId="3" fontId="15" fillId="7" borderId="82" xfId="0" applyNumberFormat="1" applyFont="1" applyFill="1" applyBorder="1" applyAlignment="1">
      <alignment horizontal="center" vertical="top" wrapText="1"/>
    </xf>
    <xf numFmtId="3" fontId="15" fillId="7" borderId="110" xfId="0" applyNumberFormat="1" applyFont="1" applyFill="1" applyBorder="1" applyAlignment="1">
      <alignment horizontal="center" vertical="top" wrapText="1"/>
    </xf>
    <xf numFmtId="166" fontId="15" fillId="7" borderId="110" xfId="0" applyNumberFormat="1" applyFont="1" applyFill="1" applyBorder="1" applyAlignment="1">
      <alignment horizontal="center" vertical="top"/>
    </xf>
    <xf numFmtId="166" fontId="15" fillId="7" borderId="101" xfId="0" applyNumberFormat="1" applyFont="1" applyFill="1" applyBorder="1" applyAlignment="1">
      <alignment horizontal="center" vertical="top"/>
    </xf>
    <xf numFmtId="166" fontId="44" fillId="7" borderId="81" xfId="0" applyNumberFormat="1" applyFont="1" applyFill="1" applyBorder="1" applyAlignment="1">
      <alignment vertical="top" wrapText="1"/>
    </xf>
    <xf numFmtId="3" fontId="44" fillId="7" borderId="87" xfId="0" applyNumberFormat="1" applyFont="1" applyFill="1" applyBorder="1" applyAlignment="1">
      <alignment horizontal="center" vertical="top" wrapText="1"/>
    </xf>
    <xf numFmtId="3" fontId="44" fillId="7" borderId="100" xfId="0" applyNumberFormat="1" applyFont="1" applyFill="1" applyBorder="1" applyAlignment="1">
      <alignment horizontal="center" vertical="top" wrapText="1"/>
    </xf>
    <xf numFmtId="166" fontId="44" fillId="7" borderId="7" xfId="0" applyNumberFormat="1" applyFont="1" applyFill="1" applyBorder="1" applyAlignment="1">
      <alignment vertical="top" wrapText="1"/>
    </xf>
    <xf numFmtId="3" fontId="44" fillId="7" borderId="11" xfId="0" applyNumberFormat="1" applyFont="1" applyFill="1" applyBorder="1" applyAlignment="1">
      <alignment horizontal="center" vertical="top"/>
    </xf>
    <xf numFmtId="3" fontId="44" fillId="7" borderId="0" xfId="0" applyNumberFormat="1" applyFont="1" applyFill="1" applyBorder="1" applyAlignment="1">
      <alignment horizontal="center" vertical="top"/>
    </xf>
    <xf numFmtId="3" fontId="44" fillId="7" borderId="49" xfId="0" applyNumberFormat="1" applyFont="1" applyFill="1" applyBorder="1" applyAlignment="1">
      <alignment horizontal="center" vertical="top"/>
    </xf>
    <xf numFmtId="3" fontId="44" fillId="7" borderId="18" xfId="0" applyNumberFormat="1" applyFont="1" applyFill="1" applyBorder="1" applyAlignment="1">
      <alignment horizontal="center" vertical="top"/>
    </xf>
    <xf numFmtId="166" fontId="44" fillId="7" borderId="101" xfId="0" applyNumberFormat="1" applyFont="1" applyFill="1" applyBorder="1" applyAlignment="1">
      <alignment horizontal="center" vertical="top" wrapText="1"/>
    </xf>
    <xf numFmtId="166" fontId="44" fillId="7" borderId="6" xfId="0" applyNumberFormat="1" applyFont="1" applyFill="1" applyBorder="1" applyAlignment="1">
      <alignment horizontal="center" vertical="top" wrapText="1"/>
    </xf>
    <xf numFmtId="166" fontId="44" fillId="7" borderId="23" xfId="0" applyNumberFormat="1" applyFont="1" applyFill="1" applyBorder="1" applyAlignment="1">
      <alignment horizontal="center" vertical="top" wrapText="1"/>
    </xf>
    <xf numFmtId="166" fontId="15" fillId="7" borderId="48" xfId="0" applyNumberFormat="1" applyFont="1" applyFill="1" applyBorder="1" applyAlignment="1">
      <alignment vertical="top" wrapText="1"/>
    </xf>
    <xf numFmtId="166" fontId="15" fillId="7" borderId="99" xfId="0" applyNumberFormat="1" applyFont="1" applyFill="1" applyBorder="1" applyAlignment="1">
      <alignment vertical="top" wrapText="1"/>
    </xf>
    <xf numFmtId="166" fontId="15" fillId="7" borderId="50" xfId="0" applyNumberFormat="1" applyFont="1" applyFill="1" applyBorder="1" applyAlignment="1">
      <alignment horizontal="center" vertical="top" wrapText="1"/>
    </xf>
    <xf numFmtId="166" fontId="3" fillId="7" borderId="7" xfId="0" applyNumberFormat="1" applyFont="1" applyFill="1" applyBorder="1" applyAlignment="1">
      <alignment vertical="top" wrapText="1"/>
    </xf>
    <xf numFmtId="3" fontId="3" fillId="7" borderId="18"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3" fontId="3" fillId="7" borderId="21" xfId="0" applyNumberFormat="1" applyFont="1" applyFill="1" applyBorder="1" applyAlignment="1">
      <alignment horizontal="center" vertical="top"/>
    </xf>
    <xf numFmtId="0" fontId="15" fillId="0" borderId="0" xfId="0" applyFont="1" applyFill="1" applyBorder="1" applyAlignment="1">
      <alignment vertical="top"/>
    </xf>
    <xf numFmtId="3" fontId="3" fillId="7" borderId="20" xfId="0" applyNumberFormat="1" applyFont="1" applyFill="1" applyBorder="1" applyAlignment="1">
      <alignment horizontal="center" vertical="top"/>
    </xf>
    <xf numFmtId="166" fontId="3" fillId="7" borderId="46" xfId="0" applyNumberFormat="1" applyFont="1" applyFill="1" applyBorder="1" applyAlignment="1">
      <alignment horizontal="left" vertical="top" wrapText="1"/>
    </xf>
    <xf numFmtId="0" fontId="20" fillId="7" borderId="19" xfId="0" applyFont="1" applyFill="1" applyBorder="1" applyAlignment="1">
      <alignment vertical="top" wrapText="1"/>
    </xf>
    <xf numFmtId="166" fontId="4" fillId="9" borderId="31" xfId="0" applyNumberFormat="1" applyFont="1" applyFill="1" applyBorder="1" applyAlignment="1">
      <alignment horizontal="center" vertical="top"/>
    </xf>
    <xf numFmtId="166" fontId="4" fillId="5" borderId="78" xfId="0" applyNumberFormat="1" applyFont="1" applyFill="1" applyBorder="1" applyAlignment="1">
      <alignment horizontal="center" vertical="top"/>
    </xf>
    <xf numFmtId="3" fontId="7" fillId="7" borderId="20" xfId="0" applyNumberFormat="1" applyFont="1" applyFill="1" applyBorder="1" applyAlignment="1">
      <alignment horizontal="center" vertical="center" wrapText="1"/>
    </xf>
    <xf numFmtId="49" fontId="45" fillId="7" borderId="47" xfId="0" applyNumberFormat="1" applyFont="1" applyFill="1" applyBorder="1" applyAlignment="1">
      <alignment horizontal="center" vertical="center" wrapText="1"/>
    </xf>
    <xf numFmtId="166" fontId="3" fillId="7" borderId="7" xfId="0" applyNumberFormat="1" applyFont="1" applyFill="1" applyBorder="1" applyAlignment="1">
      <alignment horizontal="center" vertical="top" wrapText="1"/>
    </xf>
    <xf numFmtId="3" fontId="3" fillId="7" borderId="19"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3" fillId="7" borderId="48" xfId="0" applyNumberFormat="1" applyFont="1" applyFill="1" applyBorder="1" applyAlignment="1">
      <alignment horizontal="left" vertical="top" wrapText="1"/>
    </xf>
    <xf numFmtId="166" fontId="33" fillId="8" borderId="30"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3" fillId="7" borderId="11" xfId="0" applyNumberFormat="1" applyFont="1" applyFill="1" applyBorder="1" applyAlignment="1">
      <alignment vertical="top" wrapText="1"/>
    </xf>
    <xf numFmtId="0" fontId="9" fillId="7" borderId="11" xfId="0" applyFont="1" applyFill="1" applyBorder="1" applyAlignment="1">
      <alignment vertical="top" wrapText="1"/>
    </xf>
    <xf numFmtId="49" fontId="3" fillId="7" borderId="108" xfId="0" applyNumberFormat="1" applyFont="1" applyFill="1" applyBorder="1" applyAlignment="1">
      <alignment vertical="top" wrapText="1"/>
    </xf>
    <xf numFmtId="0" fontId="0" fillId="0" borderId="28" xfId="0" applyBorder="1" applyAlignment="1">
      <alignment vertical="top" wrapText="1"/>
    </xf>
    <xf numFmtId="166" fontId="3" fillId="7" borderId="107" xfId="0" applyNumberFormat="1" applyFont="1" applyFill="1" applyBorder="1" applyAlignment="1">
      <alignment horizontal="left" vertical="top" wrapText="1"/>
    </xf>
    <xf numFmtId="0" fontId="9" fillId="0" borderId="29" xfId="0" applyFont="1" applyBorder="1" applyAlignment="1">
      <alignment vertical="top" wrapText="1"/>
    </xf>
    <xf numFmtId="166" fontId="4" fillId="4" borderId="74" xfId="0" applyNumberFormat="1" applyFont="1" applyFill="1" applyBorder="1" applyAlignment="1">
      <alignment horizontal="right" vertical="top" wrapText="1"/>
    </xf>
    <xf numFmtId="166" fontId="4" fillId="4" borderId="32" xfId="0" applyNumberFormat="1" applyFont="1" applyFill="1" applyBorder="1" applyAlignment="1">
      <alignment horizontal="right" vertical="top" wrapText="1"/>
    </xf>
    <xf numFmtId="166" fontId="4" fillId="4" borderId="33" xfId="0" applyNumberFormat="1" applyFont="1" applyFill="1" applyBorder="1" applyAlignment="1">
      <alignment horizontal="right" vertical="top" wrapText="1"/>
    </xf>
    <xf numFmtId="166" fontId="4" fillId="2" borderId="76" xfId="0" applyNumberFormat="1" applyFont="1" applyFill="1" applyBorder="1" applyAlignment="1">
      <alignment horizontal="left" vertical="top"/>
    </xf>
    <xf numFmtId="166" fontId="4" fillId="2" borderId="72" xfId="0" applyNumberFormat="1" applyFont="1" applyFill="1" applyBorder="1" applyAlignment="1">
      <alignment horizontal="left" vertical="top"/>
    </xf>
    <xf numFmtId="166" fontId="4" fillId="2" borderId="73" xfId="0" applyNumberFormat="1" applyFont="1" applyFill="1" applyBorder="1" applyAlignment="1">
      <alignment horizontal="left" vertical="top"/>
    </xf>
    <xf numFmtId="166" fontId="3" fillId="7" borderId="11" xfId="0" applyNumberFormat="1" applyFont="1" applyFill="1" applyBorder="1" applyAlignment="1">
      <alignment horizontal="center" vertical="center" textRotation="90"/>
    </xf>
    <xf numFmtId="166" fontId="3" fillId="7" borderId="28" xfId="0" applyNumberFormat="1" applyFont="1" applyFill="1" applyBorder="1" applyAlignment="1">
      <alignment horizontal="center" vertical="center" textRotation="90"/>
    </xf>
    <xf numFmtId="166" fontId="3" fillId="7" borderId="20" xfId="0" applyNumberFormat="1" applyFont="1" applyFill="1" applyBorder="1" applyAlignment="1">
      <alignment horizontal="center" vertical="center" textRotation="90"/>
    </xf>
    <xf numFmtId="3" fontId="4" fillId="0" borderId="56" xfId="0" applyNumberFormat="1" applyFont="1" applyBorder="1" applyAlignment="1">
      <alignment horizontal="center" vertical="center" wrapText="1"/>
    </xf>
    <xf numFmtId="3" fontId="4" fillId="0" borderId="72" xfId="0" applyNumberFormat="1" applyFont="1" applyBorder="1" applyAlignment="1">
      <alignment horizontal="center" vertical="center" wrapText="1"/>
    </xf>
    <xf numFmtId="3" fontId="4" fillId="0" borderId="73" xfId="0" applyNumberFormat="1" applyFont="1" applyBorder="1" applyAlignment="1">
      <alignment horizontal="center" vertical="center" wrapText="1"/>
    </xf>
    <xf numFmtId="166" fontId="4" fillId="0" borderId="35" xfId="0" applyNumberFormat="1" applyFont="1" applyBorder="1" applyAlignment="1">
      <alignment horizontal="center" vertical="top"/>
    </xf>
    <xf numFmtId="166" fontId="4" fillId="0" borderId="38" xfId="0" applyNumberFormat="1" applyFont="1" applyBorder="1" applyAlignment="1">
      <alignment horizontal="center" vertical="top"/>
    </xf>
    <xf numFmtId="166" fontId="4" fillId="0" borderId="65" xfId="0" applyNumberFormat="1" applyFont="1" applyBorder="1" applyAlignment="1">
      <alignment horizontal="center" vertical="top"/>
    </xf>
    <xf numFmtId="166" fontId="3" fillId="7" borderId="48" xfId="0" applyNumberFormat="1" applyFont="1" applyFill="1" applyBorder="1" applyAlignment="1">
      <alignment vertical="top" wrapText="1"/>
    </xf>
    <xf numFmtId="0" fontId="0" fillId="7" borderId="53" xfId="0" applyFill="1" applyBorder="1" applyAlignment="1">
      <alignment vertical="top" wrapText="1"/>
    </xf>
    <xf numFmtId="166" fontId="4" fillId="2" borderId="32" xfId="0" applyNumberFormat="1" applyFont="1" applyFill="1" applyBorder="1" applyAlignment="1">
      <alignment horizontal="right" vertical="top"/>
    </xf>
    <xf numFmtId="166" fontId="4" fillId="2" borderId="73" xfId="0" applyNumberFormat="1" applyFont="1" applyFill="1" applyBorder="1" applyAlignment="1">
      <alignment horizontal="right" vertical="top"/>
    </xf>
    <xf numFmtId="166" fontId="3" fillId="2" borderId="72" xfId="0" applyNumberFormat="1" applyFont="1" applyFill="1" applyBorder="1" applyAlignment="1">
      <alignment horizontal="center" vertical="top" wrapText="1"/>
    </xf>
    <xf numFmtId="166" fontId="3" fillId="2" borderId="73" xfId="0" applyNumberFormat="1" applyFont="1" applyFill="1" applyBorder="1" applyAlignment="1">
      <alignment horizontal="center" vertical="top" wrapText="1"/>
    </xf>
    <xf numFmtId="166" fontId="4" fillId="9" borderId="76" xfId="0" applyNumberFormat="1" applyFont="1" applyFill="1" applyBorder="1" applyAlignment="1">
      <alignment horizontal="right" vertical="top"/>
    </xf>
    <xf numFmtId="166" fontId="4" fillId="9" borderId="72" xfId="0" applyNumberFormat="1" applyFont="1" applyFill="1" applyBorder="1" applyAlignment="1">
      <alignment horizontal="right" vertical="top"/>
    </xf>
    <xf numFmtId="166" fontId="4" fillId="9" borderId="73" xfId="0" applyNumberFormat="1" applyFont="1" applyFill="1" applyBorder="1" applyAlignment="1">
      <alignment horizontal="right" vertical="top"/>
    </xf>
    <xf numFmtId="166" fontId="3" fillId="9" borderId="72" xfId="0" applyNumberFormat="1" applyFont="1" applyFill="1" applyBorder="1" applyAlignment="1">
      <alignment horizontal="center" vertical="top"/>
    </xf>
    <xf numFmtId="166" fontId="3" fillId="9" borderId="73" xfId="0" applyNumberFormat="1" applyFont="1" applyFill="1" applyBorder="1" applyAlignment="1">
      <alignment horizontal="center" vertical="top"/>
    </xf>
    <xf numFmtId="166" fontId="3" fillId="7" borderId="25" xfId="0" applyNumberFormat="1" applyFont="1" applyFill="1" applyBorder="1" applyAlignment="1">
      <alignment horizontal="left" vertical="top" wrapText="1"/>
    </xf>
    <xf numFmtId="166" fontId="3" fillId="7" borderId="11" xfId="0" applyNumberFormat="1" applyFont="1" applyFill="1" applyBorder="1" applyAlignment="1">
      <alignment horizontal="left" vertical="top" wrapText="1"/>
    </xf>
    <xf numFmtId="0" fontId="0" fillId="0" borderId="30" xfId="0" applyFont="1" applyBorder="1" applyAlignment="1">
      <alignment vertical="top"/>
    </xf>
    <xf numFmtId="166" fontId="4" fillId="0" borderId="11" xfId="0" applyNumberFormat="1" applyFont="1" applyFill="1" applyBorder="1" applyAlignment="1">
      <alignment horizontal="center" vertical="top" wrapText="1"/>
    </xf>
    <xf numFmtId="166" fontId="4" fillId="0" borderId="30" xfId="0" applyNumberFormat="1" applyFont="1" applyFill="1" applyBorder="1" applyAlignment="1">
      <alignment horizontal="center" vertical="top" wrapText="1"/>
    </xf>
    <xf numFmtId="166" fontId="3" fillId="0" borderId="69" xfId="0" applyNumberFormat="1" applyFont="1" applyBorder="1" applyAlignment="1">
      <alignment horizontal="left" vertical="top" wrapText="1"/>
    </xf>
    <xf numFmtId="166" fontId="3" fillId="0" borderId="64" xfId="0" applyNumberFormat="1" applyFont="1" applyBorder="1" applyAlignment="1">
      <alignment horizontal="left" vertical="top" wrapText="1"/>
    </xf>
    <xf numFmtId="166" fontId="3" fillId="0" borderId="43" xfId="0" applyNumberFormat="1" applyFont="1" applyBorder="1" applyAlignment="1">
      <alignment horizontal="left" vertical="top" wrapText="1"/>
    </xf>
    <xf numFmtId="1" fontId="3" fillId="0" borderId="11" xfId="0" applyNumberFormat="1" applyFont="1" applyFill="1" applyBorder="1" applyAlignment="1">
      <alignment horizontal="center" vertical="top"/>
    </xf>
    <xf numFmtId="0" fontId="0" fillId="0" borderId="28" xfId="0" applyBorder="1" applyAlignment="1">
      <alignment vertical="top"/>
    </xf>
    <xf numFmtId="166" fontId="3" fillId="7" borderId="37" xfId="0" applyNumberFormat="1" applyFont="1" applyFill="1" applyBorder="1" applyAlignment="1">
      <alignment horizontal="left" vertical="top" wrapText="1"/>
    </xf>
    <xf numFmtId="0" fontId="0" fillId="0" borderId="81" xfId="0" applyBorder="1" applyAlignment="1">
      <alignment vertical="top" wrapText="1"/>
    </xf>
    <xf numFmtId="1" fontId="3" fillId="7" borderId="11" xfId="0" applyNumberFormat="1" applyFont="1" applyFill="1" applyBorder="1" applyAlignment="1">
      <alignment horizontal="center" vertical="top"/>
    </xf>
    <xf numFmtId="166" fontId="25" fillId="7" borderId="37" xfId="0" applyNumberFormat="1" applyFont="1" applyFill="1" applyBorder="1" applyAlignment="1">
      <alignment horizontal="left" vertical="top" wrapText="1"/>
    </xf>
    <xf numFmtId="0" fontId="0" fillId="0" borderId="7" xfId="0" applyBorder="1" applyAlignment="1">
      <alignment horizontal="left" vertical="top" wrapText="1"/>
    </xf>
    <xf numFmtId="0" fontId="8" fillId="7" borderId="20" xfId="0" applyFont="1" applyFill="1" applyBorder="1" applyAlignment="1">
      <alignment vertical="top" wrapText="1"/>
    </xf>
    <xf numFmtId="0" fontId="0" fillId="0" borderId="11" xfId="0" applyBorder="1" applyAlignment="1">
      <alignment vertical="top" wrapText="1"/>
    </xf>
    <xf numFmtId="0" fontId="5" fillId="0" borderId="20" xfId="0" applyFont="1" applyFill="1"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28" xfId="0" applyBorder="1" applyAlignment="1">
      <alignment horizontal="center" vertical="center" textRotation="90" wrapText="1"/>
    </xf>
    <xf numFmtId="166" fontId="8" fillId="3" borderId="25" xfId="0" applyNumberFormat="1" applyFont="1" applyFill="1" applyBorder="1" applyAlignment="1">
      <alignment horizontal="left" vertical="top" wrapText="1"/>
    </xf>
    <xf numFmtId="0" fontId="0" fillId="0" borderId="11" xfId="0" applyBorder="1" applyAlignment="1">
      <alignment horizontal="left" vertical="top" wrapText="1"/>
    </xf>
    <xf numFmtId="166" fontId="5" fillId="0" borderId="25" xfId="0" applyNumberFormat="1" applyFont="1" applyFill="1" applyBorder="1" applyAlignment="1">
      <alignment horizontal="center" vertical="center" textRotation="90" wrapText="1"/>
    </xf>
    <xf numFmtId="166" fontId="3" fillId="3" borderId="69" xfId="0" applyNumberFormat="1" applyFont="1" applyFill="1" applyBorder="1" applyAlignment="1">
      <alignment horizontal="left" vertical="top" wrapText="1"/>
    </xf>
    <xf numFmtId="166" fontId="3" fillId="3" borderId="64" xfId="0" applyNumberFormat="1" applyFont="1" applyFill="1" applyBorder="1" applyAlignment="1">
      <alignment horizontal="left" vertical="top" wrapText="1"/>
    </xf>
    <xf numFmtId="166" fontId="3" fillId="3" borderId="43" xfId="0" applyNumberFormat="1" applyFont="1" applyFill="1" applyBorder="1" applyAlignment="1">
      <alignment horizontal="left" vertical="top" wrapText="1"/>
    </xf>
    <xf numFmtId="0" fontId="3" fillId="3" borderId="66" xfId="0" applyFont="1" applyFill="1" applyBorder="1" applyAlignment="1">
      <alignment horizontal="left" vertical="top" wrapText="1"/>
    </xf>
    <xf numFmtId="0" fontId="3" fillId="3" borderId="77" xfId="0" applyFont="1" applyFill="1" applyBorder="1" applyAlignment="1">
      <alignment horizontal="left" vertical="top" wrapText="1"/>
    </xf>
    <xf numFmtId="0" fontId="3" fillId="3" borderId="54" xfId="0" applyFont="1" applyFill="1" applyBorder="1" applyAlignment="1">
      <alignment horizontal="left" vertical="top" wrapText="1"/>
    </xf>
    <xf numFmtId="166" fontId="3" fillId="8" borderId="69" xfId="0" applyNumberFormat="1" applyFont="1" applyFill="1" applyBorder="1" applyAlignment="1">
      <alignment vertical="top" wrapText="1"/>
    </xf>
    <xf numFmtId="166" fontId="9" fillId="8" borderId="64" xfId="0" applyNumberFormat="1" applyFont="1" applyFill="1" applyBorder="1" applyAlignment="1">
      <alignment vertical="top" wrapText="1"/>
    </xf>
    <xf numFmtId="166" fontId="9" fillId="8" borderId="43" xfId="0" applyNumberFormat="1" applyFont="1" applyFill="1" applyBorder="1" applyAlignment="1">
      <alignment vertical="top" wrapText="1"/>
    </xf>
    <xf numFmtId="166" fontId="4" fillId="5" borderId="69" xfId="0" applyNumberFormat="1" applyFont="1" applyFill="1" applyBorder="1" applyAlignment="1">
      <alignment horizontal="right" vertical="top" wrapText="1"/>
    </xf>
    <xf numFmtId="166" fontId="4" fillId="5" borderId="64" xfId="0" applyNumberFormat="1" applyFont="1" applyFill="1" applyBorder="1" applyAlignment="1">
      <alignment horizontal="right" vertical="top" wrapText="1"/>
    </xf>
    <xf numFmtId="166" fontId="4" fillId="5" borderId="43" xfId="0" applyNumberFormat="1" applyFont="1" applyFill="1" applyBorder="1" applyAlignment="1">
      <alignment horizontal="right" vertical="top" wrapText="1"/>
    </xf>
    <xf numFmtId="166" fontId="3" fillId="3" borderId="66" xfId="0" applyNumberFormat="1" applyFont="1" applyFill="1" applyBorder="1" applyAlignment="1">
      <alignment horizontal="left" vertical="top" wrapText="1"/>
    </xf>
    <xf numFmtId="166" fontId="3" fillId="3" borderId="77" xfId="0" applyNumberFormat="1" applyFont="1" applyFill="1" applyBorder="1" applyAlignment="1">
      <alignment horizontal="left" vertical="top" wrapText="1"/>
    </xf>
    <xf numFmtId="166" fontId="3" fillId="3" borderId="54" xfId="0" applyNumberFormat="1" applyFont="1" applyFill="1" applyBorder="1" applyAlignment="1">
      <alignment horizontal="left" vertical="top" wrapText="1"/>
    </xf>
    <xf numFmtId="166" fontId="4" fillId="8" borderId="69" xfId="0" applyNumberFormat="1" applyFont="1" applyFill="1" applyBorder="1" applyAlignment="1">
      <alignment horizontal="left" vertical="top" wrapText="1"/>
    </xf>
    <xf numFmtId="166" fontId="4" fillId="8" borderId="64" xfId="0" applyNumberFormat="1" applyFont="1" applyFill="1" applyBorder="1" applyAlignment="1">
      <alignment horizontal="left" vertical="top" wrapText="1"/>
    </xf>
    <xf numFmtId="166" fontId="4" fillId="8" borderId="43" xfId="0" applyNumberFormat="1" applyFont="1" applyFill="1" applyBorder="1" applyAlignment="1">
      <alignment horizontal="left" vertical="top" wrapText="1"/>
    </xf>
    <xf numFmtId="166" fontId="3" fillId="8" borderId="69" xfId="0" applyNumberFormat="1" applyFont="1" applyFill="1" applyBorder="1" applyAlignment="1">
      <alignment horizontal="left" vertical="top" wrapText="1"/>
    </xf>
    <xf numFmtId="166" fontId="3" fillId="7" borderId="69" xfId="0" applyNumberFormat="1" applyFont="1" applyFill="1" applyBorder="1" applyAlignment="1">
      <alignment horizontal="left" vertical="top" wrapText="1"/>
    </xf>
    <xf numFmtId="166" fontId="3" fillId="7" borderId="64" xfId="0" applyNumberFormat="1" applyFont="1" applyFill="1" applyBorder="1" applyAlignment="1">
      <alignment horizontal="left" vertical="top" wrapText="1"/>
    </xf>
    <xf numFmtId="166" fontId="3" fillId="7" borderId="43" xfId="0" applyNumberFormat="1" applyFont="1" applyFill="1" applyBorder="1" applyAlignment="1">
      <alignment horizontal="left" vertical="top" wrapText="1"/>
    </xf>
    <xf numFmtId="166" fontId="4" fillId="5" borderId="70" xfId="0" applyNumberFormat="1" applyFont="1" applyFill="1" applyBorder="1" applyAlignment="1">
      <alignment horizontal="right" vertical="top" wrapText="1"/>
    </xf>
    <xf numFmtId="166" fontId="4" fillId="5" borderId="75" xfId="0" applyNumberFormat="1" applyFont="1" applyFill="1" applyBorder="1" applyAlignment="1">
      <alignment horizontal="right" vertical="top" wrapText="1"/>
    </xf>
    <xf numFmtId="166" fontId="4" fillId="5" borderId="71" xfId="0" applyNumberFormat="1" applyFont="1" applyFill="1" applyBorder="1" applyAlignment="1">
      <alignment horizontal="right" vertical="top" wrapText="1"/>
    </xf>
    <xf numFmtId="166" fontId="4" fillId="8" borderId="69" xfId="0" applyNumberFormat="1" applyFont="1" applyFill="1" applyBorder="1" applyAlignment="1">
      <alignment horizontal="right" vertical="top" wrapText="1"/>
    </xf>
    <xf numFmtId="166" fontId="9" fillId="8" borderId="64" xfId="0" applyNumberFormat="1" applyFont="1" applyFill="1" applyBorder="1" applyAlignment="1">
      <alignment horizontal="right" vertical="top" wrapText="1"/>
    </xf>
    <xf numFmtId="166" fontId="9" fillId="8" borderId="43" xfId="0" applyNumberFormat="1" applyFont="1" applyFill="1" applyBorder="1" applyAlignment="1">
      <alignment horizontal="right" vertical="top" wrapText="1"/>
    </xf>
    <xf numFmtId="166" fontId="3" fillId="7" borderId="66" xfId="0" applyNumberFormat="1" applyFont="1" applyFill="1" applyBorder="1" applyAlignment="1">
      <alignment horizontal="left" vertical="top" wrapText="1"/>
    </xf>
    <xf numFmtId="166" fontId="3" fillId="7" borderId="77" xfId="0" applyNumberFormat="1" applyFont="1" applyFill="1" applyBorder="1" applyAlignment="1">
      <alignment horizontal="left" vertical="top" wrapText="1"/>
    </xf>
    <xf numFmtId="166" fontId="3" fillId="7" borderId="54" xfId="0" applyNumberFormat="1" applyFont="1" applyFill="1" applyBorder="1" applyAlignment="1">
      <alignment horizontal="left" vertical="top" wrapText="1"/>
    </xf>
    <xf numFmtId="166" fontId="4" fillId="5" borderId="76" xfId="0" applyNumberFormat="1" applyFont="1" applyFill="1" applyBorder="1" applyAlignment="1">
      <alignment horizontal="right" vertical="top"/>
    </xf>
    <xf numFmtId="166" fontId="4" fillId="5" borderId="72" xfId="0" applyNumberFormat="1" applyFont="1" applyFill="1" applyBorder="1" applyAlignment="1">
      <alignment horizontal="right" vertical="top"/>
    </xf>
    <xf numFmtId="166" fontId="4" fillId="5" borderId="73" xfId="0" applyNumberFormat="1" applyFont="1" applyFill="1" applyBorder="1" applyAlignment="1">
      <alignment horizontal="right" vertical="top"/>
    </xf>
    <xf numFmtId="166" fontId="3" fillId="7" borderId="47" xfId="0" applyNumberFormat="1" applyFont="1" applyFill="1" applyBorder="1" applyAlignment="1">
      <alignment horizontal="left" vertical="top" wrapText="1"/>
    </xf>
    <xf numFmtId="166" fontId="3" fillId="7" borderId="49" xfId="0" applyNumberFormat="1" applyFont="1" applyFill="1" applyBorder="1" applyAlignment="1">
      <alignment horizontal="left" vertical="top" wrapText="1"/>
    </xf>
    <xf numFmtId="166" fontId="3" fillId="7" borderId="35" xfId="0" applyNumberFormat="1" applyFont="1" applyFill="1" applyBorder="1" applyAlignment="1">
      <alignment horizontal="left" vertical="top" wrapText="1"/>
    </xf>
    <xf numFmtId="166" fontId="4" fillId="2" borderId="72" xfId="0" applyNumberFormat="1" applyFont="1" applyFill="1" applyBorder="1" applyAlignment="1">
      <alignment horizontal="right" vertical="top"/>
    </xf>
    <xf numFmtId="166" fontId="7" fillId="7" borderId="20" xfId="0" applyNumberFormat="1" applyFont="1" applyFill="1" applyBorder="1" applyAlignment="1">
      <alignment horizontal="center" vertical="center" textRotation="90" wrapText="1"/>
    </xf>
    <xf numFmtId="0" fontId="9" fillId="0" borderId="11" xfId="0" applyFont="1" applyBorder="1" applyAlignment="1">
      <alignment vertical="center" textRotation="90" wrapText="1"/>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3" fillId="0" borderId="7" xfId="0" applyNumberFormat="1" applyFont="1" applyFill="1" applyBorder="1" applyAlignment="1">
      <alignment horizontal="left" vertical="top" wrapText="1"/>
    </xf>
    <xf numFmtId="0" fontId="0" fillId="0" borderId="29" xfId="0" applyBorder="1" applyAlignment="1">
      <alignment vertical="top"/>
    </xf>
    <xf numFmtId="166" fontId="4" fillId="9" borderId="7" xfId="0" applyNumberFormat="1" applyFont="1" applyFill="1" applyBorder="1" applyAlignment="1">
      <alignment horizontal="center" vertical="top"/>
    </xf>
    <xf numFmtId="166" fontId="3" fillId="7" borderId="28" xfId="0" applyNumberFormat="1" applyFont="1" applyFill="1" applyBorder="1" applyAlignment="1">
      <alignment horizontal="left" vertical="top" wrapText="1"/>
    </xf>
    <xf numFmtId="166" fontId="3" fillId="3" borderId="20" xfId="0" applyNumberFormat="1" applyFont="1" applyFill="1" applyBorder="1" applyAlignment="1">
      <alignment vertical="top" wrapText="1"/>
    </xf>
    <xf numFmtId="166" fontId="3" fillId="5" borderId="72" xfId="0" applyNumberFormat="1" applyFont="1" applyFill="1" applyBorder="1" applyAlignment="1">
      <alignment horizontal="center" vertical="top"/>
    </xf>
    <xf numFmtId="166" fontId="3" fillId="5" borderId="73" xfId="0" applyNumberFormat="1" applyFont="1" applyFill="1" applyBorder="1" applyAlignment="1">
      <alignment horizontal="center" vertical="top"/>
    </xf>
    <xf numFmtId="166" fontId="4" fillId="0" borderId="32" xfId="0" applyNumberFormat="1" applyFont="1" applyFill="1" applyBorder="1" applyAlignment="1">
      <alignment horizontal="center" vertical="top" wrapText="1"/>
    </xf>
    <xf numFmtId="49" fontId="4" fillId="7" borderId="49" xfId="0" applyNumberFormat="1" applyFont="1" applyFill="1" applyBorder="1" applyAlignment="1">
      <alignment horizontal="center" vertical="top"/>
    </xf>
    <xf numFmtId="0" fontId="0" fillId="0" borderId="11" xfId="0" applyBorder="1" applyAlignment="1">
      <alignment horizontal="center" wrapText="1"/>
    </xf>
    <xf numFmtId="166" fontId="4" fillId="7" borderId="25" xfId="0" applyNumberFormat="1" applyFont="1" applyFill="1" applyBorder="1" applyAlignment="1">
      <alignment vertical="top" wrapText="1"/>
    </xf>
    <xf numFmtId="166" fontId="4" fillId="7" borderId="11" xfId="0" applyNumberFormat="1" applyFont="1" applyFill="1" applyBorder="1" applyAlignment="1">
      <alignment vertical="top" wrapText="1"/>
    </xf>
    <xf numFmtId="0" fontId="0" fillId="7" borderId="28" xfId="0" applyFill="1" applyBorder="1" applyAlignment="1">
      <alignment vertical="top" wrapText="1"/>
    </xf>
    <xf numFmtId="166" fontId="3" fillId="7" borderId="47" xfId="0" applyNumberFormat="1" applyFont="1" applyFill="1" applyBorder="1" applyAlignment="1">
      <alignment vertical="top" wrapText="1"/>
    </xf>
    <xf numFmtId="0" fontId="9" fillId="7" borderId="49" xfId="0" applyFont="1" applyFill="1" applyBorder="1" applyAlignment="1">
      <alignment vertical="top" wrapText="1"/>
    </xf>
    <xf numFmtId="0" fontId="9" fillId="7" borderId="35" xfId="0" applyFont="1" applyFill="1" applyBorder="1" applyAlignment="1">
      <alignment vertical="top" wrapText="1"/>
    </xf>
    <xf numFmtId="166" fontId="3" fillId="7" borderId="20" xfId="0" applyNumberFormat="1" applyFont="1" applyFill="1" applyBorder="1" applyAlignment="1">
      <alignment horizontal="center" vertical="center" textRotation="90" wrapText="1"/>
    </xf>
    <xf numFmtId="0" fontId="0" fillId="0" borderId="11" xfId="0" applyBorder="1" applyAlignment="1">
      <alignment horizontal="center" vertical="center" wrapText="1"/>
    </xf>
    <xf numFmtId="0" fontId="0" fillId="0" borderId="28" xfId="0" applyBorder="1" applyAlignment="1">
      <alignment horizontal="center" vertical="center" wrapText="1"/>
    </xf>
    <xf numFmtId="166" fontId="3" fillId="7" borderId="20" xfId="0" applyNumberFormat="1" applyFont="1" applyFill="1" applyBorder="1" applyAlignment="1">
      <alignment vertical="top" wrapText="1"/>
    </xf>
    <xf numFmtId="0" fontId="9" fillId="7" borderId="28" xfId="0" applyFont="1" applyFill="1" applyBorder="1" applyAlignment="1">
      <alignment vertical="top" wrapText="1"/>
    </xf>
    <xf numFmtId="1" fontId="3" fillId="7" borderId="18" xfId="0" applyNumberFormat="1" applyFont="1" applyFill="1" applyBorder="1" applyAlignment="1">
      <alignment horizontal="center" vertical="top"/>
    </xf>
    <xf numFmtId="0" fontId="0" fillId="0" borderId="27" xfId="0" applyBorder="1" applyAlignment="1">
      <alignment vertical="top"/>
    </xf>
    <xf numFmtId="166" fontId="3" fillId="7" borderId="49" xfId="0" applyNumberFormat="1" applyFont="1" applyFill="1" applyBorder="1" applyAlignment="1">
      <alignment vertical="top" wrapText="1"/>
    </xf>
    <xf numFmtId="166" fontId="9" fillId="7" borderId="35"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9" fillId="7" borderId="29" xfId="0" applyNumberFormat="1" applyFont="1" applyFill="1" applyBorder="1" applyAlignment="1">
      <alignment horizontal="left" vertical="top" wrapText="1"/>
    </xf>
    <xf numFmtId="166" fontId="3" fillId="0" borderId="29" xfId="0" applyNumberFormat="1" applyFont="1" applyFill="1" applyBorder="1" applyAlignment="1">
      <alignment horizontal="left" vertical="top" wrapText="1"/>
    </xf>
    <xf numFmtId="3" fontId="3" fillId="0" borderId="20"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49" fontId="4" fillId="7" borderId="25" xfId="0" applyNumberFormat="1" applyFont="1" applyFill="1" applyBorder="1" applyAlignment="1">
      <alignment horizontal="center" vertical="top"/>
    </xf>
    <xf numFmtId="49" fontId="4" fillId="7" borderId="30" xfId="0" applyNumberFormat="1" applyFont="1" applyFill="1" applyBorder="1" applyAlignment="1">
      <alignment horizontal="center" vertical="top"/>
    </xf>
    <xf numFmtId="166" fontId="3" fillId="7" borderId="42" xfId="0" applyNumberFormat="1" applyFont="1" applyFill="1" applyBorder="1" applyAlignment="1">
      <alignment vertical="top" wrapText="1"/>
    </xf>
    <xf numFmtId="166" fontId="3" fillId="7" borderId="57" xfId="0" applyNumberFormat="1" applyFont="1" applyFill="1" applyBorder="1" applyAlignment="1">
      <alignment vertical="top" wrapText="1"/>
    </xf>
    <xf numFmtId="166" fontId="5" fillId="0" borderId="25" xfId="0" applyNumberFormat="1" applyFont="1" applyFill="1" applyBorder="1" applyAlignment="1">
      <alignment horizontal="center" vertical="top" wrapText="1"/>
    </xf>
    <xf numFmtId="166" fontId="5" fillId="0" borderId="11" xfId="0" applyNumberFormat="1" applyFont="1" applyFill="1" applyBorder="1" applyAlignment="1">
      <alignment horizontal="center" vertical="top" wrapText="1"/>
    </xf>
    <xf numFmtId="166" fontId="5" fillId="0" borderId="30" xfId="0" applyNumberFormat="1" applyFont="1" applyFill="1" applyBorder="1" applyAlignment="1">
      <alignment horizontal="center" vertical="top" wrapText="1"/>
    </xf>
    <xf numFmtId="166" fontId="4" fillId="7" borderId="42"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166" fontId="3" fillId="7" borderId="35" xfId="0" applyNumberFormat="1" applyFont="1" applyFill="1" applyBorder="1" applyAlignment="1">
      <alignment vertical="top" wrapText="1"/>
    </xf>
    <xf numFmtId="166" fontId="3" fillId="7" borderId="7" xfId="0" applyNumberFormat="1" applyFont="1" applyFill="1" applyBorder="1" applyAlignment="1">
      <alignment vertical="top" wrapText="1"/>
    </xf>
    <xf numFmtId="166" fontId="9" fillId="7" borderId="29" xfId="0" applyNumberFormat="1" applyFont="1" applyFill="1" applyBorder="1" applyAlignment="1">
      <alignment vertical="top" wrapText="1"/>
    </xf>
    <xf numFmtId="166" fontId="9" fillId="7" borderId="28" xfId="0" applyNumberFormat="1" applyFont="1" applyFill="1" applyBorder="1" applyAlignment="1">
      <alignment vertical="top" wrapText="1"/>
    </xf>
    <xf numFmtId="166" fontId="3" fillId="7" borderId="20" xfId="0" applyNumberFormat="1" applyFont="1" applyFill="1" applyBorder="1" applyAlignment="1">
      <alignment horizontal="left" vertical="top" wrapText="1"/>
    </xf>
    <xf numFmtId="166" fontId="9" fillId="7" borderId="11" xfId="0" applyNumberFormat="1" applyFont="1" applyFill="1" applyBorder="1" applyAlignment="1">
      <alignment horizontal="center" vertical="center" textRotation="90" wrapText="1"/>
    </xf>
    <xf numFmtId="166" fontId="4" fillId="2" borderId="76" xfId="0" applyNumberFormat="1" applyFont="1" applyFill="1" applyBorder="1" applyAlignment="1">
      <alignment horizontal="right" vertical="top"/>
    </xf>
    <xf numFmtId="3" fontId="3" fillId="0" borderId="21"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0" fontId="3" fillId="7" borderId="108" xfId="0" applyNumberFormat="1" applyFont="1" applyFill="1" applyBorder="1" applyAlignment="1">
      <alignment horizontal="left" vertical="top" wrapText="1"/>
    </xf>
    <xf numFmtId="0" fontId="0" fillId="7" borderId="28" xfId="0" applyFill="1" applyBorder="1" applyAlignment="1">
      <alignment horizontal="left" vertical="top" wrapText="1"/>
    </xf>
    <xf numFmtId="0" fontId="3" fillId="7" borderId="7" xfId="0" applyFont="1" applyFill="1" applyBorder="1" applyAlignment="1">
      <alignment horizontal="left" vertical="top" wrapText="1"/>
    </xf>
    <xf numFmtId="0" fontId="0" fillId="0" borderId="29" xfId="0" applyBorder="1" applyAlignment="1">
      <alignment horizontal="left" vertical="top" wrapText="1"/>
    </xf>
    <xf numFmtId="166" fontId="3" fillId="7" borderId="28" xfId="0" applyNumberFormat="1" applyFont="1" applyFill="1" applyBorder="1" applyAlignment="1">
      <alignment vertical="top" wrapText="1"/>
    </xf>
    <xf numFmtId="166" fontId="4" fillId="7" borderId="11" xfId="0" applyNumberFormat="1" applyFont="1" applyFill="1" applyBorder="1" applyAlignment="1">
      <alignment horizontal="center" vertical="top" wrapText="1"/>
    </xf>
    <xf numFmtId="166" fontId="4" fillId="0" borderId="49" xfId="0" applyNumberFormat="1" applyFont="1" applyFill="1" applyBorder="1" applyAlignment="1">
      <alignment horizontal="center" vertical="top" wrapText="1"/>
    </xf>
    <xf numFmtId="166" fontId="3" fillId="0" borderId="37" xfId="0" applyNumberFormat="1" applyFont="1" applyFill="1" applyBorder="1" applyAlignment="1">
      <alignment horizontal="left" vertical="top" wrapText="1"/>
    </xf>
    <xf numFmtId="166" fontId="4" fillId="7" borderId="2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49" fontId="4" fillId="9" borderId="5"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49" fontId="4" fillId="2" borderId="42"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49" fontId="4" fillId="2" borderId="57" xfId="0" applyNumberFormat="1" applyFont="1" applyFill="1" applyBorder="1" applyAlignment="1">
      <alignment horizontal="center" vertical="top"/>
    </xf>
    <xf numFmtId="166" fontId="3" fillId="7" borderId="30" xfId="0" applyNumberFormat="1" applyFont="1" applyFill="1" applyBorder="1" applyAlignment="1">
      <alignment horizontal="left" vertical="top" wrapText="1"/>
    </xf>
    <xf numFmtId="166" fontId="25" fillId="7" borderId="7" xfId="0" applyNumberFormat="1" applyFont="1" applyFill="1" applyBorder="1" applyAlignment="1">
      <alignment horizontal="left" vertical="top" wrapText="1"/>
    </xf>
    <xf numFmtId="166" fontId="30" fillId="7" borderId="7" xfId="0" applyNumberFormat="1" applyFont="1" applyFill="1" applyBorder="1" applyAlignment="1">
      <alignment horizontal="left" vertical="top" wrapText="1"/>
    </xf>
    <xf numFmtId="166" fontId="4" fillId="2" borderId="4" xfId="0" applyNumberFormat="1" applyFont="1" applyFill="1" applyBorder="1" applyAlignment="1">
      <alignment horizontal="left" vertical="top"/>
    </xf>
    <xf numFmtId="166" fontId="4" fillId="2" borderId="25" xfId="0" applyNumberFormat="1" applyFont="1" applyFill="1" applyBorder="1" applyAlignment="1">
      <alignment horizontal="left" vertical="top"/>
    </xf>
    <xf numFmtId="166" fontId="4" fillId="2" borderId="78" xfId="0" applyNumberFormat="1" applyFont="1" applyFill="1" applyBorder="1" applyAlignment="1">
      <alignment horizontal="left" vertical="top"/>
    </xf>
    <xf numFmtId="166" fontId="3" fillId="7" borderId="96" xfId="0" applyNumberFormat="1" applyFont="1" applyFill="1" applyBorder="1" applyAlignment="1">
      <alignment horizontal="left" vertical="top" wrapText="1"/>
    </xf>
    <xf numFmtId="166" fontId="7" fillId="7" borderId="25" xfId="0" applyNumberFormat="1" applyFont="1" applyFill="1" applyBorder="1" applyAlignment="1">
      <alignment horizontal="center" vertical="center" textRotation="90" wrapText="1"/>
    </xf>
    <xf numFmtId="166" fontId="9" fillId="0" borderId="49" xfId="0" applyNumberFormat="1" applyFont="1" applyBorder="1" applyAlignment="1">
      <alignment horizontal="left" vertical="top" wrapText="1"/>
    </xf>
    <xf numFmtId="166" fontId="9" fillId="7" borderId="102" xfId="0" applyNumberFormat="1" applyFont="1" applyFill="1" applyBorder="1" applyAlignment="1">
      <alignment horizontal="left" vertical="top" wrapText="1"/>
    </xf>
    <xf numFmtId="0" fontId="0" fillId="7" borderId="7" xfId="0" applyFill="1" applyBorder="1" applyAlignment="1">
      <alignment horizontal="left" vertical="top" wrapText="1"/>
    </xf>
    <xf numFmtId="166" fontId="9" fillId="7" borderId="49" xfId="0" applyNumberFormat="1" applyFont="1" applyFill="1" applyBorder="1" applyAlignment="1">
      <alignment horizontal="left" vertical="top" wrapText="1"/>
    </xf>
    <xf numFmtId="166" fontId="4" fillId="3" borderId="25" xfId="0" applyNumberFormat="1" applyFont="1" applyFill="1" applyBorder="1" applyAlignment="1">
      <alignment vertical="top" wrapText="1"/>
    </xf>
    <xf numFmtId="0" fontId="9" fillId="0" borderId="7" xfId="0" applyFont="1" applyBorder="1" applyAlignment="1">
      <alignment vertical="top" wrapText="1"/>
    </xf>
    <xf numFmtId="49" fontId="3" fillId="7" borderId="7" xfId="0" applyNumberFormat="1" applyFont="1" applyFill="1" applyBorder="1" applyAlignment="1">
      <alignment horizontal="left" vertical="top" wrapText="1"/>
    </xf>
    <xf numFmtId="0" fontId="9" fillId="7" borderId="7" xfId="0" applyFont="1" applyFill="1" applyBorder="1" applyAlignment="1">
      <alignment horizontal="left" vertical="top" wrapText="1"/>
    </xf>
    <xf numFmtId="166" fontId="8" fillId="3" borderId="11" xfId="0" applyNumberFormat="1" applyFont="1" applyFill="1" applyBorder="1" applyAlignment="1">
      <alignment horizontal="left" vertical="top" wrapText="1"/>
    </xf>
    <xf numFmtId="166" fontId="4" fillId="0" borderId="20" xfId="0" applyNumberFormat="1" applyFont="1" applyFill="1" applyBorder="1" applyAlignment="1">
      <alignment horizontal="center" vertical="top" wrapText="1"/>
    </xf>
    <xf numFmtId="49" fontId="4" fillId="0" borderId="18" xfId="0" applyNumberFormat="1" applyFont="1" applyBorder="1" applyAlignment="1">
      <alignment horizontal="center" vertical="top"/>
    </xf>
    <xf numFmtId="166" fontId="5" fillId="3" borderId="25" xfId="0" applyNumberFormat="1" applyFont="1" applyFill="1" applyBorder="1" applyAlignment="1">
      <alignment horizontal="center" vertical="center" textRotation="90" wrapText="1"/>
    </xf>
    <xf numFmtId="166" fontId="5" fillId="3" borderId="11" xfId="0" applyNumberFormat="1" applyFont="1" applyFill="1" applyBorder="1" applyAlignment="1">
      <alignment horizontal="center" vertical="center" textRotation="90" wrapText="1"/>
    </xf>
    <xf numFmtId="0" fontId="25" fillId="7" borderId="37" xfId="0" applyFont="1" applyFill="1" applyBorder="1" applyAlignment="1">
      <alignment vertical="top" wrapText="1"/>
    </xf>
    <xf numFmtId="0" fontId="30" fillId="7" borderId="7" xfId="0" applyFont="1" applyFill="1" applyBorder="1" applyAlignment="1">
      <alignment vertical="top" wrapText="1"/>
    </xf>
    <xf numFmtId="0" fontId="28" fillId="7" borderId="7" xfId="0" applyFont="1" applyFill="1" applyBorder="1" applyAlignment="1">
      <alignment vertical="top" wrapText="1"/>
    </xf>
    <xf numFmtId="0" fontId="28" fillId="7" borderId="29" xfId="0" applyFont="1" applyFill="1" applyBorder="1" applyAlignment="1">
      <alignment vertical="top" wrapText="1"/>
    </xf>
    <xf numFmtId="166" fontId="4" fillId="7" borderId="27" xfId="0" applyNumberFormat="1" applyFont="1" applyFill="1" applyBorder="1" applyAlignment="1">
      <alignment horizontal="center" vertical="top"/>
    </xf>
    <xf numFmtId="49" fontId="4" fillId="7" borderId="49" xfId="0" applyNumberFormat="1" applyFont="1" applyFill="1" applyBorder="1" applyAlignment="1">
      <alignment horizontal="center" vertical="top" wrapText="1"/>
    </xf>
    <xf numFmtId="0" fontId="0" fillId="7" borderId="11" xfId="0" applyFill="1" applyBorder="1" applyAlignment="1">
      <alignment horizontal="left" vertical="top" wrapText="1"/>
    </xf>
    <xf numFmtId="166" fontId="4" fillId="7" borderId="47" xfId="0" applyNumberFormat="1" applyFont="1" applyFill="1" applyBorder="1" applyAlignment="1">
      <alignment horizontal="center" vertical="top" wrapText="1"/>
    </xf>
    <xf numFmtId="166" fontId="4" fillId="7" borderId="35" xfId="0" applyNumberFormat="1" applyFont="1" applyFill="1" applyBorder="1" applyAlignment="1">
      <alignment horizontal="center" vertical="top" wrapText="1"/>
    </xf>
    <xf numFmtId="0" fontId="0" fillId="7" borderId="29" xfId="0" applyFill="1" applyBorder="1" applyAlignment="1">
      <alignment horizontal="left" vertical="top" wrapText="1"/>
    </xf>
    <xf numFmtId="166" fontId="4" fillId="3" borderId="20" xfId="0" applyNumberFormat="1" applyFont="1" applyFill="1" applyBorder="1" applyAlignment="1">
      <alignment horizontal="center" vertical="top" wrapText="1"/>
    </xf>
    <xf numFmtId="166" fontId="4" fillId="3" borderId="11"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0" fontId="0" fillId="0" borderId="28" xfId="0" applyBorder="1" applyAlignment="1">
      <alignment horizontal="left" vertical="top" wrapText="1"/>
    </xf>
    <xf numFmtId="166" fontId="4" fillId="3" borderId="18" xfId="0" applyNumberFormat="1" applyFont="1" applyFill="1" applyBorder="1" applyAlignment="1">
      <alignment horizontal="center" vertical="top"/>
    </xf>
    <xf numFmtId="166" fontId="8" fillId="7" borderId="25" xfId="0" applyNumberFormat="1" applyFont="1" applyFill="1" applyBorder="1" applyAlignment="1">
      <alignment horizontal="left" vertical="top" wrapText="1"/>
    </xf>
    <xf numFmtId="166" fontId="8" fillId="7" borderId="11" xfId="0" applyNumberFormat="1" applyFont="1" applyFill="1" applyBorder="1" applyAlignment="1">
      <alignment horizontal="left" vertical="top" wrapText="1"/>
    </xf>
    <xf numFmtId="166" fontId="5" fillId="7" borderId="25" xfId="0" applyNumberFormat="1" applyFont="1" applyFill="1" applyBorder="1" applyAlignment="1">
      <alignment horizontal="center" vertical="center" textRotation="90" wrapText="1"/>
    </xf>
    <xf numFmtId="166" fontId="5" fillId="7" borderId="11" xfId="0" applyNumberFormat="1" applyFont="1" applyFill="1" applyBorder="1" applyAlignment="1">
      <alignment horizontal="center" vertical="center" textRotation="90" wrapText="1"/>
    </xf>
    <xf numFmtId="0" fontId="25" fillId="7" borderId="7" xfId="0" applyFont="1" applyFill="1" applyBorder="1" applyAlignment="1">
      <alignment horizontal="left" vertical="top" wrapText="1"/>
    </xf>
    <xf numFmtId="0" fontId="30" fillId="7" borderId="7" xfId="0" applyFont="1" applyFill="1" applyBorder="1" applyAlignment="1">
      <alignment horizontal="left" vertical="top" wrapText="1"/>
    </xf>
    <xf numFmtId="166" fontId="4" fillId="7" borderId="20" xfId="0" applyNumberFormat="1" applyFont="1" applyFill="1" applyBorder="1" applyAlignment="1">
      <alignment horizontal="center" vertical="top" textRotation="90" wrapText="1"/>
    </xf>
    <xf numFmtId="0" fontId="0" fillId="7" borderId="11" xfId="0" applyFont="1" applyFill="1" applyBorder="1" applyAlignment="1">
      <alignment horizontal="center" vertical="top" textRotation="90" wrapText="1"/>
    </xf>
    <xf numFmtId="0" fontId="0" fillId="7" borderId="28" xfId="0" applyFont="1" applyFill="1" applyBorder="1" applyAlignment="1">
      <alignment horizontal="center" vertical="top" textRotation="90" wrapText="1"/>
    </xf>
    <xf numFmtId="166" fontId="4" fillId="7" borderId="20" xfId="0" applyNumberFormat="1" applyFont="1" applyFill="1" applyBorder="1" applyAlignment="1">
      <alignment horizontal="center" vertical="center" textRotation="90" wrapText="1"/>
    </xf>
    <xf numFmtId="0" fontId="0" fillId="7" borderId="28" xfId="0" applyFill="1" applyBorder="1" applyAlignment="1">
      <alignment horizontal="center" vertical="center" textRotation="90" wrapText="1"/>
    </xf>
    <xf numFmtId="0" fontId="3" fillId="7" borderId="107" xfId="0" applyFont="1" applyFill="1" applyBorder="1" applyAlignment="1">
      <alignment horizontal="left" vertical="top" wrapText="1"/>
    </xf>
    <xf numFmtId="0" fontId="3" fillId="0" borderId="40"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68" xfId="0" applyFont="1" applyBorder="1" applyAlignment="1">
      <alignment horizontal="center" vertical="center" textRotation="90" wrapText="1"/>
    </xf>
    <xf numFmtId="0" fontId="4" fillId="0" borderId="70" xfId="0" applyFont="1" applyBorder="1" applyAlignment="1">
      <alignment horizontal="center" vertical="center"/>
    </xf>
    <xf numFmtId="0" fontId="4" fillId="0" borderId="75" xfId="0" applyFont="1" applyBorder="1" applyAlignment="1">
      <alignment horizontal="center" vertical="center"/>
    </xf>
    <xf numFmtId="0" fontId="4" fillId="0" borderId="71" xfId="0" applyFont="1" applyBorder="1" applyAlignment="1">
      <alignment horizontal="center" vertical="center"/>
    </xf>
    <xf numFmtId="0" fontId="3" fillId="0" borderId="3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4" xfId="0" applyFont="1" applyBorder="1" applyAlignment="1">
      <alignment horizontal="center" vertical="center"/>
    </xf>
    <xf numFmtId="0" fontId="3" fillId="0" borderId="43" xfId="0" applyFont="1" applyBorder="1" applyAlignment="1">
      <alignment horizontal="center" vertical="center"/>
    </xf>
    <xf numFmtId="3" fontId="3" fillId="0" borderId="42" xfId="0" applyNumberFormat="1" applyFont="1" applyBorder="1" applyAlignment="1">
      <alignment horizontal="center" vertical="center" textRotation="90" shrinkToFit="1"/>
    </xf>
    <xf numFmtId="3" fontId="3" fillId="0" borderId="49" xfId="0" applyNumberFormat="1" applyFont="1" applyBorder="1" applyAlignment="1">
      <alignment horizontal="center" vertical="center" textRotation="90" shrinkToFit="1"/>
    </xf>
    <xf numFmtId="3" fontId="3" fillId="0" borderId="57" xfId="0" applyNumberFormat="1" applyFont="1" applyBorder="1" applyAlignment="1">
      <alignment horizontal="center" vertical="center" textRotation="90" shrinkToFit="1"/>
    </xf>
    <xf numFmtId="3" fontId="3" fillId="0" borderId="42" xfId="0" applyNumberFormat="1" applyFont="1" applyBorder="1" applyAlignment="1">
      <alignment horizontal="center" vertical="center" textRotation="90" wrapText="1"/>
    </xf>
    <xf numFmtId="3" fontId="3" fillId="0" borderId="49" xfId="0" applyNumberFormat="1" applyFont="1" applyBorder="1" applyAlignment="1">
      <alignment horizontal="center" vertical="center" textRotation="90" wrapText="1"/>
    </xf>
    <xf numFmtId="3" fontId="3" fillId="0" borderId="57" xfId="0" applyNumberFormat="1" applyFont="1" applyBorder="1" applyAlignment="1">
      <alignment horizontal="center" vertical="center" textRotation="90" wrapText="1"/>
    </xf>
    <xf numFmtId="3" fontId="3" fillId="0" borderId="40" xfId="0" applyNumberFormat="1" applyFont="1" applyBorder="1" applyAlignment="1">
      <alignment horizontal="center" vertical="center" textRotation="90" wrapText="1" shrinkToFit="1"/>
    </xf>
    <xf numFmtId="3" fontId="3" fillId="0" borderId="6" xfId="0" applyNumberFormat="1" applyFont="1" applyBorder="1" applyAlignment="1">
      <alignment horizontal="center" vertical="center" textRotation="90" wrapText="1" shrinkToFit="1"/>
    </xf>
    <xf numFmtId="3" fontId="3" fillId="0" borderId="68" xfId="0" applyNumberFormat="1" applyFont="1" applyBorder="1" applyAlignment="1">
      <alignment horizontal="center" vertical="center" textRotation="90" wrapText="1" shrinkToFit="1"/>
    </xf>
    <xf numFmtId="0" fontId="9" fillId="0" borderId="6" xfId="0" applyFont="1" applyBorder="1" applyAlignment="1">
      <alignment horizontal="center" vertical="center" textRotation="90" wrapText="1"/>
    </xf>
    <xf numFmtId="0" fontId="9" fillId="0" borderId="68" xfId="0" applyFont="1" applyBorder="1" applyAlignment="1">
      <alignment horizontal="center" vertical="center" textRotation="90" wrapText="1"/>
    </xf>
    <xf numFmtId="0" fontId="3" fillId="7" borderId="11" xfId="0" applyFont="1" applyFill="1" applyBorder="1" applyAlignment="1">
      <alignment horizontal="left" vertical="top" wrapText="1"/>
    </xf>
    <xf numFmtId="0" fontId="3" fillId="7" borderId="28" xfId="0" applyFont="1" applyFill="1" applyBorder="1" applyAlignment="1">
      <alignment horizontal="left" vertical="top" wrapText="1"/>
    </xf>
    <xf numFmtId="166" fontId="3" fillId="7" borderId="37" xfId="0" applyNumberFormat="1" applyFont="1" applyFill="1" applyBorder="1" applyAlignment="1">
      <alignment vertical="top" wrapText="1"/>
    </xf>
    <xf numFmtId="166" fontId="9" fillId="7" borderId="29" xfId="0" applyNumberFormat="1" applyFont="1" applyFill="1" applyBorder="1" applyAlignment="1">
      <alignment vertical="top"/>
    </xf>
    <xf numFmtId="3" fontId="3" fillId="7" borderId="47" xfId="0" applyNumberFormat="1" applyFont="1" applyFill="1" applyBorder="1" applyAlignment="1">
      <alignment horizontal="center" vertical="top"/>
    </xf>
    <xf numFmtId="3" fontId="9" fillId="7" borderId="35" xfId="0" applyNumberFormat="1" applyFont="1" applyFill="1" applyBorder="1" applyAlignment="1">
      <alignment vertical="top"/>
    </xf>
    <xf numFmtId="3" fontId="3" fillId="7" borderId="20" xfId="0" applyNumberFormat="1" applyFont="1" applyFill="1" applyBorder="1" applyAlignment="1">
      <alignment horizontal="center" vertical="top"/>
    </xf>
    <xf numFmtId="3" fontId="9" fillId="0" borderId="28" xfId="0" applyNumberFormat="1" applyFont="1" applyBorder="1" applyAlignment="1">
      <alignment vertical="top"/>
    </xf>
    <xf numFmtId="3" fontId="3" fillId="7" borderId="39" xfId="0" applyNumberFormat="1" applyFont="1" applyFill="1" applyBorder="1" applyAlignment="1">
      <alignment horizontal="center" vertical="top"/>
    </xf>
    <xf numFmtId="3" fontId="9" fillId="0" borderId="54" xfId="0" applyNumberFormat="1" applyFont="1" applyBorder="1" applyAlignment="1">
      <alignment vertical="top"/>
    </xf>
    <xf numFmtId="3" fontId="3" fillId="0" borderId="0" xfId="0" applyNumberFormat="1" applyFont="1" applyAlignment="1">
      <alignment horizontal="left" vertical="top" wrapText="1"/>
    </xf>
    <xf numFmtId="3" fontId="21" fillId="0" borderId="0" xfId="0" applyNumberFormat="1" applyFont="1" applyAlignment="1">
      <alignment horizontal="center" vertical="top" wrapText="1"/>
    </xf>
    <xf numFmtId="0" fontId="22" fillId="0" borderId="0" xfId="0" applyFont="1" applyBorder="1" applyAlignment="1">
      <alignment horizontal="center" vertical="top" wrapText="1"/>
    </xf>
    <xf numFmtId="0" fontId="21" fillId="0" borderId="0" xfId="0" applyFont="1" applyBorder="1" applyAlignment="1">
      <alignment horizontal="center" vertical="top"/>
    </xf>
    <xf numFmtId="0" fontId="3" fillId="0" borderId="32" xfId="0" applyFont="1" applyBorder="1" applyAlignment="1">
      <alignment horizontal="right" vertical="top"/>
    </xf>
    <xf numFmtId="0" fontId="0" fillId="0" borderId="32" xfId="0" applyFont="1" applyBorder="1" applyAlignment="1">
      <alignment vertical="top"/>
    </xf>
    <xf numFmtId="3" fontId="3" fillId="0" borderId="5" xfId="0" applyNumberFormat="1" applyFont="1" applyBorder="1" applyAlignment="1">
      <alignment horizontal="center" vertical="center" textRotation="90" shrinkToFit="1"/>
    </xf>
    <xf numFmtId="3" fontId="3" fillId="0" borderId="7" xfId="0" applyNumberFormat="1" applyFont="1" applyBorder="1" applyAlignment="1">
      <alignment horizontal="center" vertical="center" textRotation="90" shrinkToFit="1"/>
    </xf>
    <xf numFmtId="3" fontId="3" fillId="0" borderId="9" xfId="0" applyNumberFormat="1" applyFont="1" applyBorder="1" applyAlignment="1">
      <alignment horizontal="center" vertical="center" textRotation="90" shrinkToFit="1"/>
    </xf>
    <xf numFmtId="3" fontId="3" fillId="0" borderId="25" xfId="0" applyNumberFormat="1" applyFont="1" applyBorder="1" applyAlignment="1">
      <alignment horizontal="center" vertical="center" textRotation="90" shrinkToFit="1"/>
    </xf>
    <xf numFmtId="3" fontId="3" fillId="0" borderId="11" xfId="0" applyNumberFormat="1" applyFont="1" applyBorder="1" applyAlignment="1">
      <alignment horizontal="center" vertical="center" textRotation="90" shrinkToFit="1"/>
    </xf>
    <xf numFmtId="3" fontId="3" fillId="0" borderId="30" xfId="0" applyNumberFormat="1" applyFont="1" applyBorder="1" applyAlignment="1">
      <alignment horizontal="center" vertical="center" textRotation="90" shrinkToFit="1"/>
    </xf>
    <xf numFmtId="3" fontId="3" fillId="0" borderId="25" xfId="0" applyNumberFormat="1" applyFont="1" applyFill="1" applyBorder="1" applyAlignment="1">
      <alignment horizontal="center" vertical="center" textRotation="90" shrinkToFit="1"/>
    </xf>
    <xf numFmtId="3" fontId="3" fillId="0" borderId="11" xfId="0" applyNumberFormat="1" applyFont="1" applyFill="1" applyBorder="1" applyAlignment="1">
      <alignment horizontal="center" vertical="center" textRotation="90" shrinkToFit="1"/>
    </xf>
    <xf numFmtId="3" fontId="3" fillId="0" borderId="30" xfId="0" applyNumberFormat="1" applyFont="1" applyFill="1" applyBorder="1" applyAlignment="1">
      <alignment horizontal="center" vertical="center" textRotation="90" shrinkToFit="1"/>
    </xf>
    <xf numFmtId="3" fontId="3" fillId="0" borderId="42" xfId="0" applyNumberFormat="1" applyFont="1" applyBorder="1" applyAlignment="1">
      <alignment horizontal="center" vertical="center" shrinkToFit="1"/>
    </xf>
    <xf numFmtId="3" fontId="3" fillId="0" borderId="49" xfId="0" applyNumberFormat="1" applyFont="1" applyBorder="1" applyAlignment="1">
      <alignment horizontal="center" vertical="center" shrinkToFit="1"/>
    </xf>
    <xf numFmtId="3" fontId="3" fillId="0" borderId="57" xfId="0" applyNumberFormat="1" applyFont="1" applyBorder="1" applyAlignment="1">
      <alignment horizontal="center" vertical="center" shrinkToFit="1"/>
    </xf>
    <xf numFmtId="49" fontId="6" fillId="6" borderId="70" xfId="0" applyNumberFormat="1" applyFont="1" applyFill="1" applyBorder="1" applyAlignment="1">
      <alignment horizontal="left" vertical="top" wrapText="1"/>
    </xf>
    <xf numFmtId="49" fontId="6" fillId="6" borderId="75" xfId="0" applyNumberFormat="1" applyFont="1" applyFill="1" applyBorder="1" applyAlignment="1">
      <alignment horizontal="left" vertical="top" wrapText="1"/>
    </xf>
    <xf numFmtId="49" fontId="6" fillId="6" borderId="71" xfId="0" applyNumberFormat="1" applyFont="1" applyFill="1" applyBorder="1" applyAlignment="1">
      <alignment horizontal="left" vertical="top" wrapText="1"/>
    </xf>
    <xf numFmtId="0" fontId="6" fillId="5" borderId="69" xfId="0" applyFont="1" applyFill="1" applyBorder="1" applyAlignment="1">
      <alignment horizontal="left" vertical="top" wrapText="1"/>
    </xf>
    <xf numFmtId="0" fontId="6" fillId="5" borderId="64" xfId="0" applyFont="1" applyFill="1" applyBorder="1" applyAlignment="1">
      <alignment horizontal="left" vertical="top" wrapText="1"/>
    </xf>
    <xf numFmtId="0" fontId="6" fillId="5" borderId="43" xfId="0" applyFont="1" applyFill="1" applyBorder="1" applyAlignment="1">
      <alignment horizontal="left" vertical="top" wrapText="1"/>
    </xf>
    <xf numFmtId="0" fontId="4" fillId="9" borderId="38" xfId="0" applyFont="1" applyFill="1" applyBorder="1" applyAlignment="1">
      <alignment horizontal="left" vertical="top"/>
    </xf>
    <xf numFmtId="0" fontId="4" fillId="9" borderId="64" xfId="0" applyFont="1" applyFill="1" applyBorder="1" applyAlignment="1">
      <alignment horizontal="left" vertical="top"/>
    </xf>
    <xf numFmtId="0" fontId="4" fillId="9" borderId="43" xfId="0" applyFont="1" applyFill="1" applyBorder="1" applyAlignment="1">
      <alignment horizontal="left" vertical="top"/>
    </xf>
    <xf numFmtId="0" fontId="4" fillId="2" borderId="38" xfId="0" applyFont="1" applyFill="1" applyBorder="1" applyAlignment="1">
      <alignment horizontal="left" vertical="top" wrapText="1"/>
    </xf>
    <xf numFmtId="0" fontId="4" fillId="2" borderId="64" xfId="0" applyFont="1" applyFill="1" applyBorder="1" applyAlignment="1">
      <alignment horizontal="left" vertical="top" wrapText="1"/>
    </xf>
    <xf numFmtId="0" fontId="4" fillId="2" borderId="43" xfId="0" applyFont="1" applyFill="1" applyBorder="1" applyAlignment="1">
      <alignment horizontal="left" vertical="top" wrapText="1"/>
    </xf>
    <xf numFmtId="0" fontId="3" fillId="7" borderId="20" xfId="0" applyFont="1" applyFill="1" applyBorder="1" applyAlignment="1">
      <alignment horizontal="left" vertical="top" wrapText="1"/>
    </xf>
    <xf numFmtId="3" fontId="3" fillId="7" borderId="21" xfId="0" applyNumberFormat="1" applyFont="1" applyFill="1" applyBorder="1" applyAlignment="1">
      <alignment horizontal="left" vertical="top" wrapText="1"/>
    </xf>
    <xf numFmtId="0" fontId="9" fillId="0" borderId="27" xfId="0" applyFont="1" applyBorder="1" applyAlignment="1">
      <alignment horizontal="left" wrapText="1"/>
    </xf>
    <xf numFmtId="0" fontId="0" fillId="0" borderId="27" xfId="0" applyBorder="1" applyAlignment="1">
      <alignment horizontal="left" vertical="top" wrapText="1"/>
    </xf>
    <xf numFmtId="0" fontId="3" fillId="7" borderId="113" xfId="0" applyFont="1" applyFill="1" applyBorder="1" applyAlignment="1">
      <alignment horizontal="left" vertical="top" wrapText="1"/>
    </xf>
    <xf numFmtId="0" fontId="0" fillId="7" borderId="19" xfId="0" applyFill="1" applyBorder="1" applyAlignment="1">
      <alignment horizontal="left" vertical="top" wrapText="1"/>
    </xf>
    <xf numFmtId="3" fontId="3" fillId="7" borderId="18" xfId="0" applyNumberFormat="1" applyFont="1" applyFill="1" applyBorder="1" applyAlignment="1">
      <alignment horizontal="left" vertical="top" wrapText="1"/>
    </xf>
    <xf numFmtId="0" fontId="9" fillId="0" borderId="27" xfId="0" applyFont="1" applyBorder="1" applyAlignment="1">
      <alignment horizontal="left" vertical="top" wrapText="1"/>
    </xf>
    <xf numFmtId="0" fontId="8" fillId="7" borderId="11" xfId="0" applyFont="1" applyFill="1" applyBorder="1" applyAlignment="1">
      <alignment vertical="top" wrapText="1"/>
    </xf>
    <xf numFmtId="0" fontId="5" fillId="0" borderId="11" xfId="0" applyFont="1" applyFill="1" applyBorder="1" applyAlignment="1">
      <alignment horizontal="center" vertical="center" textRotation="90" wrapText="1"/>
    </xf>
    <xf numFmtId="0" fontId="3" fillId="0" borderId="51" xfId="0" applyNumberFormat="1" applyFont="1" applyBorder="1" applyAlignment="1">
      <alignment horizontal="center" vertical="center" textRotation="90" shrinkToFit="1"/>
    </xf>
    <xf numFmtId="0" fontId="3" fillId="0" borderId="44" xfId="0" applyNumberFormat="1" applyFont="1" applyBorder="1" applyAlignment="1">
      <alignment horizontal="center" vertical="center" textRotation="90" shrinkToFit="1"/>
    </xf>
    <xf numFmtId="0" fontId="3" fillId="0" borderId="33" xfId="0" applyNumberFormat="1" applyFont="1" applyBorder="1" applyAlignment="1">
      <alignment horizontal="center" vertical="center" textRotation="90" shrinkToFit="1"/>
    </xf>
    <xf numFmtId="0" fontId="3" fillId="0" borderId="40" xfId="0" applyFont="1" applyBorder="1" applyAlignment="1">
      <alignment horizontal="center" vertical="center" textRotation="90" shrinkToFit="1"/>
    </xf>
    <xf numFmtId="0" fontId="3" fillId="0" borderId="6" xfId="0" applyFont="1" applyBorder="1" applyAlignment="1">
      <alignment horizontal="center" vertical="center" textRotation="90" shrinkToFit="1"/>
    </xf>
    <xf numFmtId="0" fontId="3" fillId="0" borderId="68" xfId="0" applyFont="1" applyBorder="1" applyAlignment="1">
      <alignment horizontal="center" vertical="center" textRotation="90" shrinkToFit="1"/>
    </xf>
    <xf numFmtId="166" fontId="3" fillId="0" borderId="45" xfId="0" applyNumberFormat="1" applyFont="1" applyBorder="1" applyAlignment="1">
      <alignment horizontal="center" vertical="center" textRotation="90" wrapText="1"/>
    </xf>
    <xf numFmtId="0" fontId="9" fillId="0" borderId="34" xfId="0" applyFont="1" applyBorder="1" applyAlignment="1">
      <alignment horizontal="center" vertical="center" textRotation="90" wrapText="1"/>
    </xf>
    <xf numFmtId="0" fontId="9" fillId="0" borderId="74" xfId="0" applyFont="1" applyBorder="1" applyAlignment="1">
      <alignment horizontal="center" vertical="center" textRotation="90" wrapText="1"/>
    </xf>
    <xf numFmtId="0" fontId="3" fillId="7" borderId="25" xfId="0" applyFont="1" applyFill="1" applyBorder="1" applyAlignment="1">
      <alignment horizontal="center" vertical="center" textRotation="90" wrapText="1" shrinkToFit="1"/>
    </xf>
    <xf numFmtId="0" fontId="3" fillId="7" borderId="11" xfId="0" applyFont="1" applyFill="1" applyBorder="1" applyAlignment="1">
      <alignment horizontal="center" vertical="center" textRotation="90" wrapText="1" shrinkToFit="1"/>
    </xf>
    <xf numFmtId="0" fontId="3" fillId="7" borderId="30" xfId="0" applyFont="1" applyFill="1" applyBorder="1" applyAlignment="1">
      <alignment horizontal="center" vertical="center" textRotation="90" wrapText="1" shrinkToFit="1"/>
    </xf>
    <xf numFmtId="0" fontId="3" fillId="0" borderId="5" xfId="0" applyFont="1" applyBorder="1" applyAlignment="1">
      <alignment horizontal="center" vertical="center" textRotation="90" shrinkToFit="1"/>
    </xf>
    <xf numFmtId="0" fontId="3" fillId="0" borderId="7" xfId="0" applyFont="1" applyBorder="1" applyAlignment="1">
      <alignment horizontal="center" vertical="center" textRotation="90" shrinkToFit="1"/>
    </xf>
    <xf numFmtId="0" fontId="3" fillId="0" borderId="9" xfId="0" applyFont="1" applyBorder="1" applyAlignment="1">
      <alignment horizontal="center" vertical="center" textRotation="90" shrinkToFit="1"/>
    </xf>
    <xf numFmtId="0" fontId="3" fillId="0" borderId="25" xfId="0" applyFont="1" applyBorder="1" applyAlignment="1">
      <alignment horizontal="center" vertical="center" textRotation="90" shrinkToFit="1"/>
    </xf>
    <xf numFmtId="0" fontId="3" fillId="0" borderId="11" xfId="0" applyFont="1" applyBorder="1" applyAlignment="1">
      <alignment horizontal="center" vertical="center" textRotation="90" shrinkToFit="1"/>
    </xf>
    <xf numFmtId="0" fontId="3" fillId="0" borderId="30" xfId="0" applyFont="1" applyBorder="1" applyAlignment="1">
      <alignment horizontal="center" vertical="center" textRotation="90" shrinkToFit="1"/>
    </xf>
    <xf numFmtId="0" fontId="3" fillId="0" borderId="42"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1" xfId="0" applyFont="1" applyBorder="1" applyAlignment="1">
      <alignment horizontal="center" vertical="center" textRotation="90" shrinkToFit="1"/>
    </xf>
    <xf numFmtId="0" fontId="3" fillId="0" borderId="44" xfId="0" applyFont="1" applyBorder="1" applyAlignment="1">
      <alignment horizontal="center" vertical="center" textRotation="90" shrinkToFit="1"/>
    </xf>
    <xf numFmtId="0" fontId="3" fillId="0" borderId="33" xfId="0" applyFont="1" applyBorder="1" applyAlignment="1">
      <alignment horizontal="center" vertical="center" textRotation="90" shrinkToFit="1"/>
    </xf>
    <xf numFmtId="0" fontId="25" fillId="7" borderId="48" xfId="0" applyFont="1" applyFill="1" applyBorder="1" applyAlignment="1">
      <alignment horizontal="left" vertical="top" wrapText="1"/>
    </xf>
    <xf numFmtId="0" fontId="30" fillId="7" borderId="48" xfId="0" applyFont="1" applyFill="1" applyBorder="1" applyAlignment="1">
      <alignment horizontal="left" vertical="top" wrapText="1"/>
    </xf>
    <xf numFmtId="0" fontId="0" fillId="7" borderId="82" xfId="0" applyFill="1" applyBorder="1" applyAlignment="1">
      <alignment horizontal="left" vertical="top" wrapText="1"/>
    </xf>
    <xf numFmtId="49" fontId="3" fillId="7" borderId="48" xfId="0" applyNumberFormat="1" applyFont="1" applyFill="1" applyBorder="1" applyAlignment="1">
      <alignment horizontal="left" vertical="top" wrapText="1"/>
    </xf>
    <xf numFmtId="0" fontId="9" fillId="7" borderId="48" xfId="0" applyFont="1" applyFill="1" applyBorder="1" applyAlignment="1">
      <alignment horizontal="left" vertical="top" wrapText="1"/>
    </xf>
    <xf numFmtId="166" fontId="3" fillId="7" borderId="46" xfId="0" applyNumberFormat="1" applyFont="1" applyFill="1" applyBorder="1" applyAlignment="1">
      <alignment vertical="top" wrapText="1"/>
    </xf>
    <xf numFmtId="166" fontId="9" fillId="7" borderId="19" xfId="0" applyNumberFormat="1" applyFont="1" applyFill="1" applyBorder="1" applyAlignment="1">
      <alignment vertical="top"/>
    </xf>
    <xf numFmtId="166" fontId="3" fillId="7" borderId="26" xfId="0" applyNumberFormat="1" applyFont="1" applyFill="1" applyBorder="1" applyAlignment="1">
      <alignment horizontal="left" vertical="top" wrapText="1"/>
    </xf>
    <xf numFmtId="0" fontId="9" fillId="7" borderId="18" xfId="0" applyFont="1" applyFill="1" applyBorder="1" applyAlignment="1">
      <alignment horizontal="left" vertical="top" wrapText="1"/>
    </xf>
    <xf numFmtId="3" fontId="3" fillId="7" borderId="18" xfId="0" applyNumberFormat="1" applyFont="1" applyFill="1" applyBorder="1" applyAlignment="1">
      <alignment horizontal="center" vertical="top"/>
    </xf>
    <xf numFmtId="3" fontId="9" fillId="7" borderId="18" xfId="0" applyNumberFormat="1" applyFont="1" applyFill="1" applyBorder="1" applyAlignment="1">
      <alignment vertical="top"/>
    </xf>
    <xf numFmtId="166" fontId="9" fillId="7" borderId="19" xfId="0" applyNumberFormat="1" applyFont="1" applyFill="1" applyBorder="1" applyAlignment="1">
      <alignment vertical="top" wrapText="1"/>
    </xf>
    <xf numFmtId="3" fontId="3" fillId="7" borderId="31" xfId="0" applyNumberFormat="1" applyFont="1" applyFill="1" applyBorder="1" applyAlignment="1">
      <alignment horizontal="left" vertical="top" wrapText="1"/>
    </xf>
    <xf numFmtId="0" fontId="9" fillId="7" borderId="27" xfId="0" applyFont="1" applyFill="1" applyBorder="1" applyAlignment="1">
      <alignment horizontal="left" vertical="top" wrapText="1"/>
    </xf>
    <xf numFmtId="166" fontId="3" fillId="0" borderId="48" xfId="0" applyNumberFormat="1" applyFont="1" applyFill="1" applyBorder="1" applyAlignment="1">
      <alignment horizontal="left" vertical="top" wrapText="1"/>
    </xf>
    <xf numFmtId="0" fontId="0" fillId="0" borderId="19" xfId="0" applyBorder="1" applyAlignment="1">
      <alignment vertical="top"/>
    </xf>
    <xf numFmtId="166" fontId="3" fillId="0" borderId="46" xfId="0" applyNumberFormat="1" applyFont="1" applyFill="1" applyBorder="1" applyAlignment="1">
      <alignment horizontal="left" vertical="top" wrapText="1"/>
    </xf>
    <xf numFmtId="166" fontId="3" fillId="0" borderId="19" xfId="0" applyNumberFormat="1" applyFont="1" applyFill="1" applyBorder="1" applyAlignment="1">
      <alignment horizontal="left" vertical="top" wrapText="1"/>
    </xf>
    <xf numFmtId="166" fontId="3" fillId="7" borderId="46" xfId="0" applyNumberFormat="1" applyFont="1" applyFill="1" applyBorder="1" applyAlignment="1">
      <alignment horizontal="left" vertical="top" wrapText="1"/>
    </xf>
    <xf numFmtId="0" fontId="0" fillId="0" borderId="99" xfId="0" applyBorder="1" applyAlignment="1">
      <alignment vertical="top" wrapText="1"/>
    </xf>
    <xf numFmtId="0" fontId="0" fillId="7" borderId="18" xfId="0" applyFill="1" applyBorder="1" applyAlignment="1">
      <alignment vertical="top"/>
    </xf>
    <xf numFmtId="166" fontId="3" fillId="7" borderId="48" xfId="0" applyNumberFormat="1" applyFont="1" applyFill="1" applyBorder="1" applyAlignment="1">
      <alignment horizontal="left" vertical="top" wrapText="1"/>
    </xf>
    <xf numFmtId="166" fontId="9" fillId="7" borderId="19" xfId="0" applyNumberFormat="1" applyFont="1" applyFill="1" applyBorder="1" applyAlignment="1">
      <alignment horizontal="left" vertical="top" wrapText="1"/>
    </xf>
    <xf numFmtId="0" fontId="0" fillId="7" borderId="9" xfId="0" applyFill="1" applyBorder="1" applyAlignment="1">
      <alignment vertical="top" wrapText="1"/>
    </xf>
    <xf numFmtId="0" fontId="0" fillId="7" borderId="18" xfId="0" applyFill="1" applyBorder="1" applyAlignment="1">
      <alignment horizontal="left" vertical="top" wrapText="1"/>
    </xf>
    <xf numFmtId="3" fontId="3" fillId="7" borderId="26" xfId="0" applyNumberFormat="1" applyFont="1" applyFill="1" applyBorder="1" applyAlignment="1">
      <alignment horizontal="left" vertical="top" wrapText="1"/>
    </xf>
    <xf numFmtId="0" fontId="0" fillId="0" borderId="18" xfId="0" applyBorder="1" applyAlignment="1">
      <alignment horizontal="left" vertical="top" wrapText="1"/>
    </xf>
    <xf numFmtId="166" fontId="3" fillId="2" borderId="56" xfId="0" applyNumberFormat="1" applyFont="1" applyFill="1" applyBorder="1" applyAlignment="1">
      <alignment horizontal="center" vertical="top" wrapText="1"/>
    </xf>
    <xf numFmtId="166" fontId="3" fillId="9" borderId="56" xfId="0" applyNumberFormat="1" applyFont="1" applyFill="1" applyBorder="1" applyAlignment="1">
      <alignment horizontal="center" vertical="top"/>
    </xf>
    <xf numFmtId="166" fontId="3" fillId="5" borderId="56" xfId="0" applyNumberFormat="1" applyFont="1" applyFill="1" applyBorder="1" applyAlignment="1">
      <alignment horizontal="center" vertical="top"/>
    </xf>
    <xf numFmtId="0" fontId="4" fillId="0" borderId="0" xfId="0" applyNumberFormat="1" applyFont="1" applyFill="1" applyAlignment="1">
      <alignment horizontal="center" vertical="top"/>
    </xf>
    <xf numFmtId="0" fontId="3" fillId="0" borderId="45" xfId="0" applyFont="1" applyBorder="1" applyAlignment="1">
      <alignment horizontal="center" vertical="center" textRotation="90" wrapText="1"/>
    </xf>
    <xf numFmtId="0" fontId="3" fillId="0" borderId="34" xfId="0" applyFont="1" applyBorder="1" applyAlignment="1">
      <alignment horizontal="center" vertical="center" textRotation="90" wrapText="1"/>
    </xf>
    <xf numFmtId="0" fontId="3" fillId="0" borderId="74" xfId="0" applyFont="1" applyBorder="1" applyAlignment="1">
      <alignment horizontal="center" vertical="center" textRotation="90" wrapText="1"/>
    </xf>
    <xf numFmtId="3" fontId="3" fillId="0" borderId="47" xfId="0" applyNumberFormat="1" applyFont="1" applyFill="1" applyBorder="1" applyAlignment="1">
      <alignment horizontal="center" vertical="top"/>
    </xf>
    <xf numFmtId="3" fontId="3" fillId="0" borderId="35"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9" fillId="0" borderId="77" xfId="0" applyNumberFormat="1" applyFont="1" applyBorder="1" applyAlignment="1">
      <alignment vertical="top"/>
    </xf>
    <xf numFmtId="1" fontId="3" fillId="7" borderId="49" xfId="0" applyNumberFormat="1" applyFont="1" applyFill="1" applyBorder="1" applyAlignment="1">
      <alignment horizontal="center" vertical="top"/>
    </xf>
    <xf numFmtId="0" fontId="0" fillId="0" borderId="35" xfId="0" applyBorder="1" applyAlignment="1">
      <alignment vertical="top"/>
    </xf>
    <xf numFmtId="3" fontId="4" fillId="7" borderId="56" xfId="0" applyNumberFormat="1" applyFont="1" applyFill="1" applyBorder="1" applyAlignment="1">
      <alignment horizontal="center" vertical="center" wrapText="1"/>
    </xf>
    <xf numFmtId="3" fontId="4" fillId="7" borderId="72" xfId="0" applyNumberFormat="1" applyFont="1" applyFill="1" applyBorder="1" applyAlignment="1">
      <alignment horizontal="center" vertical="center" wrapText="1"/>
    </xf>
    <xf numFmtId="3" fontId="4" fillId="7" borderId="73" xfId="0" applyNumberFormat="1" applyFont="1" applyFill="1" applyBorder="1" applyAlignment="1">
      <alignment horizontal="center" vertical="center" wrapText="1"/>
    </xf>
    <xf numFmtId="3" fontId="25" fillId="7" borderId="18" xfId="0" applyNumberFormat="1" applyFont="1" applyFill="1" applyBorder="1" applyAlignment="1">
      <alignment horizontal="center" vertical="top" wrapText="1"/>
    </xf>
    <xf numFmtId="0" fontId="0" fillId="0" borderId="18" xfId="0" applyBorder="1" applyAlignment="1">
      <alignment horizontal="center" vertical="top" wrapText="1"/>
    </xf>
    <xf numFmtId="3" fontId="3" fillId="3" borderId="18" xfId="0" applyNumberFormat="1" applyFont="1" applyFill="1" applyBorder="1" applyAlignment="1">
      <alignment horizontal="left" vertical="top" wrapText="1"/>
    </xf>
    <xf numFmtId="0" fontId="3" fillId="0" borderId="18" xfId="0" applyFont="1" applyBorder="1" applyAlignment="1">
      <alignment vertical="top" wrapText="1"/>
    </xf>
    <xf numFmtId="0" fontId="9" fillId="7" borderId="18" xfId="0" applyFont="1" applyFill="1" applyBorder="1" applyAlignment="1">
      <alignment vertical="top" wrapText="1"/>
    </xf>
    <xf numFmtId="0" fontId="9" fillId="0" borderId="11" xfId="0" applyFont="1" applyBorder="1" applyAlignment="1">
      <alignment horizontal="left" vertical="top" wrapText="1"/>
    </xf>
    <xf numFmtId="0" fontId="9" fillId="0" borderId="11" xfId="0" applyFont="1" applyBorder="1" applyAlignment="1">
      <alignment horizontal="center" vertical="center" textRotation="90" wrapText="1"/>
    </xf>
    <xf numFmtId="3" fontId="3" fillId="7" borderId="20" xfId="0" applyNumberFormat="1" applyFont="1" applyFill="1" applyBorder="1" applyAlignment="1">
      <alignment horizontal="center" vertical="top" wrapText="1"/>
    </xf>
    <xf numFmtId="3" fontId="3" fillId="7" borderId="28" xfId="0" applyNumberFormat="1" applyFont="1" applyFill="1" applyBorder="1" applyAlignment="1">
      <alignment horizontal="center" vertical="top" wrapText="1"/>
    </xf>
    <xf numFmtId="166" fontId="4" fillId="3" borderId="28" xfId="0" applyNumberFormat="1" applyFont="1" applyFill="1" applyBorder="1" applyAlignment="1">
      <alignment horizontal="center" vertical="top" wrapText="1"/>
    </xf>
    <xf numFmtId="166" fontId="4" fillId="3" borderId="47" xfId="0" applyNumberFormat="1" applyFont="1" applyFill="1" applyBorder="1" applyAlignment="1">
      <alignment horizontal="center" vertical="top" wrapText="1"/>
    </xf>
    <xf numFmtId="166" fontId="4" fillId="3" borderId="35" xfId="0" applyNumberFormat="1" applyFont="1" applyFill="1" applyBorder="1" applyAlignment="1">
      <alignment horizontal="center" vertical="top" wrapText="1"/>
    </xf>
    <xf numFmtId="0" fontId="3" fillId="7" borderId="11" xfId="0" applyFont="1" applyFill="1" applyBorder="1" applyAlignment="1">
      <alignment horizontal="center" vertical="top" wrapText="1"/>
    </xf>
    <xf numFmtId="0" fontId="3" fillId="0" borderId="27" xfId="0" applyFont="1" applyBorder="1" applyAlignment="1">
      <alignment vertical="top" wrapText="1"/>
    </xf>
    <xf numFmtId="0" fontId="9" fillId="7" borderId="29" xfId="0" applyFont="1" applyFill="1" applyBorder="1" applyAlignment="1">
      <alignment horizontal="left" vertical="top" wrapText="1"/>
    </xf>
    <xf numFmtId="166" fontId="25" fillId="7" borderId="48" xfId="0" applyNumberFormat="1" applyFont="1" applyFill="1" applyBorder="1" applyAlignment="1">
      <alignment horizontal="left" vertical="top" wrapText="1"/>
    </xf>
    <xf numFmtId="0" fontId="0" fillId="0" borderId="19" xfId="0" applyBorder="1" applyAlignment="1">
      <alignment horizontal="left" vertical="top" wrapText="1"/>
    </xf>
    <xf numFmtId="0" fontId="3" fillId="7" borderId="46" xfId="0" applyFont="1" applyFill="1" applyBorder="1" applyAlignment="1">
      <alignment vertical="top" wrapText="1"/>
    </xf>
    <xf numFmtId="0" fontId="9" fillId="7" borderId="48" xfId="0" applyFont="1" applyFill="1" applyBorder="1" applyAlignment="1">
      <alignment vertical="top" wrapText="1"/>
    </xf>
    <xf numFmtId="0" fontId="20" fillId="7" borderId="48" xfId="0" applyFont="1" applyFill="1" applyBorder="1" applyAlignment="1">
      <alignment vertical="top" wrapText="1"/>
    </xf>
    <xf numFmtId="0" fontId="20" fillId="7" borderId="19" xfId="0" applyFont="1" applyFill="1" applyBorder="1" applyAlignment="1">
      <alignment vertical="top" wrapText="1"/>
    </xf>
    <xf numFmtId="166" fontId="30" fillId="7" borderId="48" xfId="0" applyNumberFormat="1" applyFont="1" applyFill="1" applyBorder="1" applyAlignment="1">
      <alignment horizontal="left" vertical="top" wrapText="1"/>
    </xf>
    <xf numFmtId="0" fontId="0" fillId="0" borderId="29" xfId="0" applyBorder="1" applyAlignment="1">
      <alignment vertical="top" wrapText="1"/>
    </xf>
    <xf numFmtId="0" fontId="3" fillId="7" borderId="37" xfId="0" applyFont="1" applyFill="1" applyBorder="1" applyAlignment="1">
      <alignment vertical="top" wrapText="1"/>
    </xf>
    <xf numFmtId="0" fontId="0" fillId="7" borderId="27" xfId="0" applyFill="1" applyBorder="1" applyAlignment="1">
      <alignment horizontal="left" vertical="top" wrapText="1"/>
    </xf>
    <xf numFmtId="49" fontId="3" fillId="7" borderId="11" xfId="0" applyNumberFormat="1" applyFont="1" applyFill="1" applyBorder="1" applyAlignment="1">
      <alignment horizontal="center" vertical="top" wrapText="1"/>
    </xf>
    <xf numFmtId="49" fontId="3" fillId="7" borderId="28"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xf>
    <xf numFmtId="0" fontId="0" fillId="7" borderId="48" xfId="0" applyFill="1" applyBorder="1" applyAlignment="1">
      <alignment horizontal="left" vertical="top" wrapText="1"/>
    </xf>
    <xf numFmtId="0" fontId="3" fillId="0" borderId="21" xfId="0" applyFont="1" applyBorder="1" applyAlignment="1">
      <alignment horizontal="left" vertical="top" wrapText="1"/>
    </xf>
    <xf numFmtId="0" fontId="3" fillId="0" borderId="18" xfId="0" applyFont="1" applyBorder="1" applyAlignment="1">
      <alignment horizontal="left" vertical="top" wrapText="1"/>
    </xf>
    <xf numFmtId="49" fontId="7" fillId="0" borderId="20" xfId="0" applyNumberFormat="1" applyFont="1" applyBorder="1" applyAlignment="1">
      <alignment horizontal="center" vertical="center" textRotation="90" wrapText="1"/>
    </xf>
    <xf numFmtId="49" fontId="7" fillId="0" borderId="11" xfId="0" applyNumberFormat="1" applyFont="1" applyBorder="1" applyAlignment="1">
      <alignment horizontal="center" vertical="center" textRotation="90" wrapText="1"/>
    </xf>
    <xf numFmtId="49" fontId="7" fillId="0" borderId="28" xfId="0" applyNumberFormat="1" applyFont="1" applyBorder="1" applyAlignment="1">
      <alignment horizontal="center" vertical="center" textRotation="90" wrapText="1"/>
    </xf>
    <xf numFmtId="49" fontId="4" fillId="7" borderId="47" xfId="0" applyNumberFormat="1" applyFont="1" applyFill="1" applyBorder="1" applyAlignment="1">
      <alignment horizontal="center" vertical="top"/>
    </xf>
    <xf numFmtId="49" fontId="4" fillId="7" borderId="35" xfId="0" applyNumberFormat="1" applyFont="1" applyFill="1" applyBorder="1" applyAlignment="1">
      <alignment horizontal="center" vertical="top"/>
    </xf>
    <xf numFmtId="166" fontId="3" fillId="7" borderId="18" xfId="0" applyNumberFormat="1" applyFont="1" applyFill="1" applyBorder="1" applyAlignment="1">
      <alignment horizontal="center" vertical="top" wrapText="1"/>
    </xf>
    <xf numFmtId="166" fontId="3" fillId="7" borderId="27" xfId="0" applyNumberFormat="1" applyFont="1" applyFill="1" applyBorder="1" applyAlignment="1">
      <alignment horizontal="center" vertical="top" wrapText="1"/>
    </xf>
    <xf numFmtId="49" fontId="4" fillId="8" borderId="11" xfId="0" applyNumberFormat="1" applyFont="1" applyFill="1" applyBorder="1" applyAlignment="1">
      <alignment horizontal="center" vertical="top"/>
    </xf>
    <xf numFmtId="3" fontId="3" fillId="7" borderId="47" xfId="0" applyNumberFormat="1" applyFont="1" applyFill="1" applyBorder="1" applyAlignment="1">
      <alignment horizontal="center" vertical="top" wrapText="1"/>
    </xf>
    <xf numFmtId="3" fontId="9" fillId="7" borderId="102" xfId="0" applyNumberFormat="1" applyFont="1" applyFill="1" applyBorder="1" applyAlignment="1">
      <alignment horizontal="center" vertical="top" wrapText="1"/>
    </xf>
    <xf numFmtId="49" fontId="2" fillId="3" borderId="20" xfId="0" applyNumberFormat="1" applyFont="1" applyFill="1" applyBorder="1" applyAlignment="1">
      <alignment horizontal="center" vertical="center" textRotation="90" wrapText="1"/>
    </xf>
    <xf numFmtId="49" fontId="2" fillId="3" borderId="11" xfId="0" applyNumberFormat="1" applyFont="1" applyFill="1" applyBorder="1" applyAlignment="1">
      <alignment horizontal="center" vertical="center" textRotation="90" wrapText="1"/>
    </xf>
    <xf numFmtId="166" fontId="9" fillId="7" borderId="35" xfId="0" applyNumberFormat="1" applyFont="1" applyFill="1" applyBorder="1" applyAlignment="1">
      <alignment horizontal="left" vertical="top" wrapText="1"/>
    </xf>
    <xf numFmtId="49" fontId="7" fillId="0" borderId="20" xfId="0" applyNumberFormat="1" applyFont="1" applyBorder="1" applyAlignment="1">
      <alignment horizontal="center" vertical="top" textRotation="90"/>
    </xf>
    <xf numFmtId="0" fontId="14" fillId="0" borderId="28" xfId="0" applyFont="1" applyBorder="1" applyAlignment="1">
      <alignment horizontal="center" vertical="top" textRotation="90"/>
    </xf>
    <xf numFmtId="166" fontId="9" fillId="7" borderId="18" xfId="0" applyNumberFormat="1" applyFont="1" applyFill="1" applyBorder="1" applyAlignment="1">
      <alignment horizontal="center" vertical="top" wrapText="1"/>
    </xf>
    <xf numFmtId="166" fontId="15" fillId="7" borderId="47" xfId="0" applyNumberFormat="1" applyFont="1" applyFill="1" applyBorder="1" applyAlignment="1">
      <alignment horizontal="left" vertical="top" wrapText="1"/>
    </xf>
    <xf numFmtId="166" fontId="36" fillId="7" borderId="49" xfId="0" applyNumberFormat="1" applyFont="1" applyFill="1" applyBorder="1" applyAlignment="1">
      <alignment horizontal="left" vertical="top" wrapText="1"/>
    </xf>
    <xf numFmtId="3" fontId="15" fillId="7" borderId="20" xfId="0" applyNumberFormat="1" applyFont="1" applyFill="1" applyBorder="1" applyAlignment="1">
      <alignment horizontal="center" vertical="top" wrapText="1"/>
    </xf>
    <xf numFmtId="3" fontId="15" fillId="7" borderId="28" xfId="0" applyNumberFormat="1" applyFont="1" applyFill="1" applyBorder="1" applyAlignment="1">
      <alignment horizontal="center" vertical="top" wrapText="1"/>
    </xf>
    <xf numFmtId="0" fontId="0" fillId="0" borderId="28" xfId="0" applyBorder="1" applyAlignment="1">
      <alignment textRotation="90" wrapText="1"/>
    </xf>
    <xf numFmtId="0" fontId="0" fillId="0" borderId="7" xfId="0" applyBorder="1" applyAlignment="1">
      <alignment vertical="top" wrapText="1"/>
    </xf>
    <xf numFmtId="0" fontId="0" fillId="0" borderId="48" xfId="0" applyBorder="1" applyAlignment="1">
      <alignment vertical="top" wrapText="1"/>
    </xf>
    <xf numFmtId="49" fontId="26" fillId="0" borderId="20" xfId="0" applyNumberFormat="1" applyFont="1" applyBorder="1" applyAlignment="1">
      <alignment horizontal="center" vertical="center" textRotation="90"/>
    </xf>
    <xf numFmtId="49" fontId="26" fillId="0" borderId="11" xfId="0" applyNumberFormat="1" applyFont="1" applyBorder="1" applyAlignment="1">
      <alignment horizontal="center" vertical="center" textRotation="90"/>
    </xf>
    <xf numFmtId="166" fontId="20" fillId="7" borderId="18" xfId="0" applyNumberFormat="1" applyFont="1" applyFill="1" applyBorder="1" applyAlignment="1">
      <alignment horizontal="center" vertical="center" wrapText="1"/>
    </xf>
    <xf numFmtId="3" fontId="3" fillId="7" borderId="11" xfId="0" applyNumberFormat="1" applyFont="1" applyFill="1" applyBorder="1" applyAlignment="1">
      <alignment horizontal="center" vertical="top"/>
    </xf>
    <xf numFmtId="166" fontId="3" fillId="7" borderId="25" xfId="0" applyNumberFormat="1" applyFont="1" applyFill="1" applyBorder="1" applyAlignment="1">
      <alignment vertical="top" wrapText="1"/>
    </xf>
    <xf numFmtId="166" fontId="15" fillId="7" borderId="25" xfId="0" applyNumberFormat="1" applyFont="1" applyFill="1" applyBorder="1" applyAlignment="1">
      <alignment vertical="top" wrapText="1"/>
    </xf>
    <xf numFmtId="166" fontId="15" fillId="7" borderId="11" xfId="0" applyNumberFormat="1" applyFont="1" applyFill="1" applyBorder="1" applyAlignment="1">
      <alignment vertical="top" wrapText="1"/>
    </xf>
    <xf numFmtId="166" fontId="39" fillId="0" borderId="25" xfId="0" applyNumberFormat="1" applyFont="1" applyFill="1" applyBorder="1" applyAlignment="1">
      <alignment horizontal="center" vertical="top" wrapText="1"/>
    </xf>
    <xf numFmtId="166" fontId="39" fillId="0" borderId="11" xfId="0" applyNumberFormat="1" applyFont="1" applyFill="1" applyBorder="1" applyAlignment="1">
      <alignment horizontal="center" vertical="top" wrapText="1"/>
    </xf>
    <xf numFmtId="166" fontId="39" fillId="0" borderId="30" xfId="0" applyNumberFormat="1" applyFont="1" applyFill="1" applyBorder="1" applyAlignment="1">
      <alignment horizontal="center" vertical="top" wrapText="1"/>
    </xf>
    <xf numFmtId="166" fontId="9" fillId="7" borderId="83" xfId="0" applyNumberFormat="1" applyFont="1" applyFill="1" applyBorder="1" applyAlignment="1">
      <alignment horizontal="center" vertical="top" wrapText="1"/>
    </xf>
    <xf numFmtId="166" fontId="3" fillId="7" borderId="26" xfId="0" applyNumberFormat="1" applyFont="1" applyFill="1" applyBorder="1" applyAlignment="1">
      <alignment horizontal="center" vertical="top" wrapText="1"/>
    </xf>
    <xf numFmtId="0" fontId="0" fillId="0" borderId="31" xfId="0" applyFont="1" applyBorder="1" applyAlignment="1">
      <alignment horizontal="center" vertical="top"/>
    </xf>
    <xf numFmtId="166" fontId="3" fillId="7" borderId="81" xfId="0" applyNumberFormat="1" applyFont="1" applyFill="1" applyBorder="1" applyAlignment="1">
      <alignment horizontal="left" vertical="top" wrapText="1"/>
    </xf>
    <xf numFmtId="0" fontId="3" fillId="7" borderId="41" xfId="0" applyFont="1" applyFill="1" applyBorder="1" applyAlignment="1">
      <alignment vertical="top" wrapText="1"/>
    </xf>
    <xf numFmtId="3" fontId="3" fillId="7" borderId="21" xfId="0" applyNumberFormat="1" applyFont="1" applyFill="1" applyBorder="1" applyAlignment="1">
      <alignment horizontal="center" vertical="top" wrapText="1"/>
    </xf>
    <xf numFmtId="3" fontId="9" fillId="7" borderId="83" xfId="0" applyNumberFormat="1" applyFont="1" applyFill="1" applyBorder="1" applyAlignment="1">
      <alignment horizontal="center" vertical="top" wrapText="1"/>
    </xf>
    <xf numFmtId="166" fontId="4" fillId="7" borderId="25"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0" fontId="3" fillId="7" borderId="11" xfId="0" applyFont="1" applyFill="1" applyBorder="1" applyAlignment="1">
      <alignment vertical="top" wrapText="1"/>
    </xf>
    <xf numFmtId="49" fontId="2" fillId="0" borderId="11" xfId="0" applyNumberFormat="1" applyFont="1" applyBorder="1" applyAlignment="1">
      <alignment horizontal="center" vertical="center" textRotation="90" wrapText="1"/>
    </xf>
    <xf numFmtId="0" fontId="0" fillId="0" borderId="11" xfId="0" applyFont="1" applyBorder="1" applyAlignment="1">
      <alignment horizontal="center" vertical="center" textRotation="90" wrapText="1"/>
    </xf>
    <xf numFmtId="49" fontId="4" fillId="7" borderId="20" xfId="0" applyNumberFormat="1" applyFont="1" applyFill="1" applyBorder="1" applyAlignment="1">
      <alignment horizontal="center" vertical="top"/>
    </xf>
    <xf numFmtId="49" fontId="2" fillId="0" borderId="20" xfId="0" applyNumberFormat="1" applyFont="1" applyBorder="1" applyAlignment="1">
      <alignment horizontal="center" vertical="center" textRotation="90" wrapText="1"/>
    </xf>
    <xf numFmtId="3" fontId="3" fillId="7" borderId="102" xfId="0" applyNumberFormat="1" applyFont="1" applyFill="1" applyBorder="1" applyAlignment="1">
      <alignment horizontal="center" vertical="top" wrapText="1"/>
    </xf>
    <xf numFmtId="166" fontId="3" fillId="7" borderId="31" xfId="0" applyNumberFormat="1" applyFont="1" applyFill="1" applyBorder="1" applyAlignment="1">
      <alignment horizontal="center" vertical="top" wrapText="1"/>
    </xf>
    <xf numFmtId="49" fontId="7" fillId="3" borderId="20" xfId="0" applyNumberFormat="1" applyFont="1" applyFill="1" applyBorder="1" applyAlignment="1">
      <alignment horizontal="center" textRotation="90" wrapText="1"/>
    </xf>
    <xf numFmtId="0" fontId="0" fillId="0" borderId="28" xfId="0" applyBorder="1" applyAlignment="1">
      <alignment horizontal="center" textRotation="90" wrapText="1"/>
    </xf>
    <xf numFmtId="166" fontId="3" fillId="7" borderId="111" xfId="0" applyNumberFormat="1" applyFont="1" applyFill="1" applyBorder="1" applyAlignment="1">
      <alignment horizontal="center" vertical="top" wrapText="1"/>
    </xf>
    <xf numFmtId="0" fontId="14" fillId="0" borderId="28" xfId="0" applyFont="1" applyBorder="1" applyAlignment="1">
      <alignment horizontal="center" vertical="center" textRotation="90"/>
    </xf>
    <xf numFmtId="0" fontId="0" fillId="0" borderId="28" xfId="0" applyFont="1" applyBorder="1" applyAlignment="1">
      <alignment horizontal="center" vertical="center" wrapText="1"/>
    </xf>
    <xf numFmtId="49" fontId="7" fillId="0" borderId="20" xfId="0" applyNumberFormat="1" applyFont="1" applyBorder="1" applyAlignment="1">
      <alignment vertical="center" textRotation="90" wrapText="1"/>
    </xf>
    <xf numFmtId="0" fontId="7" fillId="0" borderId="11" xfId="0" applyFont="1" applyBorder="1" applyAlignment="1">
      <alignment vertical="center" textRotation="90" wrapText="1"/>
    </xf>
    <xf numFmtId="0" fontId="1" fillId="0" borderId="11" xfId="0" applyFont="1" applyBorder="1" applyAlignment="1">
      <alignment horizontal="center" vertical="center" textRotation="90" wrapText="1"/>
    </xf>
    <xf numFmtId="166" fontId="3" fillId="0" borderId="21" xfId="0" applyNumberFormat="1" applyFont="1" applyBorder="1" applyAlignment="1">
      <alignment horizontal="center" vertical="top" wrapText="1"/>
    </xf>
    <xf numFmtId="166" fontId="3" fillId="0" borderId="18" xfId="0" applyNumberFormat="1" applyFont="1" applyBorder="1" applyAlignment="1">
      <alignment horizontal="center" vertical="top" wrapText="1"/>
    </xf>
    <xf numFmtId="166" fontId="3" fillId="7" borderId="107" xfId="0" applyNumberFormat="1" applyFont="1" applyFill="1" applyBorder="1" applyAlignment="1">
      <alignment vertical="top" wrapText="1"/>
    </xf>
    <xf numFmtId="3" fontId="3" fillId="7" borderId="21" xfId="0" applyNumberFormat="1" applyFont="1" applyFill="1" applyBorder="1" applyAlignment="1">
      <alignment horizontal="center" vertical="top"/>
    </xf>
    <xf numFmtId="0" fontId="14" fillId="0" borderId="30" xfId="0" applyFont="1" applyBorder="1" applyAlignment="1">
      <alignment horizontal="center" vertical="center" wrapText="1"/>
    </xf>
    <xf numFmtId="3" fontId="3" fillId="7" borderId="49" xfId="0" applyNumberFormat="1" applyFont="1" applyFill="1" applyBorder="1" applyAlignment="1">
      <alignment horizontal="center" vertical="top"/>
    </xf>
    <xf numFmtId="49" fontId="40" fillId="0" borderId="25" xfId="0" applyNumberFormat="1" applyFont="1" applyBorder="1" applyAlignment="1">
      <alignment horizontal="center" vertical="center" textRotation="90" wrapText="1"/>
    </xf>
    <xf numFmtId="49" fontId="40" fillId="0" borderId="11" xfId="0" applyNumberFormat="1" applyFont="1" applyBorder="1" applyAlignment="1">
      <alignment horizontal="center" vertical="center" textRotation="90" wrapText="1"/>
    </xf>
    <xf numFmtId="49" fontId="40" fillId="0" borderId="30" xfId="0" applyNumberFormat="1" applyFont="1" applyBorder="1" applyAlignment="1">
      <alignment horizontal="center" vertical="center" textRotation="90" wrapText="1"/>
    </xf>
    <xf numFmtId="49" fontId="33" fillId="7" borderId="25" xfId="0" applyNumberFormat="1" applyFont="1" applyFill="1" applyBorder="1" applyAlignment="1">
      <alignment horizontal="center" vertical="top"/>
    </xf>
    <xf numFmtId="49" fontId="33" fillId="7" borderId="11" xfId="0" applyNumberFormat="1" applyFont="1" applyFill="1" applyBorder="1" applyAlignment="1">
      <alignment horizontal="center" vertical="top"/>
    </xf>
    <xf numFmtId="49" fontId="33" fillId="7" borderId="30" xfId="0" applyNumberFormat="1" applyFont="1" applyFill="1" applyBorder="1" applyAlignment="1">
      <alignment horizontal="center" vertical="top"/>
    </xf>
    <xf numFmtId="166" fontId="15" fillId="7" borderId="26" xfId="0" applyNumberFormat="1" applyFont="1" applyFill="1" applyBorder="1" applyAlignment="1">
      <alignment horizontal="center" vertical="top" wrapText="1"/>
    </xf>
    <xf numFmtId="166" fontId="15" fillId="7" borderId="18" xfId="0" applyNumberFormat="1" applyFont="1" applyFill="1" applyBorder="1" applyAlignment="1">
      <alignment horizontal="center" vertical="top" wrapText="1"/>
    </xf>
    <xf numFmtId="166" fontId="15" fillId="7" borderId="31" xfId="0" applyNumberFormat="1" applyFont="1" applyFill="1" applyBorder="1" applyAlignment="1">
      <alignment horizontal="center" vertical="top" wrapText="1"/>
    </xf>
    <xf numFmtId="166" fontId="9" fillId="7" borderId="27" xfId="0" applyNumberFormat="1" applyFont="1" applyFill="1" applyBorder="1" applyAlignment="1">
      <alignment vertical="top" wrapText="1"/>
    </xf>
    <xf numFmtId="49" fontId="2" fillId="3" borderId="28" xfId="0" applyNumberFormat="1" applyFont="1" applyFill="1" applyBorder="1" applyAlignment="1">
      <alignment horizontal="center" vertical="center" textRotation="90" wrapText="1"/>
    </xf>
    <xf numFmtId="166" fontId="4" fillId="7" borderId="28" xfId="0" applyNumberFormat="1" applyFont="1" applyFill="1" applyBorder="1" applyAlignment="1">
      <alignment horizontal="center" vertical="top"/>
    </xf>
    <xf numFmtId="49" fontId="4" fillId="0" borderId="49" xfId="0" applyNumberFormat="1" applyFont="1" applyBorder="1" applyAlignment="1">
      <alignment horizontal="center" vertical="top"/>
    </xf>
    <xf numFmtId="49" fontId="4" fillId="0" borderId="35" xfId="0" applyNumberFormat="1" applyFont="1" applyBorder="1" applyAlignment="1">
      <alignment horizontal="center" vertical="top"/>
    </xf>
    <xf numFmtId="166" fontId="3" fillId="7" borderId="18" xfId="0" applyNumberFormat="1" applyFont="1" applyFill="1" applyBorder="1" applyAlignment="1">
      <alignment horizontal="center" vertical="center" wrapText="1"/>
    </xf>
    <xf numFmtId="166" fontId="9" fillId="7" borderId="18" xfId="0" applyNumberFormat="1" applyFont="1" applyFill="1" applyBorder="1" applyAlignment="1">
      <alignment horizontal="center" vertical="center" wrapText="1"/>
    </xf>
    <xf numFmtId="166" fontId="3" fillId="7" borderId="21" xfId="0" applyNumberFormat="1" applyFont="1" applyFill="1" applyBorder="1" applyAlignment="1">
      <alignment horizontal="center" vertical="center" wrapText="1"/>
    </xf>
    <xf numFmtId="166" fontId="4" fillId="0" borderId="28" xfId="0" applyNumberFormat="1" applyFont="1" applyFill="1" applyBorder="1" applyAlignment="1">
      <alignment horizontal="center" vertical="top" wrapText="1"/>
    </xf>
    <xf numFmtId="49" fontId="4" fillId="7" borderId="28" xfId="0" applyNumberFormat="1" applyFont="1" applyFill="1" applyBorder="1" applyAlignment="1">
      <alignment horizontal="center" vertical="top"/>
    </xf>
    <xf numFmtId="49" fontId="2" fillId="3" borderId="47" xfId="0" applyNumberFormat="1" applyFont="1" applyFill="1" applyBorder="1" applyAlignment="1">
      <alignment horizontal="center" vertical="top" textRotation="90" wrapText="1"/>
    </xf>
    <xf numFmtId="49" fontId="2" fillId="3" borderId="35" xfId="0" applyNumberFormat="1" applyFont="1" applyFill="1" applyBorder="1" applyAlignment="1">
      <alignment horizontal="center" vertical="top" textRotation="90" wrapText="1"/>
    </xf>
    <xf numFmtId="49" fontId="7" fillId="7" borderId="11" xfId="0" applyNumberFormat="1" applyFont="1" applyFill="1" applyBorder="1" applyAlignment="1">
      <alignment horizontal="center" vertical="top" textRotation="90" wrapText="1"/>
    </xf>
    <xf numFmtId="0" fontId="14" fillId="0" borderId="11" xfId="0" applyFont="1" applyBorder="1" applyAlignment="1">
      <alignment horizontal="center" vertical="center" textRotation="90"/>
    </xf>
    <xf numFmtId="166" fontId="4" fillId="7" borderId="20" xfId="0" applyNumberFormat="1" applyFont="1" applyFill="1" applyBorder="1" applyAlignment="1">
      <alignment horizontal="center" vertical="top"/>
    </xf>
    <xf numFmtId="166" fontId="3" fillId="2" borderId="32" xfId="0" applyNumberFormat="1" applyFont="1" applyFill="1" applyBorder="1" applyAlignment="1">
      <alignment horizontal="center" vertical="top" wrapText="1"/>
    </xf>
    <xf numFmtId="166" fontId="3" fillId="2" borderId="33" xfId="0" applyNumberFormat="1" applyFont="1" applyFill="1" applyBorder="1" applyAlignment="1">
      <alignment horizontal="center" vertical="top" wrapText="1"/>
    </xf>
    <xf numFmtId="49" fontId="2" fillId="7" borderId="25" xfId="0" applyNumberFormat="1" applyFont="1" applyFill="1" applyBorder="1" applyAlignment="1">
      <alignment horizontal="center" vertical="center" textRotation="90" wrapText="1"/>
    </xf>
    <xf numFmtId="49" fontId="2" fillId="7" borderId="11" xfId="0" applyNumberFormat="1" applyFont="1" applyFill="1" applyBorder="1" applyAlignment="1">
      <alignment horizontal="center" vertical="center" textRotation="90" wrapText="1"/>
    </xf>
    <xf numFmtId="0" fontId="0" fillId="7" borderId="11" xfId="0" applyFont="1" applyFill="1" applyBorder="1" applyAlignment="1">
      <alignment horizontal="center" vertical="center" textRotation="90" wrapText="1"/>
    </xf>
    <xf numFmtId="0" fontId="0" fillId="0" borderId="30" xfId="0" applyFont="1" applyBorder="1" applyAlignment="1">
      <alignment horizontal="center" vertical="center" wrapText="1"/>
    </xf>
    <xf numFmtId="49" fontId="2" fillId="0" borderId="28" xfId="0" applyNumberFormat="1" applyFont="1" applyBorder="1" applyAlignment="1">
      <alignment horizontal="center" vertical="center" textRotation="90" wrapText="1"/>
    </xf>
    <xf numFmtId="166" fontId="3" fillId="7" borderId="28" xfId="0" applyNumberFormat="1" applyFont="1" applyFill="1" applyBorder="1" applyAlignment="1">
      <alignment horizontal="center" vertical="center" textRotation="90" wrapText="1"/>
    </xf>
    <xf numFmtId="166" fontId="4" fillId="7" borderId="11" xfId="0" applyNumberFormat="1" applyFont="1" applyFill="1" applyBorder="1" applyAlignment="1">
      <alignment horizontal="center" vertical="center" textRotation="90"/>
    </xf>
    <xf numFmtId="166" fontId="4" fillId="7" borderId="28" xfId="0" applyNumberFormat="1" applyFont="1" applyFill="1" applyBorder="1" applyAlignment="1">
      <alignment horizontal="center" vertical="center" textRotation="90"/>
    </xf>
    <xf numFmtId="166" fontId="4" fillId="7" borderId="20" xfId="0" applyNumberFormat="1" applyFont="1" applyFill="1" applyBorder="1" applyAlignment="1">
      <alignment horizontal="center" vertical="center" textRotation="90"/>
    </xf>
    <xf numFmtId="0" fontId="14" fillId="0" borderId="11" xfId="0" applyFont="1" applyBorder="1" applyAlignment="1">
      <alignment horizontal="center" vertical="top" textRotation="90"/>
    </xf>
    <xf numFmtId="166" fontId="16" fillId="7" borderId="11" xfId="0" applyNumberFormat="1" applyFont="1" applyFill="1" applyBorder="1" applyAlignment="1">
      <alignment horizontal="center" vertical="center" textRotation="90" wrapText="1"/>
    </xf>
    <xf numFmtId="3" fontId="2" fillId="0" borderId="11" xfId="0" applyNumberFormat="1" applyFont="1" applyBorder="1" applyAlignment="1">
      <alignment vertical="top" textRotation="90" wrapText="1"/>
    </xf>
    <xf numFmtId="0" fontId="2" fillId="0" borderId="28" xfId="0" applyFont="1" applyBorder="1" applyAlignment="1">
      <alignment vertical="top" textRotation="90" wrapText="1"/>
    </xf>
    <xf numFmtId="166" fontId="9" fillId="0" borderId="35" xfId="0" applyNumberFormat="1" applyFont="1" applyBorder="1" applyAlignment="1">
      <alignment horizontal="left" vertical="top" wrapText="1"/>
    </xf>
    <xf numFmtId="0" fontId="3" fillId="0" borderId="0" xfId="0" applyFont="1" applyAlignment="1">
      <alignment horizontal="right" wrapText="1"/>
    </xf>
    <xf numFmtId="0" fontId="9" fillId="0" borderId="0" xfId="0" applyFont="1" applyAlignment="1">
      <alignment horizontal="right"/>
    </xf>
    <xf numFmtId="0" fontId="3" fillId="0" borderId="25" xfId="0" applyFont="1" applyBorder="1" applyAlignment="1">
      <alignment horizontal="center" vertical="center" textRotation="90" wrapText="1" shrinkToFit="1"/>
    </xf>
    <xf numFmtId="0" fontId="0" fillId="0" borderId="11" xfId="0" applyFont="1" applyBorder="1" applyAlignment="1">
      <alignment horizontal="center" vertical="center" textRotation="90" wrapText="1" shrinkToFit="1"/>
    </xf>
    <xf numFmtId="0" fontId="0" fillId="0" borderId="30" xfId="0" applyFont="1" applyBorder="1" applyAlignment="1">
      <alignment horizontal="center" vertical="center" textRotation="90" wrapText="1" shrinkToFit="1"/>
    </xf>
    <xf numFmtId="3" fontId="3" fillId="0" borderId="26" xfId="0" applyNumberFormat="1" applyFont="1" applyFill="1" applyBorder="1" applyAlignment="1">
      <alignment horizontal="center" vertical="center" textRotation="90" wrapText="1" shrinkToFit="1"/>
    </xf>
    <xf numFmtId="3" fontId="3" fillId="0" borderId="18" xfId="0" applyNumberFormat="1" applyFont="1" applyFill="1" applyBorder="1" applyAlignment="1">
      <alignment horizontal="center" vertical="center" textRotation="90" wrapText="1" shrinkToFit="1"/>
    </xf>
    <xf numFmtId="3" fontId="3" fillId="0" borderId="31" xfId="0" applyNumberFormat="1" applyFont="1" applyFill="1" applyBorder="1" applyAlignment="1">
      <alignment horizontal="center" vertical="center" textRotation="90" wrapText="1" shrinkToFit="1"/>
    </xf>
    <xf numFmtId="0" fontId="4" fillId="0" borderId="4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68" xfId="0" applyFont="1" applyBorder="1" applyAlignment="1">
      <alignment horizontal="center" vertical="center" textRotation="90" wrapText="1"/>
    </xf>
    <xf numFmtId="49" fontId="7" fillId="7" borderId="11" xfId="0" applyNumberFormat="1" applyFont="1" applyFill="1" applyBorder="1" applyAlignment="1">
      <alignment horizontal="center" vertical="center" textRotation="90"/>
    </xf>
    <xf numFmtId="0" fontId="14" fillId="7" borderId="28" xfId="0" applyFont="1" applyFill="1" applyBorder="1" applyAlignment="1">
      <alignment horizontal="center" vertical="center" textRotation="90"/>
    </xf>
    <xf numFmtId="49" fontId="7" fillId="7" borderId="20" xfId="0" applyNumberFormat="1" applyFont="1" applyFill="1" applyBorder="1" applyAlignment="1">
      <alignment horizontal="center" vertical="center" textRotation="90"/>
    </xf>
    <xf numFmtId="166" fontId="3" fillId="7" borderId="21" xfId="0" applyNumberFormat="1" applyFont="1" applyFill="1" applyBorder="1" applyAlignment="1">
      <alignment horizontal="center" vertical="top" wrapText="1"/>
    </xf>
    <xf numFmtId="0" fontId="14" fillId="7" borderId="28" xfId="0" applyFont="1" applyFill="1" applyBorder="1" applyAlignment="1">
      <alignment horizontal="center" vertical="top" textRotation="90" wrapText="1"/>
    </xf>
    <xf numFmtId="49" fontId="7" fillId="7" borderId="20" xfId="0" applyNumberFormat="1" applyFont="1" applyFill="1" applyBorder="1" applyAlignment="1">
      <alignment horizontal="center" vertical="top" textRotation="90" wrapText="1"/>
    </xf>
    <xf numFmtId="0" fontId="0" fillId="7" borderId="18" xfId="0" applyFont="1" applyFill="1" applyBorder="1" applyAlignment="1">
      <alignment horizontal="center" vertical="top" wrapText="1"/>
    </xf>
    <xf numFmtId="49" fontId="7" fillId="7" borderId="47" xfId="0" applyNumberFormat="1" applyFont="1" applyFill="1" applyBorder="1" applyAlignment="1">
      <alignment horizontal="center" vertical="center" textRotation="90"/>
    </xf>
    <xf numFmtId="49" fontId="7" fillId="7" borderId="49" xfId="0" applyNumberFormat="1" applyFont="1" applyFill="1" applyBorder="1" applyAlignment="1">
      <alignment horizontal="center" vertical="center" textRotation="90"/>
    </xf>
    <xf numFmtId="49" fontId="14" fillId="7" borderId="28" xfId="0" applyNumberFormat="1" applyFont="1" applyFill="1" applyBorder="1" applyAlignment="1">
      <alignment horizontal="center" vertical="top" textRotation="90" wrapText="1"/>
    </xf>
    <xf numFmtId="49" fontId="7" fillId="0" borderId="11" xfId="0" applyNumberFormat="1" applyFont="1" applyBorder="1" applyAlignment="1">
      <alignment horizontal="center" vertical="top" textRotation="90"/>
    </xf>
    <xf numFmtId="49" fontId="7" fillId="0" borderId="28" xfId="0" applyNumberFormat="1" applyFont="1" applyBorder="1" applyAlignment="1">
      <alignment horizontal="center" vertical="top" textRotation="90"/>
    </xf>
    <xf numFmtId="49" fontId="14" fillId="7" borderId="11" xfId="0" applyNumberFormat="1" applyFont="1" applyFill="1" applyBorder="1" applyAlignment="1">
      <alignment horizontal="center" vertical="top" textRotation="90" wrapText="1"/>
    </xf>
    <xf numFmtId="49" fontId="2" fillId="3" borderId="49" xfId="0" applyNumberFormat="1" applyFont="1" applyFill="1" applyBorder="1" applyAlignment="1">
      <alignment horizontal="center" vertical="top" textRotation="90" wrapText="1"/>
    </xf>
    <xf numFmtId="49" fontId="7" fillId="7" borderId="28" xfId="0" applyNumberFormat="1" applyFont="1" applyFill="1" applyBorder="1" applyAlignment="1">
      <alignment horizontal="center" vertical="center" textRotation="90"/>
    </xf>
    <xf numFmtId="0" fontId="0" fillId="7" borderId="18" xfId="0" applyFill="1" applyBorder="1" applyAlignment="1">
      <alignment horizontal="center" vertical="center" wrapText="1"/>
    </xf>
    <xf numFmtId="49" fontId="2" fillId="0" borderId="20" xfId="0" applyNumberFormat="1" applyFont="1" applyBorder="1" applyAlignment="1">
      <alignment horizontal="center" vertical="top" textRotation="90" wrapText="1"/>
    </xf>
    <xf numFmtId="49" fontId="2" fillId="0" borderId="28" xfId="0" applyNumberFormat="1" applyFont="1" applyBorder="1" applyAlignment="1">
      <alignment horizontal="center" vertical="top" textRotation="90" wrapText="1"/>
    </xf>
    <xf numFmtId="49" fontId="2" fillId="0" borderId="11" xfId="0" applyNumberFormat="1" applyFont="1" applyBorder="1" applyAlignment="1">
      <alignment horizontal="center" vertical="top" textRotation="90" wrapText="1"/>
    </xf>
    <xf numFmtId="0" fontId="9" fillId="0" borderId="28" xfId="0" applyFont="1" applyBorder="1" applyAlignment="1">
      <alignment horizontal="center" textRotation="90" wrapText="1"/>
    </xf>
    <xf numFmtId="0" fontId="25" fillId="7" borderId="7" xfId="0" applyFont="1" applyFill="1" applyBorder="1" applyAlignment="1">
      <alignment vertical="top" wrapText="1"/>
    </xf>
    <xf numFmtId="0" fontId="1" fillId="0" borderId="28" xfId="0" applyFont="1" applyBorder="1" applyAlignment="1">
      <alignment horizontal="center" vertical="center" textRotation="90" wrapText="1"/>
    </xf>
    <xf numFmtId="0" fontId="0" fillId="7" borderId="11" xfId="0" applyFill="1" applyBorder="1" applyAlignment="1">
      <alignment vertical="top" wrapText="1"/>
    </xf>
    <xf numFmtId="49" fontId="7" fillId="7" borderId="11" xfId="0" applyNumberFormat="1" applyFont="1" applyFill="1" applyBorder="1" applyAlignment="1">
      <alignment horizontal="right" vertical="center" textRotation="90" wrapText="1"/>
    </xf>
    <xf numFmtId="0" fontId="9" fillId="7" borderId="11" xfId="0" applyFont="1" applyFill="1" applyBorder="1" applyAlignment="1">
      <alignment horizontal="right" vertical="center" textRotation="90" wrapText="1"/>
    </xf>
    <xf numFmtId="166" fontId="4" fillId="0" borderId="25" xfId="0" applyNumberFormat="1" applyFont="1" applyBorder="1" applyAlignment="1">
      <alignment horizontal="center" vertical="top"/>
    </xf>
    <xf numFmtId="166" fontId="4" fillId="0" borderId="11" xfId="0" applyNumberFormat="1" applyFont="1" applyBorder="1" applyAlignment="1">
      <alignment horizontal="center" vertical="top"/>
    </xf>
    <xf numFmtId="166" fontId="4" fillId="0" borderId="30" xfId="0" applyNumberFormat="1" applyFont="1" applyBorder="1" applyAlignment="1">
      <alignment horizontal="center" vertical="top"/>
    </xf>
    <xf numFmtId="166" fontId="9" fillId="7" borderId="49" xfId="0" applyNumberFormat="1" applyFont="1" applyFill="1" applyBorder="1" applyAlignment="1">
      <alignment vertical="top" wrapText="1"/>
    </xf>
    <xf numFmtId="49" fontId="7" fillId="0" borderId="25" xfId="0" applyNumberFormat="1" applyFont="1" applyBorder="1" applyAlignment="1">
      <alignment horizontal="center" vertical="center" textRotation="90" wrapText="1"/>
    </xf>
    <xf numFmtId="49" fontId="7" fillId="0" borderId="30" xfId="0" applyNumberFormat="1" applyFont="1" applyBorder="1" applyAlignment="1">
      <alignment horizontal="center" vertical="center" textRotation="90" wrapText="1"/>
    </xf>
    <xf numFmtId="166" fontId="3" fillId="0" borderId="26" xfId="0" applyNumberFormat="1" applyFont="1" applyBorder="1" applyAlignment="1">
      <alignment horizontal="center" vertical="top" wrapText="1"/>
    </xf>
    <xf numFmtId="166" fontId="4" fillId="2" borderId="33" xfId="0" applyNumberFormat="1" applyFont="1" applyFill="1" applyBorder="1" applyAlignment="1">
      <alignment horizontal="right" vertical="top"/>
    </xf>
    <xf numFmtId="3" fontId="3" fillId="3" borderId="52" xfId="0" applyNumberFormat="1" applyFont="1" applyFill="1" applyBorder="1" applyAlignment="1">
      <alignment horizontal="left" vertical="top" wrapText="1"/>
    </xf>
    <xf numFmtId="0" fontId="0" fillId="0" borderId="52" xfId="0" applyBorder="1" applyAlignment="1">
      <alignment horizontal="left" vertical="top" wrapText="1"/>
    </xf>
    <xf numFmtId="0" fontId="0" fillId="0" borderId="28" xfId="0" applyBorder="1" applyAlignment="1">
      <alignment horizontal="center" wrapText="1"/>
    </xf>
    <xf numFmtId="166" fontId="12" fillId="7" borderId="25" xfId="0" applyNumberFormat="1" applyFont="1" applyFill="1" applyBorder="1" applyAlignment="1">
      <alignment horizontal="center" vertical="top" wrapText="1"/>
    </xf>
    <xf numFmtId="0" fontId="0" fillId="0" borderId="28" xfId="0" applyBorder="1" applyAlignment="1">
      <alignment wrapText="1"/>
    </xf>
    <xf numFmtId="49" fontId="4" fillId="0" borderId="20" xfId="0" applyNumberFormat="1" applyFont="1" applyBorder="1" applyAlignment="1">
      <alignment horizontal="center" vertical="top"/>
    </xf>
    <xf numFmtId="49" fontId="4" fillId="0" borderId="11" xfId="0" applyNumberFormat="1" applyFont="1" applyBorder="1" applyAlignment="1">
      <alignment horizontal="center" vertical="top"/>
    </xf>
    <xf numFmtId="49" fontId="4" fillId="0" borderId="28" xfId="0" applyNumberFormat="1" applyFont="1" applyBorder="1" applyAlignment="1">
      <alignment horizontal="center" vertical="top"/>
    </xf>
    <xf numFmtId="49" fontId="7" fillId="7" borderId="11" xfId="0" applyNumberFormat="1" applyFont="1" applyFill="1" applyBorder="1" applyAlignment="1">
      <alignment horizontal="center" vertical="center" textRotation="90" wrapText="1"/>
    </xf>
    <xf numFmtId="0" fontId="14" fillId="7" borderId="11" xfId="0" applyFont="1" applyFill="1" applyBorder="1" applyAlignment="1">
      <alignment horizontal="center" vertical="center" textRotation="90" wrapText="1"/>
    </xf>
  </cellXfs>
  <cellStyles count="3">
    <cellStyle name="Įprastas" xfId="0" builtinId="0"/>
    <cellStyle name="Įprastas 2" xfId="2"/>
    <cellStyle name="Kablelis" xfId="1" builtinId="3"/>
  </cellStyles>
  <dxfs count="0"/>
  <tableStyles count="0" defaultTableStyle="TableStyleMedium2" defaultPivotStyle="PivotStyleLight16"/>
  <colors>
    <mruColors>
      <color rgb="FFE9C9C7"/>
      <color rgb="FFCCFFCC"/>
      <color rgb="FFFFCC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66"/>
  <sheetViews>
    <sheetView tabSelected="1" zoomScaleNormal="100" zoomScaleSheetLayoutView="100" workbookViewId="0">
      <selection activeCell="R15" sqref="R14:R15"/>
    </sheetView>
  </sheetViews>
  <sheetFormatPr defaultRowHeight="12.75" x14ac:dyDescent="0.2"/>
  <cols>
    <col min="1" max="2" width="2.7109375" style="2" customWidth="1"/>
    <col min="3" max="3" width="2.7109375" style="770" customWidth="1"/>
    <col min="4" max="4" width="36.28515625" style="2" customWidth="1"/>
    <col min="5" max="5" width="2.85546875" style="8" customWidth="1"/>
    <col min="6" max="6" width="5.140625" style="11" customWidth="1"/>
    <col min="7" max="7" width="7.85546875" style="3" customWidth="1"/>
    <col min="8" max="8" width="9.5703125" style="2" customWidth="1"/>
    <col min="9" max="9" width="8.28515625" style="2" customWidth="1"/>
    <col min="10" max="10" width="9.42578125" style="2" customWidth="1"/>
    <col min="11" max="11" width="38.7109375" style="2" customWidth="1"/>
    <col min="12" max="12" width="4" style="2" customWidth="1"/>
    <col min="13" max="14" width="3.85546875" style="2" customWidth="1"/>
    <col min="15" max="15" width="9.140625" style="1"/>
    <col min="16" max="16" width="6.7109375" style="1266" customWidth="1"/>
    <col min="17" max="53" width="9.140625" style="1266"/>
    <col min="54" max="16384" width="9.140625" style="1"/>
  </cols>
  <sheetData>
    <row r="1" spans="1:53" s="173" customFormat="1" ht="38.25" customHeight="1" x14ac:dyDescent="0.25">
      <c r="B1" s="772"/>
      <c r="C1" s="772"/>
      <c r="D1" s="772"/>
      <c r="E1" s="772"/>
      <c r="K1" s="1985" t="s">
        <v>357</v>
      </c>
      <c r="L1" s="1985"/>
      <c r="M1" s="1985"/>
      <c r="N1" s="1985"/>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2"/>
      <c r="AS1" s="772"/>
      <c r="AT1" s="772"/>
      <c r="AU1" s="772"/>
      <c r="AV1" s="772"/>
      <c r="AW1" s="772"/>
      <c r="AX1" s="772"/>
      <c r="AY1" s="772"/>
      <c r="AZ1" s="772"/>
      <c r="BA1" s="772"/>
    </row>
    <row r="2" spans="1:53" s="173" customFormat="1" ht="12.75" customHeight="1" x14ac:dyDescent="0.25">
      <c r="B2" s="772"/>
      <c r="C2" s="772"/>
      <c r="D2" s="772"/>
      <c r="E2" s="772"/>
      <c r="K2" s="768"/>
      <c r="L2" s="768"/>
      <c r="M2" s="768"/>
      <c r="N2" s="768"/>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row>
    <row r="3" spans="1:53" s="173" customFormat="1" ht="13.5" customHeight="1" x14ac:dyDescent="0.25">
      <c r="B3" s="772"/>
      <c r="C3" s="772"/>
      <c r="D3" s="772"/>
      <c r="E3" s="772"/>
      <c r="K3" s="768"/>
      <c r="L3" s="768"/>
      <c r="M3" s="768"/>
      <c r="N3" s="768"/>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c r="AT3" s="772"/>
      <c r="AU3" s="772"/>
      <c r="AV3" s="772"/>
      <c r="AW3" s="772"/>
      <c r="AX3" s="772"/>
      <c r="AY3" s="772"/>
      <c r="AZ3" s="772"/>
      <c r="BA3" s="772"/>
    </row>
    <row r="4" spans="1:53" s="41" customFormat="1" ht="15" x14ac:dyDescent="0.2">
      <c r="A4" s="1986" t="s">
        <v>332</v>
      </c>
      <c r="B4" s="1986"/>
      <c r="C4" s="1986"/>
      <c r="D4" s="1986"/>
      <c r="E4" s="1986"/>
      <c r="F4" s="1986"/>
      <c r="G4" s="1986"/>
      <c r="H4" s="1986"/>
      <c r="I4" s="1986"/>
      <c r="J4" s="1986"/>
      <c r="K4" s="1986"/>
      <c r="L4" s="1986"/>
      <c r="M4" s="1986"/>
      <c r="N4" s="1986"/>
      <c r="P4" s="1347"/>
      <c r="Q4" s="1347"/>
      <c r="R4" s="1347"/>
      <c r="S4" s="1347"/>
      <c r="T4" s="1347"/>
      <c r="U4" s="1347"/>
      <c r="V4" s="1347"/>
      <c r="W4" s="1347"/>
      <c r="X4" s="1347"/>
      <c r="Y4" s="1347"/>
      <c r="Z4" s="1347"/>
      <c r="AA4" s="1347"/>
      <c r="AB4" s="1347"/>
      <c r="AC4" s="1347"/>
      <c r="AD4" s="1347"/>
      <c r="AE4" s="1347"/>
      <c r="AF4" s="1347"/>
      <c r="AG4" s="1347"/>
      <c r="AH4" s="1347"/>
      <c r="AI4" s="1347"/>
      <c r="AJ4" s="1347"/>
      <c r="AK4" s="1347"/>
      <c r="AL4" s="1347"/>
      <c r="AM4" s="1347"/>
      <c r="AN4" s="1347"/>
      <c r="AO4" s="1347"/>
      <c r="AP4" s="1347"/>
      <c r="AQ4" s="1347"/>
      <c r="AR4" s="1347"/>
      <c r="AS4" s="1347"/>
      <c r="AT4" s="1347"/>
      <c r="AU4" s="1347"/>
      <c r="AV4" s="1347"/>
      <c r="AW4" s="1347"/>
      <c r="AX4" s="1347"/>
      <c r="AY4" s="1347"/>
      <c r="AZ4" s="1347"/>
      <c r="BA4" s="1347"/>
    </row>
    <row r="5" spans="1:53" ht="15.75" customHeight="1" x14ac:dyDescent="0.2">
      <c r="A5" s="1987" t="s">
        <v>29</v>
      </c>
      <c r="B5" s="1987"/>
      <c r="C5" s="1987"/>
      <c r="D5" s="1987"/>
      <c r="E5" s="1987"/>
      <c r="F5" s="1987"/>
      <c r="G5" s="1987"/>
      <c r="H5" s="1987"/>
      <c r="I5" s="1987"/>
      <c r="J5" s="1987"/>
      <c r="K5" s="1987"/>
      <c r="L5" s="1987"/>
      <c r="M5" s="1987"/>
      <c r="N5" s="1987"/>
    </row>
    <row r="6" spans="1:53" ht="15" customHeight="1" x14ac:dyDescent="0.2">
      <c r="A6" s="1988" t="s">
        <v>17</v>
      </c>
      <c r="B6" s="1988"/>
      <c r="C6" s="1988"/>
      <c r="D6" s="1988"/>
      <c r="E6" s="1988"/>
      <c r="F6" s="1988"/>
      <c r="G6" s="1988"/>
      <c r="H6" s="1988"/>
      <c r="I6" s="1988"/>
      <c r="J6" s="1988"/>
      <c r="K6" s="1988"/>
      <c r="L6" s="1988"/>
      <c r="M6" s="1988"/>
      <c r="N6" s="1988"/>
    </row>
    <row r="7" spans="1:53" ht="15" customHeight="1" thickBot="1" x14ac:dyDescent="0.25">
      <c r="A7" s="16"/>
      <c r="B7" s="16"/>
      <c r="C7" s="769"/>
      <c r="D7" s="16"/>
      <c r="E7" s="17"/>
      <c r="F7" s="18"/>
      <c r="G7" s="288"/>
      <c r="H7" s="16"/>
      <c r="I7" s="16"/>
      <c r="J7" s="16"/>
      <c r="K7" s="1989" t="s">
        <v>118</v>
      </c>
      <c r="L7" s="1989"/>
      <c r="M7" s="1989"/>
      <c r="N7" s="1990"/>
    </row>
    <row r="8" spans="1:53" s="41" customFormat="1" ht="46.5" customHeight="1" x14ac:dyDescent="0.2">
      <c r="A8" s="1991" t="s">
        <v>18</v>
      </c>
      <c r="B8" s="1994" t="s">
        <v>0</v>
      </c>
      <c r="C8" s="1997" t="s">
        <v>1</v>
      </c>
      <c r="D8" s="2000" t="s">
        <v>12</v>
      </c>
      <c r="E8" s="1964" t="s">
        <v>2</v>
      </c>
      <c r="F8" s="1967" t="s">
        <v>3</v>
      </c>
      <c r="G8" s="1970" t="s">
        <v>4</v>
      </c>
      <c r="H8" s="1954" t="s">
        <v>307</v>
      </c>
      <c r="I8" s="1954" t="s">
        <v>155</v>
      </c>
      <c r="J8" s="1954" t="s">
        <v>215</v>
      </c>
      <c r="K8" s="1957" t="s">
        <v>11</v>
      </c>
      <c r="L8" s="1958"/>
      <c r="M8" s="1958"/>
      <c r="N8" s="1959"/>
      <c r="P8" s="1347"/>
      <c r="Q8" s="1347"/>
      <c r="R8" s="1347"/>
      <c r="S8" s="1347"/>
      <c r="T8" s="1347"/>
      <c r="U8" s="1347"/>
      <c r="V8" s="1347"/>
      <c r="W8" s="1347"/>
      <c r="X8" s="1347"/>
      <c r="Y8" s="1347"/>
      <c r="Z8" s="1347"/>
      <c r="AA8" s="1347"/>
      <c r="AB8" s="1347"/>
      <c r="AC8" s="1347"/>
      <c r="AD8" s="1347"/>
      <c r="AE8" s="1347"/>
      <c r="AF8" s="1347"/>
      <c r="AG8" s="1347"/>
      <c r="AH8" s="1347"/>
      <c r="AI8" s="1347"/>
      <c r="AJ8" s="1347"/>
      <c r="AK8" s="1347"/>
      <c r="AL8" s="1347"/>
      <c r="AM8" s="1347"/>
      <c r="AN8" s="1347"/>
      <c r="AO8" s="1347"/>
      <c r="AP8" s="1347"/>
      <c r="AQ8" s="1347"/>
      <c r="AR8" s="1347"/>
      <c r="AS8" s="1347"/>
      <c r="AT8" s="1347"/>
      <c r="AU8" s="1347"/>
      <c r="AV8" s="1347"/>
      <c r="AW8" s="1347"/>
      <c r="AX8" s="1347"/>
      <c r="AY8" s="1347"/>
      <c r="AZ8" s="1347"/>
      <c r="BA8" s="1347"/>
    </row>
    <row r="9" spans="1:53" s="41" customFormat="1" ht="18.75" customHeight="1" x14ac:dyDescent="0.2">
      <c r="A9" s="1992"/>
      <c r="B9" s="1995"/>
      <c r="C9" s="1998"/>
      <c r="D9" s="2001"/>
      <c r="E9" s="1965"/>
      <c r="F9" s="1968"/>
      <c r="G9" s="1971"/>
      <c r="H9" s="1973"/>
      <c r="I9" s="1955"/>
      <c r="J9" s="1955"/>
      <c r="K9" s="1960" t="s">
        <v>12</v>
      </c>
      <c r="L9" s="1962" t="s">
        <v>99</v>
      </c>
      <c r="M9" s="1962"/>
      <c r="N9" s="1963"/>
      <c r="P9" s="1347"/>
      <c r="Q9" s="1347"/>
      <c r="R9" s="1347"/>
      <c r="S9" s="1347"/>
      <c r="T9" s="1347"/>
      <c r="U9" s="1347"/>
      <c r="V9" s="1347"/>
      <c r="W9" s="1347"/>
      <c r="X9" s="1347"/>
      <c r="Y9" s="1347"/>
      <c r="Z9" s="1347"/>
      <c r="AA9" s="1347"/>
      <c r="AB9" s="1347"/>
      <c r="AC9" s="1347"/>
      <c r="AD9" s="1347"/>
      <c r="AE9" s="1347"/>
      <c r="AF9" s="1347"/>
      <c r="AG9" s="1347"/>
      <c r="AH9" s="1347"/>
      <c r="AI9" s="1347"/>
      <c r="AJ9" s="1347"/>
      <c r="AK9" s="1347"/>
      <c r="AL9" s="1347"/>
      <c r="AM9" s="1347"/>
      <c r="AN9" s="1347"/>
      <c r="AO9" s="1347"/>
      <c r="AP9" s="1347"/>
      <c r="AQ9" s="1347"/>
      <c r="AR9" s="1347"/>
      <c r="AS9" s="1347"/>
      <c r="AT9" s="1347"/>
      <c r="AU9" s="1347"/>
      <c r="AV9" s="1347"/>
      <c r="AW9" s="1347"/>
      <c r="AX9" s="1347"/>
      <c r="AY9" s="1347"/>
      <c r="AZ9" s="1347"/>
      <c r="BA9" s="1347"/>
    </row>
    <row r="10" spans="1:53" s="41" customFormat="1" ht="57.75" customHeight="1" thickBot="1" x14ac:dyDescent="0.25">
      <c r="A10" s="1993"/>
      <c r="B10" s="1996"/>
      <c r="C10" s="1999"/>
      <c r="D10" s="2002"/>
      <c r="E10" s="1966"/>
      <c r="F10" s="1969"/>
      <c r="G10" s="1972"/>
      <c r="H10" s="1974"/>
      <c r="I10" s="1956"/>
      <c r="J10" s="1956"/>
      <c r="K10" s="1961"/>
      <c r="L10" s="175" t="s">
        <v>107</v>
      </c>
      <c r="M10" s="176" t="s">
        <v>156</v>
      </c>
      <c r="N10" s="177" t="s">
        <v>216</v>
      </c>
      <c r="P10" s="1347"/>
      <c r="Q10" s="1347"/>
      <c r="R10" s="1347"/>
      <c r="S10" s="1347"/>
      <c r="T10" s="1347"/>
      <c r="U10" s="1347"/>
      <c r="V10" s="1347"/>
      <c r="W10" s="1347"/>
      <c r="X10" s="1347"/>
      <c r="Y10" s="1347"/>
      <c r="Z10" s="1347"/>
      <c r="AA10" s="1347"/>
      <c r="AB10" s="1347"/>
      <c r="AC10" s="1347"/>
      <c r="AD10" s="1347"/>
      <c r="AE10" s="1347"/>
      <c r="AF10" s="1347"/>
      <c r="AG10" s="1347"/>
      <c r="AH10" s="1347"/>
      <c r="AI10" s="1347"/>
      <c r="AJ10" s="1347"/>
      <c r="AK10" s="1347"/>
      <c r="AL10" s="1347"/>
      <c r="AM10" s="1347"/>
      <c r="AN10" s="1347"/>
      <c r="AO10" s="1347"/>
      <c r="AP10" s="1347"/>
      <c r="AQ10" s="1347"/>
      <c r="AR10" s="1347"/>
      <c r="AS10" s="1347"/>
      <c r="AT10" s="1347"/>
      <c r="AU10" s="1347"/>
      <c r="AV10" s="1347"/>
      <c r="AW10" s="1347"/>
      <c r="AX10" s="1347"/>
      <c r="AY10" s="1347"/>
      <c r="AZ10" s="1347"/>
      <c r="BA10" s="1347"/>
    </row>
    <row r="11" spans="1:53" s="10" customFormat="1" ht="14.25" customHeight="1" x14ac:dyDescent="0.2">
      <c r="A11" s="2003" t="s">
        <v>63</v>
      </c>
      <c r="B11" s="2004"/>
      <c r="C11" s="2004"/>
      <c r="D11" s="2004"/>
      <c r="E11" s="2004"/>
      <c r="F11" s="2004"/>
      <c r="G11" s="2004"/>
      <c r="H11" s="2004"/>
      <c r="I11" s="2004"/>
      <c r="J11" s="2004"/>
      <c r="K11" s="2004"/>
      <c r="L11" s="2004"/>
      <c r="M11" s="2004"/>
      <c r="N11" s="2005"/>
      <c r="P11" s="1348"/>
      <c r="Q11" s="1348"/>
      <c r="R11" s="1348"/>
      <c r="S11" s="1348"/>
      <c r="T11" s="1348"/>
      <c r="U11" s="1348"/>
      <c r="V11" s="1348"/>
      <c r="W11" s="1348"/>
      <c r="X11" s="1348"/>
      <c r="Y11" s="1348"/>
      <c r="Z11" s="1348"/>
      <c r="AA11" s="1348"/>
      <c r="AB11" s="1348"/>
      <c r="AC11" s="1348"/>
      <c r="AD11" s="1348"/>
      <c r="AE11" s="1348"/>
      <c r="AF11" s="1348"/>
      <c r="AG11" s="1348"/>
      <c r="AH11" s="1348"/>
      <c r="AI11" s="1348"/>
      <c r="AJ11" s="1348"/>
      <c r="AK11" s="1348"/>
      <c r="AL11" s="1348"/>
      <c r="AM11" s="1348"/>
      <c r="AN11" s="1348"/>
      <c r="AO11" s="1348"/>
      <c r="AP11" s="1348"/>
      <c r="AQ11" s="1348"/>
      <c r="AR11" s="1348"/>
      <c r="AS11" s="1348"/>
      <c r="AT11" s="1348"/>
      <c r="AU11" s="1348"/>
      <c r="AV11" s="1348"/>
      <c r="AW11" s="1348"/>
      <c r="AX11" s="1348"/>
      <c r="AY11" s="1348"/>
      <c r="AZ11" s="1348"/>
      <c r="BA11" s="1348"/>
    </row>
    <row r="12" spans="1:53" s="10" customFormat="1" ht="14.25" customHeight="1" x14ac:dyDescent="0.2">
      <c r="A12" s="2006" t="s">
        <v>26</v>
      </c>
      <c r="B12" s="2007"/>
      <c r="C12" s="2007"/>
      <c r="D12" s="2007"/>
      <c r="E12" s="2007"/>
      <c r="F12" s="2007"/>
      <c r="G12" s="2007"/>
      <c r="H12" s="2007"/>
      <c r="I12" s="2007"/>
      <c r="J12" s="2007"/>
      <c r="K12" s="2007"/>
      <c r="L12" s="2007"/>
      <c r="M12" s="2007"/>
      <c r="N12" s="2008"/>
      <c r="P12" s="1348"/>
      <c r="Q12" s="1348"/>
      <c r="R12" s="1348"/>
      <c r="S12" s="1348"/>
      <c r="T12" s="1348"/>
      <c r="U12" s="1348"/>
      <c r="V12" s="1348"/>
      <c r="W12" s="1348"/>
      <c r="X12" s="1348"/>
      <c r="Y12" s="1348"/>
      <c r="Z12" s="1348"/>
      <c r="AA12" s="1348"/>
      <c r="AB12" s="1348"/>
      <c r="AC12" s="1348"/>
      <c r="AD12" s="1348"/>
      <c r="AE12" s="1348"/>
      <c r="AF12" s="1348"/>
      <c r="AG12" s="1348"/>
      <c r="AH12" s="1348"/>
      <c r="AI12" s="1348"/>
      <c r="AJ12" s="1348"/>
      <c r="AK12" s="1348"/>
      <c r="AL12" s="1348"/>
      <c r="AM12" s="1348"/>
      <c r="AN12" s="1348"/>
      <c r="AO12" s="1348"/>
      <c r="AP12" s="1348"/>
      <c r="AQ12" s="1348"/>
      <c r="AR12" s="1348"/>
      <c r="AS12" s="1348"/>
      <c r="AT12" s="1348"/>
      <c r="AU12" s="1348"/>
      <c r="AV12" s="1348"/>
      <c r="AW12" s="1348"/>
      <c r="AX12" s="1348"/>
      <c r="AY12" s="1348"/>
      <c r="AZ12" s="1348"/>
      <c r="BA12" s="1348"/>
    </row>
    <row r="13" spans="1:53" ht="16.5" customHeight="1" x14ac:dyDescent="0.2">
      <c r="A13" s="20" t="s">
        <v>5</v>
      </c>
      <c r="B13" s="2009" t="s">
        <v>30</v>
      </c>
      <c r="C13" s="2010"/>
      <c r="D13" s="2010"/>
      <c r="E13" s="2010"/>
      <c r="F13" s="2010"/>
      <c r="G13" s="2010"/>
      <c r="H13" s="2010"/>
      <c r="I13" s="2010"/>
      <c r="J13" s="2010"/>
      <c r="K13" s="2010"/>
      <c r="L13" s="2010"/>
      <c r="M13" s="2010"/>
      <c r="N13" s="2011"/>
    </row>
    <row r="14" spans="1:53" ht="15" customHeight="1" x14ac:dyDescent="0.2">
      <c r="A14" s="287" t="s">
        <v>5</v>
      </c>
      <c r="B14" s="13" t="s">
        <v>5</v>
      </c>
      <c r="C14" s="2012" t="s">
        <v>31</v>
      </c>
      <c r="D14" s="2013"/>
      <c r="E14" s="2013"/>
      <c r="F14" s="2013"/>
      <c r="G14" s="2013"/>
      <c r="H14" s="2013"/>
      <c r="I14" s="2013"/>
      <c r="J14" s="2013"/>
      <c r="K14" s="2013"/>
      <c r="L14" s="2013"/>
      <c r="M14" s="2013"/>
      <c r="N14" s="2014"/>
    </row>
    <row r="15" spans="1:53" ht="16.5" customHeight="1" x14ac:dyDescent="0.2">
      <c r="A15" s="751" t="s">
        <v>5</v>
      </c>
      <c r="B15" s="752" t="s">
        <v>5</v>
      </c>
      <c r="C15" s="721" t="s">
        <v>5</v>
      </c>
      <c r="D15" s="1784" t="s">
        <v>49</v>
      </c>
      <c r="E15" s="1786" t="s">
        <v>90</v>
      </c>
      <c r="F15" s="761" t="s">
        <v>43</v>
      </c>
      <c r="G15" s="39" t="s">
        <v>25</v>
      </c>
      <c r="H15" s="773">
        <f>426-25-100</f>
        <v>301</v>
      </c>
      <c r="I15" s="778">
        <f>2131.6+25+100</f>
        <v>2256.6</v>
      </c>
      <c r="J15" s="773">
        <f>634.9-25+350+1+25</f>
        <v>985.9</v>
      </c>
      <c r="K15" s="409"/>
      <c r="L15" s="410"/>
      <c r="M15" s="411"/>
      <c r="N15" s="412"/>
    </row>
    <row r="16" spans="1:53" ht="14.25" customHeight="1" x14ac:dyDescent="0.2">
      <c r="A16" s="751"/>
      <c r="B16" s="752"/>
      <c r="C16" s="721"/>
      <c r="D16" s="1785"/>
      <c r="E16" s="1787"/>
      <c r="F16" s="761"/>
      <c r="G16" s="39" t="s">
        <v>105</v>
      </c>
      <c r="H16" s="773">
        <v>557.70000000000005</v>
      </c>
      <c r="I16" s="774"/>
      <c r="J16" s="773"/>
      <c r="K16" s="409"/>
      <c r="L16" s="410"/>
      <c r="M16" s="411"/>
      <c r="N16" s="413"/>
    </row>
    <row r="17" spans="1:18" ht="13.5" customHeight="1" x14ac:dyDescent="0.2">
      <c r="A17" s="751"/>
      <c r="B17" s="752"/>
      <c r="C17" s="721"/>
      <c r="D17" s="59"/>
      <c r="E17" s="1788"/>
      <c r="F17" s="958"/>
      <c r="G17" s="771" t="s">
        <v>62</v>
      </c>
      <c r="H17" s="775">
        <v>1.5</v>
      </c>
      <c r="I17" s="776"/>
      <c r="J17" s="775"/>
      <c r="K17" s="414"/>
      <c r="L17" s="415"/>
      <c r="M17" s="416"/>
      <c r="N17" s="417"/>
    </row>
    <row r="18" spans="1:18" ht="27" customHeight="1" x14ac:dyDescent="0.2">
      <c r="A18" s="1837"/>
      <c r="B18" s="1832"/>
      <c r="C18" s="1833"/>
      <c r="D18" s="2015" t="s">
        <v>172</v>
      </c>
      <c r="E18" s="820" t="s">
        <v>47</v>
      </c>
      <c r="F18" s="1833"/>
      <c r="G18" s="39"/>
      <c r="H18" s="424"/>
      <c r="I18" s="70"/>
      <c r="J18" s="66"/>
      <c r="K18" s="825" t="s">
        <v>188</v>
      </c>
      <c r="L18" s="40" t="s">
        <v>268</v>
      </c>
      <c r="M18" s="182"/>
      <c r="N18" s="777"/>
    </row>
    <row r="19" spans="1:18" ht="17.25" customHeight="1" x14ac:dyDescent="0.2">
      <c r="A19" s="1837"/>
      <c r="B19" s="1832"/>
      <c r="C19" s="1833"/>
      <c r="D19" s="1975"/>
      <c r="E19" s="1951" t="s">
        <v>117</v>
      </c>
      <c r="F19" s="1833"/>
      <c r="G19" s="39"/>
      <c r="H19" s="424"/>
      <c r="I19" s="70"/>
      <c r="J19" s="66"/>
      <c r="K19" s="1953" t="s">
        <v>391</v>
      </c>
      <c r="L19" s="475" t="s">
        <v>56</v>
      </c>
      <c r="M19" s="707"/>
      <c r="N19" s="586"/>
    </row>
    <row r="20" spans="1:18" ht="16.5" customHeight="1" x14ac:dyDescent="0.2">
      <c r="A20" s="1837"/>
      <c r="B20" s="1832"/>
      <c r="C20" s="1833"/>
      <c r="D20" s="1932"/>
      <c r="E20" s="1952"/>
      <c r="F20" s="1833"/>
      <c r="G20" s="39"/>
      <c r="H20" s="424"/>
      <c r="I20" s="70"/>
      <c r="J20" s="66"/>
      <c r="K20" s="1935"/>
      <c r="L20" s="387"/>
      <c r="M20" s="51"/>
      <c r="N20" s="587"/>
    </row>
    <row r="21" spans="1:18" ht="14.25" customHeight="1" x14ac:dyDescent="0.2">
      <c r="A21" s="1837"/>
      <c r="B21" s="1832"/>
      <c r="C21" s="1833"/>
      <c r="D21" s="1826" t="s">
        <v>200</v>
      </c>
      <c r="E21" s="370" t="s">
        <v>47</v>
      </c>
      <c r="F21" s="1877"/>
      <c r="G21" s="68"/>
      <c r="H21" s="108"/>
      <c r="I21" s="68"/>
      <c r="J21" s="138"/>
      <c r="K21" s="824" t="s">
        <v>46</v>
      </c>
      <c r="L21" s="708"/>
      <c r="M21" s="709"/>
      <c r="N21" s="710">
        <v>1</v>
      </c>
    </row>
    <row r="22" spans="1:18" ht="24.75" customHeight="1" x14ac:dyDescent="0.2">
      <c r="A22" s="1837"/>
      <c r="B22" s="1832"/>
      <c r="C22" s="1833"/>
      <c r="D22" s="1828"/>
      <c r="E22" s="823"/>
      <c r="F22" s="1877"/>
      <c r="G22" s="68"/>
      <c r="H22" s="108"/>
      <c r="I22" s="608"/>
      <c r="J22" s="909"/>
      <c r="K22" s="828"/>
      <c r="L22" s="22"/>
      <c r="M22" s="51"/>
      <c r="N22" s="33"/>
    </row>
    <row r="23" spans="1:18" ht="18.75" customHeight="1" x14ac:dyDescent="0.2">
      <c r="A23" s="719"/>
      <c r="B23" s="737"/>
      <c r="C23" s="263"/>
      <c r="D23" s="1827" t="s">
        <v>295</v>
      </c>
      <c r="E23" s="370" t="s">
        <v>47</v>
      </c>
      <c r="F23" s="97"/>
      <c r="G23" s="68"/>
      <c r="H23" s="108"/>
      <c r="I23" s="68"/>
      <c r="J23" s="66"/>
      <c r="K23" s="1946" t="s">
        <v>192</v>
      </c>
      <c r="L23" s="591">
        <v>1</v>
      </c>
      <c r="M23" s="182"/>
      <c r="N23" s="408"/>
    </row>
    <row r="24" spans="1:18" ht="24" customHeight="1" x14ac:dyDescent="0.2">
      <c r="A24" s="719"/>
      <c r="B24" s="737"/>
      <c r="C24" s="263"/>
      <c r="D24" s="1827"/>
      <c r="E24" s="1948" t="s">
        <v>117</v>
      </c>
      <c r="F24" s="97"/>
      <c r="G24" s="68"/>
      <c r="H24" s="108"/>
      <c r="I24" s="68"/>
      <c r="J24" s="66"/>
      <c r="K24" s="1947"/>
      <c r="L24" s="591"/>
      <c r="M24" s="182"/>
      <c r="N24" s="408"/>
    </row>
    <row r="25" spans="1:18" ht="27.75" customHeight="1" x14ac:dyDescent="0.2">
      <c r="A25" s="719"/>
      <c r="B25" s="737"/>
      <c r="C25" s="263"/>
      <c r="D25" s="1827"/>
      <c r="E25" s="1949"/>
      <c r="F25" s="97"/>
      <c r="G25" s="68"/>
      <c r="H25" s="108"/>
      <c r="I25" s="68"/>
      <c r="J25" s="66"/>
      <c r="K25" s="589" t="s">
        <v>193</v>
      </c>
      <c r="L25" s="590"/>
      <c r="M25" s="221">
        <v>1</v>
      </c>
      <c r="N25" s="118"/>
      <c r="Q25" s="1349"/>
    </row>
    <row r="26" spans="1:18" ht="21" customHeight="1" x14ac:dyDescent="0.2">
      <c r="A26" s="719"/>
      <c r="B26" s="737"/>
      <c r="C26" s="263"/>
      <c r="D26" s="1828"/>
      <c r="E26" s="1950"/>
      <c r="F26" s="97"/>
      <c r="G26" s="70"/>
      <c r="H26" s="108"/>
      <c r="I26" s="68"/>
      <c r="J26" s="66"/>
      <c r="K26" s="683" t="s">
        <v>194</v>
      </c>
      <c r="L26" s="22"/>
      <c r="M26" s="51">
        <v>20</v>
      </c>
      <c r="N26" s="378">
        <v>100</v>
      </c>
    </row>
    <row r="27" spans="1:18" ht="23.25" customHeight="1" x14ac:dyDescent="0.2">
      <c r="A27" s="1837"/>
      <c r="B27" s="1832"/>
      <c r="C27" s="1833"/>
      <c r="D27" s="1883" t="s">
        <v>296</v>
      </c>
      <c r="E27" s="819" t="s">
        <v>47</v>
      </c>
      <c r="F27" s="1877"/>
      <c r="G27" s="68"/>
      <c r="H27" s="108"/>
      <c r="I27" s="68"/>
      <c r="J27" s="66"/>
      <c r="K27" s="826" t="s">
        <v>217</v>
      </c>
      <c r="L27" s="624">
        <v>20</v>
      </c>
      <c r="M27" s="658">
        <v>100</v>
      </c>
      <c r="N27" s="659"/>
    </row>
    <row r="28" spans="1:18" ht="12.75" customHeight="1" x14ac:dyDescent="0.2">
      <c r="A28" s="1837"/>
      <c r="B28" s="1832"/>
      <c r="C28" s="1833"/>
      <c r="D28" s="1838"/>
      <c r="E28" s="684"/>
      <c r="F28" s="1877"/>
      <c r="G28" s="63"/>
      <c r="H28" s="170"/>
      <c r="I28" s="67"/>
      <c r="J28" s="202"/>
      <c r="K28" s="599"/>
      <c r="L28" s="191"/>
      <c r="M28" s="377"/>
      <c r="N28" s="379"/>
    </row>
    <row r="29" spans="1:18" ht="18" customHeight="1" x14ac:dyDescent="0.2">
      <c r="A29" s="719"/>
      <c r="B29" s="737"/>
      <c r="C29" s="263"/>
      <c r="D29" s="1737" t="s">
        <v>306</v>
      </c>
      <c r="E29" s="1895" t="s">
        <v>47</v>
      </c>
      <c r="F29" s="821"/>
      <c r="G29" s="68" t="s">
        <v>45</v>
      </c>
      <c r="H29" s="108">
        <v>31.2</v>
      </c>
      <c r="I29" s="197"/>
      <c r="J29" s="253"/>
      <c r="K29" s="1232" t="s">
        <v>46</v>
      </c>
      <c r="L29" s="569"/>
      <c r="M29" s="381">
        <v>1</v>
      </c>
      <c r="N29" s="306"/>
      <c r="R29" s="1349"/>
    </row>
    <row r="30" spans="1:18" ht="15" customHeight="1" x14ac:dyDescent="0.2">
      <c r="A30" s="719"/>
      <c r="B30" s="737"/>
      <c r="C30" s="102"/>
      <c r="D30" s="1894"/>
      <c r="E30" s="1899"/>
      <c r="F30" s="821"/>
      <c r="G30" s="67"/>
      <c r="H30" s="613"/>
      <c r="I30" s="55"/>
      <c r="J30" s="240"/>
      <c r="K30" s="1232"/>
      <c r="L30" s="22"/>
      <c r="M30" s="383"/>
      <c r="N30" s="23"/>
    </row>
    <row r="31" spans="1:18" ht="13.5" customHeight="1" x14ac:dyDescent="0.2">
      <c r="A31" s="719"/>
      <c r="B31" s="737"/>
      <c r="C31" s="263"/>
      <c r="D31" s="1827" t="s">
        <v>207</v>
      </c>
      <c r="E31" s="822" t="s">
        <v>47</v>
      </c>
      <c r="F31" s="97"/>
      <c r="G31" s="68"/>
      <c r="H31" s="610"/>
      <c r="I31" s="608"/>
      <c r="J31" s="909"/>
      <c r="K31" s="824" t="s">
        <v>195</v>
      </c>
      <c r="L31" s="594"/>
      <c r="M31" s="594"/>
      <c r="N31" s="595">
        <v>1</v>
      </c>
    </row>
    <row r="32" spans="1:18" ht="12" customHeight="1" x14ac:dyDescent="0.2">
      <c r="A32" s="719"/>
      <c r="B32" s="737"/>
      <c r="C32" s="102"/>
      <c r="D32" s="1828"/>
      <c r="E32" s="820"/>
      <c r="F32" s="97"/>
      <c r="G32" s="70"/>
      <c r="H32" s="610"/>
      <c r="I32" s="608"/>
      <c r="J32" s="909"/>
      <c r="K32" s="827"/>
      <c r="L32" s="598"/>
      <c r="M32" s="598"/>
      <c r="N32" s="716"/>
    </row>
    <row r="33" spans="1:14" ht="13.5" customHeight="1" x14ac:dyDescent="0.2">
      <c r="A33" s="719"/>
      <c r="B33" s="737"/>
      <c r="C33" s="724"/>
      <c r="D33" s="1854" t="s">
        <v>297</v>
      </c>
      <c r="E33" s="819" t="s">
        <v>47</v>
      </c>
      <c r="F33" s="1877"/>
      <c r="G33" s="68"/>
      <c r="H33" s="610"/>
      <c r="I33" s="68"/>
      <c r="J33" s="66"/>
      <c r="K33" s="1229" t="s">
        <v>195</v>
      </c>
      <c r="L33" s="327"/>
      <c r="M33" s="327">
        <v>1</v>
      </c>
      <c r="N33" s="186"/>
    </row>
    <row r="34" spans="1:14" ht="24.75" customHeight="1" x14ac:dyDescent="0.2">
      <c r="A34" s="719"/>
      <c r="B34" s="737"/>
      <c r="C34" s="724"/>
      <c r="D34" s="1894"/>
      <c r="E34" s="820"/>
      <c r="F34" s="1877"/>
      <c r="G34" s="68"/>
      <c r="H34" s="910"/>
      <c r="I34" s="68"/>
      <c r="J34" s="66"/>
      <c r="K34" s="1230" t="s">
        <v>371</v>
      </c>
      <c r="L34" s="327"/>
      <c r="M34" s="327"/>
      <c r="N34" s="186">
        <v>100</v>
      </c>
    </row>
    <row r="35" spans="1:14" ht="13.5" customHeight="1" x14ac:dyDescent="0.2">
      <c r="A35" s="719"/>
      <c r="B35" s="737"/>
      <c r="C35" s="263"/>
      <c r="D35" s="1827" t="s">
        <v>303</v>
      </c>
      <c r="E35" s="856" t="s">
        <v>47</v>
      </c>
      <c r="F35" s="420"/>
      <c r="G35" s="68"/>
      <c r="H35" s="108"/>
      <c r="I35" s="68"/>
      <c r="J35" s="610"/>
      <c r="K35" s="1782" t="s">
        <v>312</v>
      </c>
      <c r="L35" s="594"/>
      <c r="M35" s="594">
        <v>1</v>
      </c>
      <c r="N35" s="595"/>
    </row>
    <row r="36" spans="1:14" ht="13.5" customHeight="1" x14ac:dyDescent="0.2">
      <c r="A36" s="719"/>
      <c r="B36" s="737"/>
      <c r="C36" s="263"/>
      <c r="D36" s="1827"/>
      <c r="E36" s="856"/>
      <c r="F36" s="420"/>
      <c r="G36" s="67"/>
      <c r="H36" s="613"/>
      <c r="I36" s="611"/>
      <c r="J36" s="613"/>
      <c r="K36" s="1783"/>
      <c r="L36" s="596"/>
      <c r="M36" s="596"/>
      <c r="N36" s="597"/>
    </row>
    <row r="37" spans="1:14" ht="17.25" customHeight="1" thickBot="1" x14ac:dyDescent="0.25">
      <c r="A37" s="75"/>
      <c r="B37" s="760"/>
      <c r="C37" s="104"/>
      <c r="D37" s="899"/>
      <c r="E37" s="900"/>
      <c r="F37" s="901"/>
      <c r="G37" s="156" t="s">
        <v>6</v>
      </c>
      <c r="H37" s="440">
        <f>SUM(H15:H36)</f>
        <v>891.4</v>
      </c>
      <c r="I37" s="156">
        <f>SUM(I15:I36)</f>
        <v>2256.6</v>
      </c>
      <c r="J37" s="156">
        <f>SUM(J15:J36)</f>
        <v>985.9</v>
      </c>
      <c r="K37" s="902"/>
      <c r="L37" s="903"/>
      <c r="M37" s="904"/>
      <c r="N37" s="905"/>
    </row>
    <row r="38" spans="1:14" ht="12.75" customHeight="1" x14ac:dyDescent="0.2">
      <c r="A38" s="757" t="s">
        <v>5</v>
      </c>
      <c r="B38" s="759" t="s">
        <v>5</v>
      </c>
      <c r="C38" s="733" t="s">
        <v>7</v>
      </c>
      <c r="D38" s="1789" t="s">
        <v>50</v>
      </c>
      <c r="E38" s="1791" t="s">
        <v>93</v>
      </c>
      <c r="F38" s="755" t="s">
        <v>43</v>
      </c>
      <c r="G38" s="421" t="s">
        <v>25</v>
      </c>
      <c r="H38" s="261">
        <f>744.6-87.4-5</f>
        <v>652.20000000000005</v>
      </c>
      <c r="I38" s="215">
        <f>1130+87.4+5</f>
        <v>1222.4000000000001</v>
      </c>
      <c r="J38" s="261">
        <v>1442.6</v>
      </c>
      <c r="K38" s="780"/>
      <c r="L38" s="321"/>
      <c r="M38" s="321"/>
      <c r="N38" s="217"/>
    </row>
    <row r="39" spans="1:14" ht="16.5" customHeight="1" x14ac:dyDescent="0.2">
      <c r="A39" s="738"/>
      <c r="B39" s="737"/>
      <c r="C39" s="724"/>
      <c r="D39" s="1790"/>
      <c r="E39" s="1787"/>
      <c r="F39" s="730"/>
      <c r="G39" s="280" t="s">
        <v>106</v>
      </c>
      <c r="H39" s="108">
        <f>1500-1400</f>
        <v>100</v>
      </c>
      <c r="I39" s="68">
        <f>2500+650</f>
        <v>3150</v>
      </c>
      <c r="J39" s="108">
        <f>1700+750</f>
        <v>2450</v>
      </c>
      <c r="K39" s="728"/>
      <c r="L39" s="327"/>
      <c r="M39" s="327"/>
      <c r="N39" s="186"/>
    </row>
    <row r="40" spans="1:14" ht="16.5" customHeight="1" x14ac:dyDescent="0.2">
      <c r="A40" s="1297"/>
      <c r="B40" s="1293"/>
      <c r="C40" s="1294"/>
      <c r="D40" s="1311"/>
      <c r="E40" s="1787"/>
      <c r="F40" s="1296"/>
      <c r="G40" s="280" t="s">
        <v>62</v>
      </c>
      <c r="H40" s="108">
        <v>5.9</v>
      </c>
      <c r="I40" s="68"/>
      <c r="J40" s="108"/>
      <c r="K40" s="1295"/>
      <c r="L40" s="327"/>
      <c r="M40" s="327"/>
      <c r="N40" s="186"/>
    </row>
    <row r="41" spans="1:14" ht="14.25" customHeight="1" x14ac:dyDescent="0.2">
      <c r="A41" s="738"/>
      <c r="B41" s="737"/>
      <c r="C41" s="724"/>
      <c r="D41" s="1312"/>
      <c r="E41" s="1787"/>
      <c r="F41" s="730"/>
      <c r="G41" s="80" t="s">
        <v>105</v>
      </c>
      <c r="H41" s="170">
        <v>366.6</v>
      </c>
      <c r="I41" s="67"/>
      <c r="J41" s="170"/>
      <c r="K41" s="767"/>
      <c r="L41" s="22"/>
      <c r="M41" s="22"/>
      <c r="N41" s="185"/>
    </row>
    <row r="42" spans="1:14" ht="39.75" customHeight="1" x14ac:dyDescent="0.2">
      <c r="A42" s="1939"/>
      <c r="B42" s="1832"/>
      <c r="C42" s="1833"/>
      <c r="D42" s="1827" t="s">
        <v>293</v>
      </c>
      <c r="E42" s="731" t="s">
        <v>47</v>
      </c>
      <c r="F42" s="1833"/>
      <c r="G42" s="68"/>
      <c r="H42" s="108"/>
      <c r="I42" s="68"/>
      <c r="J42" s="108"/>
      <c r="K42" s="47" t="s">
        <v>203</v>
      </c>
      <c r="L42" s="735">
        <v>1</v>
      </c>
      <c r="M42" s="735"/>
      <c r="N42" s="423"/>
    </row>
    <row r="43" spans="1:14" ht="42" customHeight="1" x14ac:dyDescent="0.2">
      <c r="A43" s="1939"/>
      <c r="B43" s="1832"/>
      <c r="C43" s="1833"/>
      <c r="D43" s="1827"/>
      <c r="E43" s="731"/>
      <c r="F43" s="1833"/>
      <c r="G43" s="68"/>
      <c r="H43" s="108"/>
      <c r="I43" s="68"/>
      <c r="J43" s="108"/>
      <c r="K43" s="32" t="s">
        <v>270</v>
      </c>
      <c r="L43" s="52">
        <v>100</v>
      </c>
      <c r="M43" s="52"/>
      <c r="N43" s="194"/>
    </row>
    <row r="44" spans="1:14" ht="30" customHeight="1" x14ac:dyDescent="0.2">
      <c r="A44" s="1939"/>
      <c r="B44" s="1832"/>
      <c r="C44" s="1833"/>
      <c r="D44" s="1827"/>
      <c r="E44" s="731"/>
      <c r="F44" s="1833"/>
      <c r="G44" s="68"/>
      <c r="H44" s="108"/>
      <c r="I44" s="68"/>
      <c r="J44" s="108"/>
      <c r="K44" s="32" t="s">
        <v>271</v>
      </c>
      <c r="L44" s="52">
        <v>40</v>
      </c>
      <c r="M44" s="52">
        <v>100</v>
      </c>
      <c r="N44" s="194"/>
    </row>
    <row r="45" spans="1:14" ht="40.5" customHeight="1" x14ac:dyDescent="0.2">
      <c r="A45" s="1939"/>
      <c r="B45" s="1832"/>
      <c r="C45" s="1833"/>
      <c r="D45" s="1827"/>
      <c r="E45" s="731"/>
      <c r="F45" s="1833"/>
      <c r="G45" s="68"/>
      <c r="H45" s="108"/>
      <c r="I45" s="68"/>
      <c r="J45" s="108"/>
      <c r="K45" s="32" t="s">
        <v>360</v>
      </c>
      <c r="L45" s="52"/>
      <c r="M45" s="52">
        <v>30</v>
      </c>
      <c r="N45" s="194">
        <v>60</v>
      </c>
    </row>
    <row r="46" spans="1:14" ht="25.5" customHeight="1" x14ac:dyDescent="0.2">
      <c r="A46" s="1939"/>
      <c r="B46" s="1832"/>
      <c r="C46" s="1833"/>
      <c r="D46" s="1826" t="s">
        <v>59</v>
      </c>
      <c r="E46" s="120" t="s">
        <v>47</v>
      </c>
      <c r="F46" s="1877"/>
      <c r="G46" s="68"/>
      <c r="H46" s="108"/>
      <c r="I46" s="68"/>
      <c r="J46" s="66"/>
      <c r="K46" s="855" t="s">
        <v>197</v>
      </c>
      <c r="L46" s="734"/>
      <c r="M46" s="734">
        <v>70</v>
      </c>
      <c r="N46" s="137">
        <v>100</v>
      </c>
    </row>
    <row r="47" spans="1:14" ht="9.75" customHeight="1" x14ac:dyDescent="0.2">
      <c r="A47" s="1939"/>
      <c r="B47" s="1832"/>
      <c r="C47" s="1833"/>
      <c r="D47" s="1828"/>
      <c r="E47" s="121"/>
      <c r="F47" s="1877"/>
      <c r="G47" s="70"/>
      <c r="H47" s="108"/>
      <c r="I47" s="68"/>
      <c r="J47" s="66"/>
      <c r="K47" s="303"/>
      <c r="L47" s="48"/>
      <c r="M47" s="48"/>
      <c r="N47" s="188"/>
    </row>
    <row r="48" spans="1:14" ht="17.25" customHeight="1" x14ac:dyDescent="0.2">
      <c r="A48" s="719"/>
      <c r="B48" s="737"/>
      <c r="C48" s="97"/>
      <c r="D48" s="1826" t="s">
        <v>298</v>
      </c>
      <c r="E48" s="1936" t="s">
        <v>47</v>
      </c>
      <c r="F48" s="1938"/>
      <c r="G48" s="68"/>
      <c r="H48" s="424"/>
      <c r="I48" s="70"/>
      <c r="J48" s="419"/>
      <c r="K48" s="600" t="s">
        <v>98</v>
      </c>
      <c r="L48" s="601">
        <v>1</v>
      </c>
      <c r="M48" s="569"/>
      <c r="N48" s="732"/>
    </row>
    <row r="49" spans="1:14" ht="24" customHeight="1" x14ac:dyDescent="0.2">
      <c r="A49" s="719"/>
      <c r="B49" s="737"/>
      <c r="C49" s="97"/>
      <c r="D49" s="1827"/>
      <c r="E49" s="1937"/>
      <c r="F49" s="1938"/>
      <c r="G49" s="68"/>
      <c r="H49" s="685"/>
      <c r="I49" s="686"/>
      <c r="J49" s="911"/>
      <c r="K49" s="762"/>
      <c r="L49" s="588"/>
      <c r="M49" s="591"/>
      <c r="N49" s="186"/>
    </row>
    <row r="50" spans="1:14" ht="17.25" customHeight="1" x14ac:dyDescent="0.2">
      <c r="A50" s="719"/>
      <c r="B50" s="737"/>
      <c r="C50" s="97"/>
      <c r="D50" s="1883" t="s">
        <v>333</v>
      </c>
      <c r="E50" s="739"/>
      <c r="F50" s="741"/>
      <c r="G50" s="70"/>
      <c r="H50" s="108"/>
      <c r="I50" s="68"/>
      <c r="J50" s="108"/>
      <c r="K50" s="740" t="s">
        <v>313</v>
      </c>
      <c r="L50" s="655">
        <v>1</v>
      </c>
      <c r="M50" s="569"/>
      <c r="N50" s="732"/>
    </row>
    <row r="51" spans="1:14" ht="17.25" customHeight="1" x14ac:dyDescent="0.2">
      <c r="A51" s="719"/>
      <c r="B51" s="737"/>
      <c r="C51" s="97"/>
      <c r="D51" s="1940"/>
      <c r="E51" s="739"/>
      <c r="F51" s="741"/>
      <c r="G51" s="74"/>
      <c r="H51" s="170"/>
      <c r="I51" s="67"/>
      <c r="J51" s="170"/>
      <c r="K51" s="656" t="s">
        <v>46</v>
      </c>
      <c r="L51" s="657"/>
      <c r="M51" s="603"/>
      <c r="N51" s="185">
        <v>1</v>
      </c>
    </row>
    <row r="52" spans="1:14" ht="14.25" customHeight="1" x14ac:dyDescent="0.2">
      <c r="A52" s="719"/>
      <c r="B52" s="737"/>
      <c r="C52" s="97"/>
      <c r="D52" s="1826" t="s">
        <v>334</v>
      </c>
      <c r="E52" s="1936" t="s">
        <v>47</v>
      </c>
      <c r="F52" s="1941"/>
      <c r="G52" s="68" t="s">
        <v>45</v>
      </c>
      <c r="H52" s="424"/>
      <c r="I52" s="70"/>
      <c r="J52" s="424">
        <v>95</v>
      </c>
      <c r="K52" s="762" t="s">
        <v>98</v>
      </c>
      <c r="L52" s="588"/>
      <c r="M52" s="591"/>
      <c r="N52" s="186">
        <v>1</v>
      </c>
    </row>
    <row r="53" spans="1:14" ht="9.75" customHeight="1" x14ac:dyDescent="0.2">
      <c r="A53" s="719"/>
      <c r="B53" s="737"/>
      <c r="C53" s="97"/>
      <c r="D53" s="1827"/>
      <c r="E53" s="1937"/>
      <c r="F53" s="1941"/>
      <c r="G53" s="74"/>
      <c r="H53" s="170"/>
      <c r="I53" s="67"/>
      <c r="J53" s="170"/>
      <c r="K53" s="654"/>
      <c r="L53" s="588"/>
      <c r="M53" s="591"/>
      <c r="N53" s="186"/>
    </row>
    <row r="54" spans="1:14" ht="17.25" customHeight="1" thickBot="1" x14ac:dyDescent="0.25">
      <c r="A54" s="75"/>
      <c r="B54" s="858"/>
      <c r="C54" s="104"/>
      <c r="D54" s="899"/>
      <c r="E54" s="900"/>
      <c r="F54" s="901"/>
      <c r="G54" s="156" t="s">
        <v>6</v>
      </c>
      <c r="H54" s="440">
        <f>SUM(H38:H53)</f>
        <v>1124.7</v>
      </c>
      <c r="I54" s="440">
        <f>SUM(I38:I53)</f>
        <v>4372.3999999999996</v>
      </c>
      <c r="J54" s="440">
        <f>SUM(J38:J53)</f>
        <v>3987.6</v>
      </c>
      <c r="K54" s="902"/>
      <c r="L54" s="903"/>
      <c r="M54" s="904"/>
      <c r="N54" s="905"/>
    </row>
    <row r="55" spans="1:14" ht="15" customHeight="1" x14ac:dyDescent="0.2">
      <c r="A55" s="1491" t="s">
        <v>5</v>
      </c>
      <c r="B55" s="325" t="s">
        <v>5</v>
      </c>
      <c r="C55" s="1500" t="s">
        <v>28</v>
      </c>
      <c r="D55" s="1942" t="s">
        <v>101</v>
      </c>
      <c r="E55" s="1944" t="s">
        <v>95</v>
      </c>
      <c r="F55" s="1492" t="s">
        <v>43</v>
      </c>
      <c r="G55" s="215" t="s">
        <v>25</v>
      </c>
      <c r="H55" s="261">
        <f>326-101.6</f>
        <v>224.4</v>
      </c>
      <c r="I55" s="215">
        <f>633.9+875.5-263.4+101.6</f>
        <v>1347.6</v>
      </c>
      <c r="J55" s="212">
        <f>2792.4-328.6</f>
        <v>2463.8000000000002</v>
      </c>
      <c r="K55" s="422"/>
      <c r="L55" s="426"/>
      <c r="M55" s="781"/>
      <c r="N55" s="782"/>
    </row>
    <row r="56" spans="1:14" ht="14.25" customHeight="1" x14ac:dyDescent="0.2">
      <c r="A56" s="1478"/>
      <c r="B56" s="1484"/>
      <c r="C56" s="1480"/>
      <c r="D56" s="1943"/>
      <c r="E56" s="1945"/>
      <c r="F56" s="1482"/>
      <c r="G56" s="68" t="s">
        <v>106</v>
      </c>
      <c r="H56" s="108">
        <f>860-300-300</f>
        <v>260</v>
      </c>
      <c r="I56" s="68">
        <v>1000</v>
      </c>
      <c r="J56" s="108"/>
      <c r="K56" s="1494"/>
      <c r="L56" s="489"/>
      <c r="M56" s="490"/>
      <c r="N56" s="408"/>
    </row>
    <row r="57" spans="1:14" ht="14.25" customHeight="1" x14ac:dyDescent="0.2">
      <c r="A57" s="1478"/>
      <c r="B57" s="1484"/>
      <c r="C57" s="1480"/>
      <c r="D57" s="1943"/>
      <c r="E57" s="1945"/>
      <c r="F57" s="1482"/>
      <c r="G57" s="68" t="s">
        <v>105</v>
      </c>
      <c r="H57" s="108">
        <f>198.4-198.4</f>
        <v>0</v>
      </c>
      <c r="I57" s="68">
        <v>198.4</v>
      </c>
      <c r="J57" s="108"/>
      <c r="K57" s="1494"/>
      <c r="L57" s="489"/>
      <c r="M57" s="490"/>
      <c r="N57" s="408"/>
    </row>
    <row r="58" spans="1:14" ht="13.5" customHeight="1" x14ac:dyDescent="0.2">
      <c r="A58" s="1618"/>
      <c r="B58" s="1621"/>
      <c r="C58" s="1619"/>
      <c r="D58" s="1943"/>
      <c r="E58" s="1945"/>
      <c r="F58" s="1620"/>
      <c r="G58" s="68" t="s">
        <v>376</v>
      </c>
      <c r="H58" s="424">
        <v>984.5</v>
      </c>
      <c r="I58" s="70">
        <v>846.2</v>
      </c>
      <c r="J58" s="66">
        <v>149.9</v>
      </c>
      <c r="K58" s="1622"/>
      <c r="L58" s="1632"/>
      <c r="M58" s="490"/>
      <c r="N58" s="408"/>
    </row>
    <row r="59" spans="1:14" ht="14.25" customHeight="1" x14ac:dyDescent="0.2">
      <c r="A59" s="1618"/>
      <c r="B59" s="1621"/>
      <c r="C59" s="1619"/>
      <c r="D59" s="1943"/>
      <c r="E59" s="1945"/>
      <c r="F59" s="1620"/>
      <c r="G59" s="68" t="s">
        <v>48</v>
      </c>
      <c r="H59" s="424">
        <f>300-182.4</f>
        <v>117.6</v>
      </c>
      <c r="I59" s="70">
        <v>182.4</v>
      </c>
      <c r="J59" s="419"/>
      <c r="K59" s="1622"/>
      <c r="L59" s="1632"/>
      <c r="M59" s="490"/>
      <c r="N59" s="408"/>
    </row>
    <row r="60" spans="1:14" ht="15.75" customHeight="1" x14ac:dyDescent="0.2">
      <c r="A60" s="1618"/>
      <c r="B60" s="1621"/>
      <c r="C60" s="1619"/>
      <c r="D60" s="1891"/>
      <c r="E60" s="1788"/>
      <c r="F60" s="894"/>
      <c r="G60" s="67" t="s">
        <v>62</v>
      </c>
      <c r="H60" s="170">
        <f>420-260+295-32</f>
        <v>423</v>
      </c>
      <c r="I60" s="67">
        <v>32</v>
      </c>
      <c r="J60" s="202"/>
      <c r="K60" s="767"/>
      <c r="L60" s="48"/>
      <c r="M60" s="183"/>
      <c r="N60" s="33"/>
    </row>
    <row r="61" spans="1:14" ht="14.1" customHeight="1" x14ac:dyDescent="0.2">
      <c r="A61" s="1837"/>
      <c r="B61" s="1888"/>
      <c r="C61" s="1833"/>
      <c r="D61" s="1770" t="s">
        <v>177</v>
      </c>
      <c r="E61" s="1895" t="s">
        <v>47</v>
      </c>
      <c r="F61" s="1889"/>
      <c r="G61" s="68" t="s">
        <v>45</v>
      </c>
      <c r="H61" s="108"/>
      <c r="I61" s="68">
        <v>150</v>
      </c>
      <c r="J61" s="66"/>
      <c r="K61" s="1860"/>
      <c r="L61" s="1499"/>
      <c r="M61" s="1501"/>
      <c r="N61" s="1496"/>
    </row>
    <row r="62" spans="1:14" ht="25.5" customHeight="1" x14ac:dyDescent="0.2">
      <c r="A62" s="1837"/>
      <c r="B62" s="1888"/>
      <c r="C62" s="1833"/>
      <c r="D62" s="1932"/>
      <c r="E62" s="1895"/>
      <c r="F62" s="1889"/>
      <c r="G62" s="68"/>
      <c r="H62" s="424"/>
      <c r="I62" s="70"/>
      <c r="J62" s="419"/>
      <c r="K62" s="1915"/>
      <c r="L62" s="1501"/>
      <c r="M62" s="1501"/>
      <c r="N62" s="1496"/>
    </row>
    <row r="63" spans="1:14" ht="8.25" customHeight="1" x14ac:dyDescent="0.2">
      <c r="A63" s="1837"/>
      <c r="B63" s="1888"/>
      <c r="C63" s="1833"/>
      <c r="D63" s="1481"/>
      <c r="E63" s="1895"/>
      <c r="F63" s="1889"/>
      <c r="G63" s="68"/>
      <c r="H63" s="108"/>
      <c r="I63" s="68"/>
      <c r="J63" s="66"/>
      <c r="K63" s="1497"/>
      <c r="L63" s="1501"/>
      <c r="M63" s="1501"/>
      <c r="N63" s="1496"/>
    </row>
    <row r="64" spans="1:14" ht="26.25" customHeight="1" x14ac:dyDescent="0.2">
      <c r="A64" s="1837"/>
      <c r="B64" s="1888"/>
      <c r="C64" s="1833"/>
      <c r="D64" s="660" t="s">
        <v>201</v>
      </c>
      <c r="E64" s="1895"/>
      <c r="F64" s="1889"/>
      <c r="G64" s="68"/>
      <c r="H64" s="108"/>
      <c r="I64" s="68"/>
      <c r="J64" s="66"/>
      <c r="K64" s="94" t="s">
        <v>273</v>
      </c>
      <c r="L64" s="27">
        <v>80</v>
      </c>
      <c r="M64" s="193">
        <v>100</v>
      </c>
      <c r="N64" s="28"/>
    </row>
    <row r="65" spans="1:14" ht="37.5" customHeight="1" x14ac:dyDescent="0.2">
      <c r="A65" s="1837"/>
      <c r="B65" s="1888"/>
      <c r="C65" s="1833"/>
      <c r="D65" s="1483" t="s">
        <v>165</v>
      </c>
      <c r="E65" s="1899"/>
      <c r="F65" s="1889"/>
      <c r="G65" s="67"/>
      <c r="H65" s="170"/>
      <c r="I65" s="67"/>
      <c r="J65" s="202"/>
      <c r="K65" s="661" t="s">
        <v>274</v>
      </c>
      <c r="L65" s="22"/>
      <c r="M65" s="51">
        <v>80</v>
      </c>
      <c r="N65" s="23">
        <v>100</v>
      </c>
    </row>
    <row r="66" spans="1:14" ht="17.25" customHeight="1" x14ac:dyDescent="0.2">
      <c r="A66" s="719"/>
      <c r="B66" s="720"/>
      <c r="C66" s="730"/>
      <c r="D66" s="1826" t="s">
        <v>123</v>
      </c>
      <c r="E66" s="1895" t="s">
        <v>47</v>
      </c>
      <c r="F66" s="1877"/>
      <c r="G66" s="68"/>
      <c r="H66" s="108"/>
      <c r="I66" s="68"/>
      <c r="J66" s="66"/>
      <c r="K66" s="1486" t="s">
        <v>46</v>
      </c>
      <c r="L66" s="1499">
        <v>1</v>
      </c>
      <c r="M66" s="1499"/>
      <c r="N66" s="186"/>
    </row>
    <row r="67" spans="1:14" ht="15.75" customHeight="1" x14ac:dyDescent="0.2">
      <c r="A67" s="719"/>
      <c r="B67" s="720"/>
      <c r="C67" s="730"/>
      <c r="D67" s="1827"/>
      <c r="E67" s="1895"/>
      <c r="F67" s="1877"/>
      <c r="G67" s="68"/>
      <c r="H67" s="108"/>
      <c r="I67" s="68"/>
      <c r="J67" s="66"/>
      <c r="K67" s="1906" t="s">
        <v>198</v>
      </c>
      <c r="L67" s="1499">
        <v>40</v>
      </c>
      <c r="M67" s="1499">
        <v>100</v>
      </c>
      <c r="N67" s="186"/>
    </row>
    <row r="68" spans="1:14" ht="13.5" customHeight="1" x14ac:dyDescent="0.2">
      <c r="A68" s="719"/>
      <c r="B68" s="720"/>
      <c r="C68" s="730"/>
      <c r="D68" s="1828"/>
      <c r="E68" s="1899"/>
      <c r="F68" s="1877"/>
      <c r="G68" s="70"/>
      <c r="H68" s="108"/>
      <c r="I68" s="68"/>
      <c r="J68" s="66"/>
      <c r="K68" s="1935"/>
      <c r="L68" s="22"/>
      <c r="M68" s="22"/>
      <c r="N68" s="185"/>
    </row>
    <row r="69" spans="1:14" ht="15" customHeight="1" x14ac:dyDescent="0.2">
      <c r="A69" s="719"/>
      <c r="B69" s="720"/>
      <c r="C69" s="730"/>
      <c r="D69" s="1826" t="s">
        <v>60</v>
      </c>
      <c r="E69" s="1933" t="s">
        <v>47</v>
      </c>
      <c r="F69" s="1877"/>
      <c r="G69" s="68"/>
      <c r="H69" s="108"/>
      <c r="I69" s="68"/>
      <c r="J69" s="66"/>
      <c r="K69" s="1495" t="s">
        <v>46</v>
      </c>
      <c r="L69" s="1476"/>
      <c r="M69" s="1476"/>
      <c r="N69" s="1477">
        <v>1</v>
      </c>
    </row>
    <row r="70" spans="1:14" ht="12.75" customHeight="1" x14ac:dyDescent="0.2">
      <c r="A70" s="719"/>
      <c r="B70" s="720"/>
      <c r="C70" s="730"/>
      <c r="D70" s="1828"/>
      <c r="E70" s="1934"/>
      <c r="F70" s="1877"/>
      <c r="G70" s="63"/>
      <c r="H70" s="170"/>
      <c r="I70" s="67"/>
      <c r="J70" s="202"/>
      <c r="K70" s="767"/>
      <c r="L70" s="22"/>
      <c r="M70" s="22"/>
      <c r="N70" s="185"/>
    </row>
    <row r="71" spans="1:14" ht="19.5" customHeight="1" x14ac:dyDescent="0.2">
      <c r="A71" s="719"/>
      <c r="B71" s="720"/>
      <c r="C71" s="730"/>
      <c r="D71" s="1883" t="s">
        <v>335</v>
      </c>
      <c r="E71" s="1509" t="s">
        <v>47</v>
      </c>
      <c r="F71" s="1889"/>
      <c r="G71" s="68"/>
      <c r="H71" s="108"/>
      <c r="I71" s="68"/>
      <c r="J71" s="138"/>
      <c r="K71" s="1487" t="s">
        <v>46</v>
      </c>
      <c r="L71" s="569">
        <v>1</v>
      </c>
      <c r="M71" s="569"/>
      <c r="N71" s="570"/>
    </row>
    <row r="72" spans="1:14" ht="27.75" customHeight="1" x14ac:dyDescent="0.2">
      <c r="A72" s="719"/>
      <c r="B72" s="720"/>
      <c r="C72" s="730"/>
      <c r="D72" s="1932"/>
      <c r="E72" s="1260"/>
      <c r="F72" s="1889"/>
      <c r="G72" s="63" t="s">
        <v>45</v>
      </c>
      <c r="H72" s="170">
        <v>40</v>
      </c>
      <c r="I72" s="67"/>
      <c r="J72" s="139"/>
      <c r="K72" s="1486" t="s">
        <v>336</v>
      </c>
      <c r="L72" s="591"/>
      <c r="M72" s="591"/>
      <c r="N72" s="602">
        <v>100</v>
      </c>
    </row>
    <row r="73" spans="1:14" ht="17.25" customHeight="1" thickBot="1" x14ac:dyDescent="0.25">
      <c r="A73" s="75"/>
      <c r="B73" s="858"/>
      <c r="C73" s="104"/>
      <c r="D73" s="915"/>
      <c r="E73" s="900"/>
      <c r="F73" s="901"/>
      <c r="G73" s="156" t="s">
        <v>6</v>
      </c>
      <c r="H73" s="440">
        <f>SUM(H55:H72)</f>
        <v>2049.5</v>
      </c>
      <c r="I73" s="440">
        <f>SUM(I55:I72)</f>
        <v>3756.6</v>
      </c>
      <c r="J73" s="440">
        <f>SUM(J55:J72)</f>
        <v>2613.6999999999998</v>
      </c>
      <c r="K73" s="902"/>
      <c r="L73" s="903"/>
      <c r="M73" s="904"/>
      <c r="N73" s="905"/>
    </row>
    <row r="74" spans="1:14" ht="33" customHeight="1" x14ac:dyDescent="0.2">
      <c r="A74" s="757" t="s">
        <v>5</v>
      </c>
      <c r="B74" s="325" t="s">
        <v>5</v>
      </c>
      <c r="C74" s="733" t="s">
        <v>33</v>
      </c>
      <c r="D74" s="1510" t="s">
        <v>51</v>
      </c>
      <c r="E74" s="1511" t="s">
        <v>92</v>
      </c>
      <c r="F74" s="1512"/>
      <c r="G74" s="100"/>
      <c r="H74" s="1513"/>
      <c r="I74" s="711"/>
      <c r="J74" s="1514"/>
      <c r="K74" s="1515"/>
      <c r="L74" s="1516"/>
      <c r="M74" s="1516"/>
      <c r="N74" s="1517"/>
    </row>
    <row r="75" spans="1:14" ht="15" customHeight="1" x14ac:dyDescent="0.2">
      <c r="A75" s="719"/>
      <c r="B75" s="720"/>
      <c r="C75" s="724"/>
      <c r="D75" s="1827" t="s">
        <v>61</v>
      </c>
      <c r="E75" s="1895" t="s">
        <v>47</v>
      </c>
      <c r="F75" s="1931">
        <v>5</v>
      </c>
      <c r="G75" s="60" t="s">
        <v>106</v>
      </c>
      <c r="H75" s="477">
        <f>500+617.1</f>
        <v>1117.0999999999999</v>
      </c>
      <c r="I75" s="60">
        <v>200</v>
      </c>
      <c r="J75" s="140"/>
      <c r="K75" s="1926" t="s">
        <v>337</v>
      </c>
      <c r="L75" s="1476">
        <v>80</v>
      </c>
      <c r="M75" s="1476">
        <v>100</v>
      </c>
      <c r="N75" s="1477"/>
    </row>
    <row r="76" spans="1:14" ht="14.25" customHeight="1" x14ac:dyDescent="0.2">
      <c r="A76" s="719"/>
      <c r="B76" s="720"/>
      <c r="C76" s="724"/>
      <c r="D76" s="1827"/>
      <c r="E76" s="1895"/>
      <c r="F76" s="1931"/>
      <c r="G76" s="68" t="s">
        <v>25</v>
      </c>
      <c r="H76" s="108">
        <f>400+1508.2</f>
        <v>1908.2</v>
      </c>
      <c r="I76" s="68">
        <f>1500+635.7-1000.1</f>
        <v>1135.5999999999999</v>
      </c>
      <c r="J76" s="138"/>
      <c r="K76" s="1927"/>
      <c r="L76" s="1499"/>
      <c r="M76" s="1499"/>
      <c r="N76" s="186"/>
    </row>
    <row r="77" spans="1:14" ht="14.25" customHeight="1" x14ac:dyDescent="0.2">
      <c r="A77" s="1618"/>
      <c r="B77" s="1621"/>
      <c r="C77" s="1619"/>
      <c r="D77" s="1827"/>
      <c r="E77" s="1895"/>
      <c r="F77" s="1931"/>
      <c r="G77" s="68" t="s">
        <v>105</v>
      </c>
      <c r="H77" s="108">
        <v>198.4</v>
      </c>
      <c r="I77" s="68"/>
      <c r="J77" s="108"/>
      <c r="K77" s="1623"/>
      <c r="L77" s="1639"/>
      <c r="M77" s="1639"/>
      <c r="N77" s="186"/>
    </row>
    <row r="78" spans="1:14" ht="14.25" customHeight="1" x14ac:dyDescent="0.2">
      <c r="A78" s="1618"/>
      <c r="B78" s="1621"/>
      <c r="C78" s="1619"/>
      <c r="D78" s="1827"/>
      <c r="E78" s="1895"/>
      <c r="F78" s="1931"/>
      <c r="G78" s="68" t="s">
        <v>62</v>
      </c>
      <c r="H78" s="108">
        <v>192.4</v>
      </c>
      <c r="I78" s="68"/>
      <c r="J78" s="108"/>
      <c r="K78" s="1623"/>
      <c r="L78" s="1639"/>
      <c r="M78" s="1639"/>
      <c r="N78" s="186"/>
    </row>
    <row r="79" spans="1:14" ht="14.25" customHeight="1" x14ac:dyDescent="0.2">
      <c r="A79" s="719"/>
      <c r="B79" s="720"/>
      <c r="C79" s="724"/>
      <c r="D79" s="1827"/>
      <c r="E79" s="1895"/>
      <c r="F79" s="1931"/>
      <c r="G79" s="68" t="s">
        <v>48</v>
      </c>
      <c r="H79" s="108">
        <f>993.4+482.4</f>
        <v>1475.8</v>
      </c>
      <c r="I79" s="68"/>
      <c r="J79" s="108"/>
      <c r="K79" s="1928"/>
      <c r="L79" s="1499"/>
      <c r="M79" s="1499"/>
      <c r="N79" s="186"/>
    </row>
    <row r="80" spans="1:14" ht="15" customHeight="1" x14ac:dyDescent="0.2">
      <c r="A80" s="719"/>
      <c r="B80" s="720"/>
      <c r="C80" s="724"/>
      <c r="D80" s="1827"/>
      <c r="E80" s="1895"/>
      <c r="F80" s="1931"/>
      <c r="G80" s="67" t="s">
        <v>45</v>
      </c>
      <c r="H80" s="170">
        <v>3.2</v>
      </c>
      <c r="I80" s="67"/>
      <c r="J80" s="170"/>
      <c r="K80" s="1929"/>
      <c r="L80" s="22"/>
      <c r="M80" s="22"/>
      <c r="N80" s="185"/>
    </row>
    <row r="81" spans="1:15" ht="18" customHeight="1" x14ac:dyDescent="0.2">
      <c r="A81" s="1837"/>
      <c r="B81" s="1888"/>
      <c r="C81" s="1833"/>
      <c r="D81" s="1826" t="s">
        <v>299</v>
      </c>
      <c r="E81" s="1922" t="s">
        <v>47</v>
      </c>
      <c r="F81" s="1889"/>
      <c r="G81" s="68" t="s">
        <v>106</v>
      </c>
      <c r="H81" s="108"/>
      <c r="I81" s="68"/>
      <c r="J81" s="66">
        <v>400</v>
      </c>
      <c r="K81" s="1782" t="s">
        <v>338</v>
      </c>
      <c r="L81" s="327"/>
      <c r="M81" s="327"/>
      <c r="N81" s="186">
        <v>35</v>
      </c>
    </row>
    <row r="82" spans="1:15" ht="13.5" customHeight="1" x14ac:dyDescent="0.2">
      <c r="A82" s="1837"/>
      <c r="B82" s="1888"/>
      <c r="C82" s="1833"/>
      <c r="D82" s="1827"/>
      <c r="E82" s="1772"/>
      <c r="F82" s="1930"/>
      <c r="G82" s="63"/>
      <c r="H82" s="170"/>
      <c r="I82" s="67"/>
      <c r="J82" s="202"/>
      <c r="K82" s="1893"/>
      <c r="L82" s="327"/>
      <c r="M82" s="327"/>
      <c r="N82" s="186"/>
    </row>
    <row r="83" spans="1:15" ht="14.25" customHeight="1" x14ac:dyDescent="0.2">
      <c r="A83" s="1837"/>
      <c r="B83" s="1888"/>
      <c r="C83" s="1833"/>
      <c r="D83" s="1826" t="s">
        <v>301</v>
      </c>
      <c r="E83" s="1922" t="s">
        <v>47</v>
      </c>
      <c r="F83" s="1923">
        <v>6</v>
      </c>
      <c r="G83" s="39" t="s">
        <v>25</v>
      </c>
      <c r="H83" s="108"/>
      <c r="I83" s="68">
        <v>10</v>
      </c>
      <c r="J83" s="108">
        <v>12</v>
      </c>
      <c r="K83" s="736" t="s">
        <v>46</v>
      </c>
      <c r="L83" s="725"/>
      <c r="M83" s="725">
        <v>1</v>
      </c>
      <c r="N83" s="732"/>
    </row>
    <row r="84" spans="1:15" ht="21" customHeight="1" x14ac:dyDescent="0.2">
      <c r="A84" s="1837"/>
      <c r="B84" s="1888"/>
      <c r="C84" s="1833"/>
      <c r="D84" s="1827"/>
      <c r="E84" s="1772"/>
      <c r="F84" s="1923"/>
      <c r="G84" s="68"/>
      <c r="H84" s="108"/>
      <c r="I84" s="68"/>
      <c r="J84" s="108"/>
      <c r="K84" s="1919" t="s">
        <v>187</v>
      </c>
      <c r="L84" s="327"/>
      <c r="M84" s="327">
        <v>50</v>
      </c>
      <c r="N84" s="186">
        <v>100</v>
      </c>
    </row>
    <row r="85" spans="1:15" ht="18.75" customHeight="1" x14ac:dyDescent="0.2">
      <c r="A85" s="1837"/>
      <c r="B85" s="1888"/>
      <c r="C85" s="1833"/>
      <c r="D85" s="1827"/>
      <c r="E85" s="1772"/>
      <c r="F85" s="1923"/>
      <c r="G85" s="63"/>
      <c r="H85" s="170"/>
      <c r="I85" s="67"/>
      <c r="J85" s="170"/>
      <c r="K85" s="1920"/>
      <c r="L85" s="327"/>
      <c r="M85" s="327"/>
      <c r="N85" s="186"/>
    </row>
    <row r="86" spans="1:15" ht="13.5" customHeight="1" thickBot="1" x14ac:dyDescent="0.25">
      <c r="A86" s="75"/>
      <c r="B86" s="858"/>
      <c r="C86" s="104"/>
      <c r="D86" s="899"/>
      <c r="E86" s="900"/>
      <c r="F86" s="901"/>
      <c r="G86" s="156" t="s">
        <v>6</v>
      </c>
      <c r="H86" s="214">
        <f>SUM(H75:H85)</f>
        <v>4895.1000000000004</v>
      </c>
      <c r="I86" s="156">
        <f t="shared" ref="I86:J86" si="0">SUM(I75:I85)</f>
        <v>1345.6</v>
      </c>
      <c r="J86" s="440">
        <f t="shared" si="0"/>
        <v>412</v>
      </c>
      <c r="K86" s="902"/>
      <c r="L86" s="903"/>
      <c r="M86" s="904"/>
      <c r="N86" s="905"/>
    </row>
    <row r="87" spans="1:15" ht="13.5" customHeight="1" x14ac:dyDescent="0.2">
      <c r="A87" s="757" t="s">
        <v>5</v>
      </c>
      <c r="B87" s="325" t="s">
        <v>5</v>
      </c>
      <c r="C87" s="733" t="s">
        <v>34</v>
      </c>
      <c r="D87" s="1789" t="s">
        <v>100</v>
      </c>
      <c r="E87" s="1924" t="s">
        <v>89</v>
      </c>
      <c r="F87" s="755" t="s">
        <v>43</v>
      </c>
      <c r="G87" s="215" t="s">
        <v>25</v>
      </c>
      <c r="H87" s="1194">
        <f>678.6+123.9-430</f>
        <v>372.5</v>
      </c>
      <c r="I87" s="215">
        <v>4300.6000000000004</v>
      </c>
      <c r="J87" s="215">
        <f>5442.8-798.1+65+470+82</f>
        <v>5261.7</v>
      </c>
      <c r="K87" s="281"/>
      <c r="L87" s="426"/>
      <c r="M87" s="426"/>
      <c r="N87" s="427"/>
    </row>
    <row r="88" spans="1:15" ht="13.5" customHeight="1" x14ac:dyDescent="0.2">
      <c r="A88" s="1021"/>
      <c r="B88" s="1024"/>
      <c r="C88" s="1022"/>
      <c r="D88" s="1921"/>
      <c r="E88" s="1925"/>
      <c r="F88" s="1023"/>
      <c r="G88" s="68" t="s">
        <v>62</v>
      </c>
      <c r="H88" s="1328">
        <v>1533.9</v>
      </c>
      <c r="I88" s="68"/>
      <c r="J88" s="108"/>
      <c r="K88" s="1306"/>
      <c r="L88" s="489"/>
      <c r="M88" s="489"/>
      <c r="N88" s="187"/>
    </row>
    <row r="89" spans="1:15" ht="15" customHeight="1" x14ac:dyDescent="0.2">
      <c r="A89" s="719"/>
      <c r="B89" s="720"/>
      <c r="C89" s="724"/>
      <c r="D89" s="1790"/>
      <c r="E89" s="1787"/>
      <c r="F89" s="730"/>
      <c r="G89" s="68" t="s">
        <v>106</v>
      </c>
      <c r="H89" s="138">
        <v>1000</v>
      </c>
      <c r="I89" s="68">
        <v>1900</v>
      </c>
      <c r="J89" s="108">
        <v>2000</v>
      </c>
      <c r="K89" s="1306"/>
      <c r="L89" s="489"/>
      <c r="M89" s="489"/>
      <c r="N89" s="187"/>
    </row>
    <row r="90" spans="1:15" ht="14.25" customHeight="1" x14ac:dyDescent="0.2">
      <c r="A90" s="719"/>
      <c r="B90" s="720"/>
      <c r="C90" s="724"/>
      <c r="D90" s="779"/>
      <c r="E90" s="1787"/>
      <c r="F90" s="730"/>
      <c r="G90" s="68" t="s">
        <v>105</v>
      </c>
      <c r="H90" s="138">
        <v>403.6</v>
      </c>
      <c r="I90" s="68"/>
      <c r="J90" s="66"/>
      <c r="K90" s="1306"/>
      <c r="L90" s="489"/>
      <c r="M90" s="489"/>
      <c r="N90" s="187"/>
    </row>
    <row r="91" spans="1:15" ht="14.25" customHeight="1" x14ac:dyDescent="0.2">
      <c r="A91" s="1618"/>
      <c r="B91" s="1621"/>
      <c r="C91" s="1619"/>
      <c r="D91" s="779"/>
      <c r="E91" s="1624"/>
      <c r="F91" s="1620"/>
      <c r="G91" s="67" t="s">
        <v>48</v>
      </c>
      <c r="H91" s="170">
        <f>300-300</f>
        <v>0</v>
      </c>
      <c r="I91" s="67">
        <v>1317.6</v>
      </c>
      <c r="J91" s="202">
        <v>1500</v>
      </c>
      <c r="K91" s="1627"/>
      <c r="L91" s="1632"/>
      <c r="M91" s="1632"/>
      <c r="N91" s="187"/>
    </row>
    <row r="92" spans="1:15" ht="18" customHeight="1" x14ac:dyDescent="0.2">
      <c r="A92" s="719"/>
      <c r="B92" s="720"/>
      <c r="C92" s="724"/>
      <c r="D92" s="1826" t="s">
        <v>176</v>
      </c>
      <c r="E92" s="124" t="s">
        <v>47</v>
      </c>
      <c r="F92" s="1482"/>
      <c r="G92" s="68"/>
      <c r="H92" s="108"/>
      <c r="I92" s="68"/>
      <c r="J92" s="108"/>
      <c r="K92" s="1782" t="s">
        <v>157</v>
      </c>
      <c r="L92" s="1476">
        <v>10</v>
      </c>
      <c r="M92" s="1476">
        <v>40</v>
      </c>
      <c r="N92" s="1477">
        <v>100</v>
      </c>
      <c r="O92" s="435"/>
    </row>
    <row r="93" spans="1:15" ht="18.75" customHeight="1" x14ac:dyDescent="0.2">
      <c r="A93" s="719"/>
      <c r="B93" s="720"/>
      <c r="C93" s="730"/>
      <c r="D93" s="1827"/>
      <c r="E93" s="1498"/>
      <c r="F93" s="1482"/>
      <c r="G93" s="68"/>
      <c r="H93" s="108"/>
      <c r="I93" s="68"/>
      <c r="J93" s="108"/>
      <c r="K93" s="1915"/>
      <c r="L93" s="1499"/>
      <c r="M93" s="1499"/>
      <c r="N93" s="186"/>
      <c r="O93" s="435"/>
    </row>
    <row r="94" spans="1:15" ht="16.5" customHeight="1" x14ac:dyDescent="0.2">
      <c r="A94" s="719"/>
      <c r="B94" s="720"/>
      <c r="C94" s="730"/>
      <c r="D94" s="1914"/>
      <c r="E94" s="125"/>
      <c r="F94" s="1482"/>
      <c r="G94" s="68"/>
      <c r="H94" s="108"/>
      <c r="I94" s="68"/>
      <c r="J94" s="108"/>
      <c r="K94" s="543"/>
      <c r="L94" s="22"/>
      <c r="M94" s="22"/>
      <c r="N94" s="185"/>
      <c r="O94" s="435"/>
    </row>
    <row r="95" spans="1:15" ht="26.25" customHeight="1" x14ac:dyDescent="0.2">
      <c r="A95" s="719"/>
      <c r="B95" s="720"/>
      <c r="C95" s="724"/>
      <c r="D95" s="1826" t="s">
        <v>385</v>
      </c>
      <c r="E95" s="124" t="s">
        <v>47</v>
      </c>
      <c r="F95" s="1482"/>
      <c r="G95" s="68"/>
      <c r="H95" s="138"/>
      <c r="I95" s="68"/>
      <c r="J95" s="66"/>
      <c r="K95" s="1487" t="s">
        <v>339</v>
      </c>
      <c r="L95" s="489">
        <v>60</v>
      </c>
      <c r="M95" s="489">
        <v>100</v>
      </c>
      <c r="N95" s="187"/>
      <c r="O95" s="435"/>
    </row>
    <row r="96" spans="1:15" ht="12" customHeight="1" x14ac:dyDescent="0.2">
      <c r="A96" s="719"/>
      <c r="B96" s="720"/>
      <c r="C96" s="724"/>
      <c r="D96" s="1916"/>
      <c r="E96" s="1307"/>
      <c r="F96" s="1482"/>
      <c r="G96" s="913"/>
      <c r="H96" s="610"/>
      <c r="I96" s="68"/>
      <c r="J96" s="66"/>
      <c r="K96" s="543"/>
      <c r="L96" s="22"/>
      <c r="M96" s="22"/>
      <c r="N96" s="23"/>
      <c r="O96" s="435"/>
    </row>
    <row r="97" spans="1:15" ht="29.25" customHeight="1" x14ac:dyDescent="0.2">
      <c r="A97" s="838"/>
      <c r="B97" s="840"/>
      <c r="C97" s="839"/>
      <c r="D97" s="1826" t="s">
        <v>302</v>
      </c>
      <c r="E97" s="1522" t="s">
        <v>47</v>
      </c>
      <c r="F97" s="1519"/>
      <c r="G97" s="68"/>
      <c r="H97" s="424"/>
      <c r="I97" s="68"/>
      <c r="J97" s="108"/>
      <c r="K97" s="1521" t="s">
        <v>269</v>
      </c>
      <c r="L97" s="1074"/>
      <c r="M97" s="1074">
        <v>30</v>
      </c>
      <c r="N97" s="137">
        <v>60</v>
      </c>
      <c r="O97" s="435"/>
    </row>
    <row r="98" spans="1:15" ht="14.25" customHeight="1" x14ac:dyDescent="0.2">
      <c r="A98" s="838"/>
      <c r="B98" s="840"/>
      <c r="C98" s="839"/>
      <c r="D98" s="1916"/>
      <c r="E98" s="1307"/>
      <c r="F98" s="1519"/>
      <c r="G98" s="70"/>
      <c r="H98" s="424"/>
      <c r="I98" s="68"/>
      <c r="J98" s="108"/>
      <c r="K98" s="1520"/>
      <c r="L98" s="489"/>
      <c r="M98" s="489"/>
      <c r="N98" s="187"/>
      <c r="O98" s="435"/>
    </row>
    <row r="99" spans="1:15" ht="14.25" customHeight="1" x14ac:dyDescent="0.2">
      <c r="A99" s="1302"/>
      <c r="B99" s="1304"/>
      <c r="C99" s="1303"/>
      <c r="D99" s="1826" t="s">
        <v>374</v>
      </c>
      <c r="E99" s="124" t="s">
        <v>47</v>
      </c>
      <c r="F99" s="1485"/>
      <c r="G99" s="68"/>
      <c r="H99" s="424"/>
      <c r="I99" s="68"/>
      <c r="J99" s="66"/>
      <c r="K99" s="1474" t="s">
        <v>46</v>
      </c>
      <c r="L99" s="1074"/>
      <c r="M99" s="1074"/>
      <c r="N99" s="137">
        <v>1</v>
      </c>
    </row>
    <row r="100" spans="1:15" ht="29.25" customHeight="1" x14ac:dyDescent="0.2">
      <c r="A100" s="1302"/>
      <c r="B100" s="1304"/>
      <c r="C100" s="1303"/>
      <c r="D100" s="1916"/>
      <c r="E100" s="841"/>
      <c r="F100" s="1485"/>
      <c r="G100" s="70"/>
      <c r="H100" s="424"/>
      <c r="I100" s="68"/>
      <c r="J100" s="108"/>
      <c r="K100" s="1488"/>
      <c r="L100" s="489"/>
      <c r="M100" s="489"/>
      <c r="N100" s="187"/>
    </row>
    <row r="101" spans="1:15" ht="15.75" customHeight="1" x14ac:dyDescent="0.2">
      <c r="A101" s="1302"/>
      <c r="B101" s="1304"/>
      <c r="C101" s="1303"/>
      <c r="D101" s="1883" t="s">
        <v>375</v>
      </c>
      <c r="E101" s="124" t="s">
        <v>47</v>
      </c>
      <c r="F101" s="1305"/>
      <c r="G101" s="68"/>
      <c r="H101" s="424"/>
      <c r="I101" s="68"/>
      <c r="J101" s="108"/>
      <c r="K101" s="1301" t="s">
        <v>46</v>
      </c>
      <c r="L101" s="844"/>
      <c r="M101" s="844"/>
      <c r="N101" s="845">
        <v>1</v>
      </c>
    </row>
    <row r="102" spans="1:15" ht="18.75" customHeight="1" x14ac:dyDescent="0.2">
      <c r="A102" s="1302"/>
      <c r="B102" s="1304"/>
      <c r="C102" s="1303"/>
      <c r="D102" s="1770"/>
      <c r="E102" s="1307"/>
      <c r="F102" s="1305"/>
      <c r="G102" s="67"/>
      <c r="H102" s="703"/>
      <c r="I102" s="67"/>
      <c r="J102" s="170"/>
      <c r="K102" s="346"/>
      <c r="L102" s="489"/>
      <c r="M102" s="489"/>
      <c r="N102" s="187"/>
    </row>
    <row r="103" spans="1:15" ht="15.75" customHeight="1" thickBot="1" x14ac:dyDescent="0.25">
      <c r="A103" s="75"/>
      <c r="B103" s="858"/>
      <c r="C103" s="104"/>
      <c r="D103" s="899"/>
      <c r="E103" s="900"/>
      <c r="F103" s="901"/>
      <c r="G103" s="156" t="s">
        <v>6</v>
      </c>
      <c r="H103" s="440">
        <f>SUM(H87:H98)</f>
        <v>3310</v>
      </c>
      <c r="I103" s="440">
        <f>SUM(I87:I98)</f>
        <v>7518.2</v>
      </c>
      <c r="J103" s="440">
        <f>SUM(J87:J98)</f>
        <v>8761.7000000000007</v>
      </c>
      <c r="K103" s="902"/>
      <c r="L103" s="903"/>
      <c r="M103" s="904"/>
      <c r="N103" s="905"/>
    </row>
    <row r="104" spans="1:15" ht="30" customHeight="1" x14ac:dyDescent="0.2">
      <c r="A104" s="719" t="s">
        <v>5</v>
      </c>
      <c r="B104" s="720" t="s">
        <v>5</v>
      </c>
      <c r="C104" s="724" t="s">
        <v>35</v>
      </c>
      <c r="D104" s="249" t="s">
        <v>74</v>
      </c>
      <c r="E104" s="502" t="s">
        <v>94</v>
      </c>
      <c r="F104" s="723" t="s">
        <v>43</v>
      </c>
      <c r="G104" s="83"/>
      <c r="H104" s="479"/>
      <c r="I104" s="76"/>
      <c r="J104" s="484"/>
      <c r="K104" s="199"/>
      <c r="L104" s="31"/>
      <c r="M104" s="184"/>
      <c r="N104" s="380"/>
    </row>
    <row r="105" spans="1:15" ht="15.75" customHeight="1" x14ac:dyDescent="0.2">
      <c r="A105" s="719"/>
      <c r="B105" s="720"/>
      <c r="C105" s="724"/>
      <c r="D105" s="1826" t="s">
        <v>174</v>
      </c>
      <c r="E105" s="766" t="s">
        <v>47</v>
      </c>
      <c r="F105" s="730"/>
      <c r="G105" s="70" t="s">
        <v>25</v>
      </c>
      <c r="H105" s="108">
        <f>50+20.5</f>
        <v>70.5</v>
      </c>
      <c r="I105" s="68"/>
      <c r="J105" s="138"/>
      <c r="K105" s="617" t="s">
        <v>46</v>
      </c>
      <c r="L105" s="591"/>
      <c r="M105" s="604">
        <v>1</v>
      </c>
      <c r="N105" s="1717"/>
    </row>
    <row r="106" spans="1:15" ht="15.75" customHeight="1" x14ac:dyDescent="0.2">
      <c r="A106" s="1662"/>
      <c r="B106" s="1665"/>
      <c r="C106" s="1663"/>
      <c r="D106" s="1827"/>
      <c r="E106" s="766"/>
      <c r="F106" s="1664"/>
      <c r="G106" s="70" t="s">
        <v>105</v>
      </c>
      <c r="H106" s="108">
        <v>1.1000000000000001</v>
      </c>
      <c r="I106" s="68"/>
      <c r="J106" s="108"/>
      <c r="K106" s="1880"/>
      <c r="L106" s="1716"/>
      <c r="M106" s="381"/>
      <c r="N106" s="1715"/>
    </row>
    <row r="107" spans="1:15" ht="15.75" customHeight="1" x14ac:dyDescent="0.2">
      <c r="A107" s="1662"/>
      <c r="B107" s="1665"/>
      <c r="C107" s="1663"/>
      <c r="D107" s="1827"/>
      <c r="E107" s="766"/>
      <c r="F107" s="1664"/>
      <c r="G107" s="70" t="s">
        <v>62</v>
      </c>
      <c r="H107" s="108">
        <v>219.3</v>
      </c>
      <c r="I107" s="68"/>
      <c r="J107" s="108"/>
      <c r="K107" s="1918"/>
      <c r="L107" s="1716"/>
      <c r="M107" s="381"/>
      <c r="N107" s="1715"/>
    </row>
    <row r="108" spans="1:15" ht="15.75" customHeight="1" x14ac:dyDescent="0.2">
      <c r="A108" s="719"/>
      <c r="B108" s="720"/>
      <c r="C108" s="724"/>
      <c r="D108" s="1827"/>
      <c r="E108" s="742"/>
      <c r="F108" s="730"/>
      <c r="G108" s="63" t="s">
        <v>106</v>
      </c>
      <c r="H108" s="95"/>
      <c r="I108" s="67">
        <f>780-536.9</f>
        <v>243.1</v>
      </c>
      <c r="J108" s="202"/>
      <c r="K108" s="1714"/>
      <c r="L108" s="1716"/>
      <c r="M108" s="381"/>
      <c r="N108" s="23"/>
    </row>
    <row r="109" spans="1:15" ht="15" customHeight="1" x14ac:dyDescent="0.2">
      <c r="A109" s="719"/>
      <c r="B109" s="720"/>
      <c r="C109" s="724"/>
      <c r="D109" s="1826" t="s">
        <v>310</v>
      </c>
      <c r="E109" s="766" t="s">
        <v>47</v>
      </c>
      <c r="F109" s="706"/>
      <c r="G109" s="70" t="s">
        <v>45</v>
      </c>
      <c r="H109" s="108">
        <v>30</v>
      </c>
      <c r="I109" s="68">
        <v>72.5</v>
      </c>
      <c r="J109" s="138"/>
      <c r="K109" s="618" t="s">
        <v>164</v>
      </c>
      <c r="L109" s="569">
        <v>1</v>
      </c>
      <c r="M109" s="619"/>
      <c r="N109" s="620"/>
    </row>
    <row r="110" spans="1:15" ht="15" customHeight="1" x14ac:dyDescent="0.2">
      <c r="A110" s="719"/>
      <c r="B110" s="720"/>
      <c r="C110" s="724"/>
      <c r="D110" s="1827"/>
      <c r="E110" s="766"/>
      <c r="F110" s="706"/>
      <c r="G110" s="70"/>
      <c r="H110" s="108"/>
      <c r="I110" s="68"/>
      <c r="J110" s="138"/>
      <c r="K110" s="617" t="s">
        <v>46</v>
      </c>
      <c r="L110" s="591"/>
      <c r="M110" s="604">
        <v>1</v>
      </c>
      <c r="N110" s="621"/>
    </row>
    <row r="111" spans="1:15" ht="11.25" customHeight="1" x14ac:dyDescent="0.2">
      <c r="A111" s="719"/>
      <c r="B111" s="720"/>
      <c r="C111" s="724"/>
      <c r="D111" s="1913"/>
      <c r="E111" s="766"/>
      <c r="F111" s="706"/>
      <c r="G111" s="63"/>
      <c r="H111" s="170"/>
      <c r="I111" s="67"/>
      <c r="J111" s="139"/>
      <c r="K111" s="617"/>
      <c r="L111" s="591"/>
      <c r="M111" s="604"/>
      <c r="N111" s="914"/>
    </row>
    <row r="112" spans="1:15" ht="15.75" customHeight="1" thickBot="1" x14ac:dyDescent="0.25">
      <c r="A112" s="75"/>
      <c r="B112" s="858"/>
      <c r="C112" s="104"/>
      <c r="D112" s="899"/>
      <c r="E112" s="900"/>
      <c r="F112" s="901"/>
      <c r="G112" s="156" t="s">
        <v>6</v>
      </c>
      <c r="H112" s="214">
        <f>SUM(H105:H111)</f>
        <v>320.89999999999998</v>
      </c>
      <c r="I112" s="156">
        <f t="shared" ref="I112:J112" si="1">SUM(I105:I111)</f>
        <v>315.60000000000002</v>
      </c>
      <c r="J112" s="440">
        <f t="shared" si="1"/>
        <v>0</v>
      </c>
      <c r="K112" s="902"/>
      <c r="L112" s="903"/>
      <c r="M112" s="904"/>
      <c r="N112" s="905"/>
    </row>
    <row r="113" spans="1:53" ht="16.5" customHeight="1" x14ac:dyDescent="0.2">
      <c r="A113" s="719" t="s">
        <v>5</v>
      </c>
      <c r="B113" s="720" t="s">
        <v>5</v>
      </c>
      <c r="C113" s="263" t="s">
        <v>36</v>
      </c>
      <c r="D113" s="1917" t="s">
        <v>314</v>
      </c>
      <c r="E113" s="442"/>
      <c r="F113" s="755" t="s">
        <v>43</v>
      </c>
      <c r="G113" s="215" t="s">
        <v>25</v>
      </c>
      <c r="H113" s="108">
        <v>28</v>
      </c>
      <c r="I113" s="215">
        <v>28</v>
      </c>
      <c r="J113" s="261">
        <v>28</v>
      </c>
      <c r="K113" s="422"/>
      <c r="L113" s="328"/>
      <c r="M113" s="328"/>
      <c r="N113" s="916"/>
    </row>
    <row r="114" spans="1:53" ht="19.5" customHeight="1" x14ac:dyDescent="0.2">
      <c r="A114" s="719"/>
      <c r="B114" s="720"/>
      <c r="C114" s="263"/>
      <c r="D114" s="1740"/>
      <c r="E114" s="859"/>
      <c r="F114" s="854"/>
      <c r="G114" s="67" t="s">
        <v>106</v>
      </c>
      <c r="H114" s="170">
        <v>0</v>
      </c>
      <c r="I114" s="67">
        <v>3</v>
      </c>
      <c r="J114" s="170">
        <v>3</v>
      </c>
      <c r="K114" s="767"/>
      <c r="L114" s="22"/>
      <c r="M114" s="22"/>
      <c r="N114" s="23"/>
    </row>
    <row r="115" spans="1:53" ht="11.25" customHeight="1" x14ac:dyDescent="0.2">
      <c r="A115" s="719"/>
      <c r="B115" s="720"/>
      <c r="C115" s="102"/>
      <c r="D115" s="524" t="s">
        <v>88</v>
      </c>
      <c r="E115" s="859"/>
      <c r="F115" s="854"/>
      <c r="G115" s="68"/>
      <c r="H115" s="108"/>
      <c r="I115" s="68"/>
      <c r="J115" s="108"/>
      <c r="K115" s="1906" t="s">
        <v>182</v>
      </c>
      <c r="L115" s="591">
        <v>100</v>
      </c>
      <c r="M115" s="591">
        <v>100</v>
      </c>
      <c r="N115" s="602">
        <v>100</v>
      </c>
    </row>
    <row r="116" spans="1:53" ht="15" customHeight="1" x14ac:dyDescent="0.2">
      <c r="A116" s="719"/>
      <c r="B116" s="720"/>
      <c r="C116" s="102"/>
      <c r="D116" s="165"/>
      <c r="E116" s="859"/>
      <c r="F116" s="854"/>
      <c r="G116" s="68"/>
      <c r="H116" s="108"/>
      <c r="I116" s="68"/>
      <c r="J116" s="108"/>
      <c r="K116" s="1906"/>
      <c r="L116" s="591"/>
      <c r="M116" s="591"/>
      <c r="N116" s="602"/>
    </row>
    <row r="117" spans="1:53" s="9" customFormat="1" ht="45.75" customHeight="1" x14ac:dyDescent="0.2">
      <c r="A117" s="719"/>
      <c r="B117" s="720"/>
      <c r="C117" s="724"/>
      <c r="D117" s="663" t="s">
        <v>80</v>
      </c>
      <c r="E117" s="298"/>
      <c r="F117" s="723"/>
      <c r="G117" s="203"/>
      <c r="H117" s="431"/>
      <c r="I117" s="432"/>
      <c r="J117" s="431"/>
      <c r="K117" s="1907"/>
      <c r="L117" s="571"/>
      <c r="M117" s="571"/>
      <c r="N117" s="572"/>
      <c r="P117" s="1350"/>
      <c r="Q117" s="1350"/>
      <c r="R117" s="1350"/>
      <c r="S117" s="1350"/>
      <c r="T117" s="1350"/>
      <c r="U117" s="1350"/>
      <c r="V117" s="1350"/>
      <c r="W117" s="1350"/>
      <c r="X117" s="1350"/>
      <c r="Y117" s="1350"/>
      <c r="Z117" s="1350"/>
      <c r="AA117" s="1350"/>
      <c r="AB117" s="1350"/>
      <c r="AC117" s="1350"/>
      <c r="AD117" s="1350"/>
      <c r="AE117" s="1350"/>
      <c r="AF117" s="1350"/>
      <c r="AG117" s="1350"/>
      <c r="AH117" s="1350"/>
      <c r="AI117" s="1350"/>
      <c r="AJ117" s="1350"/>
      <c r="AK117" s="1350"/>
      <c r="AL117" s="1350"/>
      <c r="AM117" s="1350"/>
      <c r="AN117" s="1350"/>
      <c r="AO117" s="1350"/>
      <c r="AP117" s="1350"/>
      <c r="AQ117" s="1350"/>
      <c r="AR117" s="1350"/>
      <c r="AS117" s="1350"/>
      <c r="AT117" s="1350"/>
      <c r="AU117" s="1350"/>
      <c r="AV117" s="1350"/>
      <c r="AW117" s="1350"/>
      <c r="AX117" s="1350"/>
      <c r="AY117" s="1350"/>
      <c r="AZ117" s="1350"/>
      <c r="BA117" s="1350"/>
    </row>
    <row r="118" spans="1:53" ht="15" customHeight="1" thickBot="1" x14ac:dyDescent="0.25">
      <c r="A118" s="758"/>
      <c r="B118" s="324"/>
      <c r="C118" s="756"/>
      <c r="D118" s="915"/>
      <c r="E118" s="900"/>
      <c r="F118" s="901"/>
      <c r="G118" s="98" t="s">
        <v>6</v>
      </c>
      <c r="H118" s="214">
        <f>SUM(H113:H117)</f>
        <v>28</v>
      </c>
      <c r="I118" s="156">
        <f t="shared" ref="I118:J118" si="2">SUM(I113:I117)</f>
        <v>31</v>
      </c>
      <c r="J118" s="214">
        <f t="shared" si="2"/>
        <v>31</v>
      </c>
      <c r="K118" s="902"/>
      <c r="L118" s="903"/>
      <c r="M118" s="904"/>
      <c r="N118" s="905"/>
    </row>
    <row r="119" spans="1:53" ht="14.25" customHeight="1" thickBot="1" x14ac:dyDescent="0.25">
      <c r="A119" s="85" t="s">
        <v>5</v>
      </c>
      <c r="B119" s="326" t="s">
        <v>5</v>
      </c>
      <c r="C119" s="1885" t="s">
        <v>8</v>
      </c>
      <c r="D119" s="1829"/>
      <c r="E119" s="1829"/>
      <c r="F119" s="1829"/>
      <c r="G119" s="1761"/>
      <c r="H119" s="433">
        <f>H118+H112+H103+H86+H73+H54+H37</f>
        <v>12619.6</v>
      </c>
      <c r="I119" s="159">
        <f>I118+I112+I103+I86+I73+I54+I37</f>
        <v>19596</v>
      </c>
      <c r="J119" s="917">
        <f>J118+J112+J103+J86+J73+J54+J37</f>
        <v>16791.900000000001</v>
      </c>
      <c r="K119" s="727"/>
      <c r="L119" s="172"/>
      <c r="M119" s="172"/>
      <c r="N119" s="88"/>
    </row>
    <row r="120" spans="1:53" ht="14.25" customHeight="1" thickBot="1" x14ac:dyDescent="0.25">
      <c r="A120" s="85" t="s">
        <v>5</v>
      </c>
      <c r="B120" s="326" t="s">
        <v>7</v>
      </c>
      <c r="C120" s="1908" t="s">
        <v>32</v>
      </c>
      <c r="D120" s="1908"/>
      <c r="E120" s="1908"/>
      <c r="F120" s="1908"/>
      <c r="G120" s="1908"/>
      <c r="H120" s="1909"/>
      <c r="I120" s="1909"/>
      <c r="J120" s="1909"/>
      <c r="K120" s="1908"/>
      <c r="L120" s="1746"/>
      <c r="M120" s="1746"/>
      <c r="N120" s="1910"/>
    </row>
    <row r="121" spans="1:53" ht="12.75" customHeight="1" x14ac:dyDescent="0.2">
      <c r="A121" s="1246" t="s">
        <v>5</v>
      </c>
      <c r="B121" s="325" t="s">
        <v>7</v>
      </c>
      <c r="C121" s="1258" t="s">
        <v>5</v>
      </c>
      <c r="D121" s="264" t="s">
        <v>57</v>
      </c>
      <c r="E121" s="1912" t="s">
        <v>121</v>
      </c>
      <c r="F121" s="931">
        <v>6</v>
      </c>
      <c r="G121" s="260" t="s">
        <v>25</v>
      </c>
      <c r="H121" s="215">
        <v>2416.6999999999998</v>
      </c>
      <c r="I121" s="439">
        <v>5078.1000000000004</v>
      </c>
      <c r="J121" s="215">
        <v>5079.6000000000004</v>
      </c>
      <c r="K121" s="786"/>
      <c r="L121" s="787"/>
      <c r="M121" s="787"/>
      <c r="N121" s="788"/>
    </row>
    <row r="122" spans="1:53" ht="12.75" customHeight="1" x14ac:dyDescent="0.2">
      <c r="A122" s="1243"/>
      <c r="B122" s="1251"/>
      <c r="C122" s="1242"/>
      <c r="D122" s="443"/>
      <c r="E122" s="1787"/>
      <c r="F122" s="1248"/>
      <c r="G122" s="92" t="s">
        <v>70</v>
      </c>
      <c r="H122" s="68">
        <f>547.4</f>
        <v>547.4</v>
      </c>
      <c r="I122" s="66">
        <v>248.7</v>
      </c>
      <c r="J122" s="68">
        <v>248.7</v>
      </c>
      <c r="K122" s="200"/>
      <c r="L122" s="198"/>
      <c r="M122" s="198"/>
      <c r="N122" s="253"/>
    </row>
    <row r="123" spans="1:53" ht="12.75" customHeight="1" x14ac:dyDescent="0.2">
      <c r="A123" s="1243"/>
      <c r="B123" s="1251"/>
      <c r="C123" s="1242"/>
      <c r="D123" s="443"/>
      <c r="E123" s="1787"/>
      <c r="F123" s="1248"/>
      <c r="G123" s="92" t="s">
        <v>77</v>
      </c>
      <c r="H123" s="68">
        <f>216.1</f>
        <v>216.1</v>
      </c>
      <c r="I123" s="66">
        <f t="shared" ref="I123:J123" si="3">I131+I142</f>
        <v>0</v>
      </c>
      <c r="J123" s="68">
        <f t="shared" si="3"/>
        <v>0</v>
      </c>
      <c r="K123" s="200"/>
      <c r="L123" s="198"/>
      <c r="M123" s="198"/>
      <c r="N123" s="253"/>
    </row>
    <row r="124" spans="1:53" ht="12.75" customHeight="1" x14ac:dyDescent="0.2">
      <c r="A124" s="1243"/>
      <c r="B124" s="1251"/>
      <c r="C124" s="1242"/>
      <c r="D124" s="444"/>
      <c r="E124" s="789"/>
      <c r="F124" s="1252"/>
      <c r="G124" s="95" t="s">
        <v>62</v>
      </c>
      <c r="H124" s="67">
        <f>1150+1556.5</f>
        <v>2706.5</v>
      </c>
      <c r="I124" s="715"/>
      <c r="J124" s="239"/>
      <c r="K124" s="239"/>
      <c r="L124" s="238"/>
      <c r="M124" s="238"/>
      <c r="N124" s="240"/>
    </row>
    <row r="125" spans="1:53" ht="14.25" customHeight="1" x14ac:dyDescent="0.2">
      <c r="A125" s="1243"/>
      <c r="B125" s="1251"/>
      <c r="C125" s="1242"/>
      <c r="D125" s="1244" t="s">
        <v>52</v>
      </c>
      <c r="E125" s="1260"/>
      <c r="F125" s="1241"/>
      <c r="G125" s="91"/>
      <c r="H125" s="790"/>
      <c r="I125" s="54"/>
      <c r="J125" s="785"/>
      <c r="K125" s="937"/>
      <c r="L125" s="938"/>
      <c r="M125" s="938"/>
      <c r="N125" s="939"/>
    </row>
    <row r="126" spans="1:53" ht="15.75" customHeight="1" x14ac:dyDescent="0.2">
      <c r="A126" s="1243"/>
      <c r="B126" s="1251"/>
      <c r="C126" s="1242"/>
      <c r="D126" s="1911" t="s">
        <v>81</v>
      </c>
      <c r="E126" s="1260"/>
      <c r="F126" s="1242"/>
      <c r="G126" s="92"/>
      <c r="H126" s="68"/>
      <c r="I126" s="138"/>
      <c r="J126" s="148"/>
      <c r="K126" s="1245" t="s">
        <v>41</v>
      </c>
      <c r="L126" s="270">
        <v>5.9</v>
      </c>
      <c r="M126" s="270">
        <v>5.9</v>
      </c>
      <c r="N126" s="66">
        <v>5.9</v>
      </c>
    </row>
    <row r="127" spans="1:53" ht="10.5" customHeight="1" x14ac:dyDescent="0.2">
      <c r="A127" s="1243"/>
      <c r="B127" s="1251"/>
      <c r="C127" s="1242"/>
      <c r="D127" s="1911"/>
      <c r="E127" s="1254"/>
      <c r="F127" s="1242"/>
      <c r="G127" s="92"/>
      <c r="H127" s="68"/>
      <c r="I127" s="138"/>
      <c r="J127" s="148"/>
      <c r="K127" s="1257"/>
      <c r="L127" s="254"/>
      <c r="M127" s="1261"/>
      <c r="N127" s="205"/>
    </row>
    <row r="128" spans="1:53" ht="14.25" customHeight="1" x14ac:dyDescent="0.2">
      <c r="A128" s="1243"/>
      <c r="B128" s="1251"/>
      <c r="C128" s="1242"/>
      <c r="D128" s="266" t="s">
        <v>82</v>
      </c>
      <c r="E128" s="1254"/>
      <c r="F128" s="1242"/>
      <c r="G128" s="92"/>
      <c r="H128" s="68"/>
      <c r="I128" s="138"/>
      <c r="J128" s="68"/>
      <c r="K128" s="94" t="s">
        <v>189</v>
      </c>
      <c r="L128" s="224">
        <v>3.7</v>
      </c>
      <c r="M128" s="36">
        <f>+L128</f>
        <v>3.7</v>
      </c>
      <c r="N128" s="37">
        <f>+M128</f>
        <v>3.7</v>
      </c>
    </row>
    <row r="129" spans="1:17" ht="26.25" customHeight="1" x14ac:dyDescent="0.2">
      <c r="A129" s="1243"/>
      <c r="B129" s="1251"/>
      <c r="C129" s="1242"/>
      <c r="D129" s="363" t="s">
        <v>83</v>
      </c>
      <c r="E129" s="1253"/>
      <c r="F129" s="1242"/>
      <c r="G129" s="91"/>
      <c r="H129" s="68"/>
      <c r="I129" s="138"/>
      <c r="J129" s="68"/>
      <c r="K129" s="1257" t="s">
        <v>190</v>
      </c>
      <c r="L129" s="447">
        <v>26.7</v>
      </c>
      <c r="M129" s="224">
        <f>+L129</f>
        <v>26.7</v>
      </c>
      <c r="N129" s="514">
        <f>+M129</f>
        <v>26.7</v>
      </c>
    </row>
    <row r="130" spans="1:17" ht="24.75" customHeight="1" x14ac:dyDescent="0.2">
      <c r="A130" s="1243"/>
      <c r="B130" s="1251"/>
      <c r="C130" s="1242"/>
      <c r="D130" s="1739" t="s">
        <v>175</v>
      </c>
      <c r="E130" s="1254"/>
      <c r="F130" s="1242"/>
      <c r="G130" s="830"/>
      <c r="H130" s="680"/>
      <c r="I130" s="138"/>
      <c r="J130" s="68"/>
      <c r="K130" s="1741" t="s">
        <v>389</v>
      </c>
      <c r="L130" s="475" t="s">
        <v>43</v>
      </c>
      <c r="M130" s="707">
        <v>3</v>
      </c>
      <c r="N130" s="243">
        <v>3</v>
      </c>
    </row>
    <row r="131" spans="1:17" ht="78.75" customHeight="1" x14ac:dyDescent="0.2">
      <c r="A131" s="1243"/>
      <c r="B131" s="1251"/>
      <c r="C131" s="1242"/>
      <c r="D131" s="1740"/>
      <c r="E131" s="1260"/>
      <c r="F131" s="1242"/>
      <c r="G131" s="92"/>
      <c r="H131" s="68"/>
      <c r="I131" s="108"/>
      <c r="J131" s="68"/>
      <c r="K131" s="1742"/>
      <c r="L131" s="387"/>
      <c r="M131" s="51"/>
      <c r="N131" s="23"/>
      <c r="Q131" s="1351"/>
    </row>
    <row r="132" spans="1:17" ht="14.25" customHeight="1" x14ac:dyDescent="0.2">
      <c r="A132" s="1243"/>
      <c r="B132" s="1251"/>
      <c r="C132" s="1242"/>
      <c r="D132" s="343" t="s">
        <v>210</v>
      </c>
      <c r="E132" s="1260"/>
      <c r="F132" s="1242"/>
      <c r="G132" s="91"/>
      <c r="H132" s="790"/>
      <c r="I132" s="714"/>
      <c r="J132" s="197"/>
      <c r="K132" s="1245"/>
      <c r="L132" s="40"/>
      <c r="M132" s="231"/>
      <c r="N132" s="832"/>
    </row>
    <row r="133" spans="1:17" ht="52.5" customHeight="1" x14ac:dyDescent="0.2">
      <c r="A133" s="1243"/>
      <c r="B133" s="1251"/>
      <c r="C133" s="1242"/>
      <c r="D133" s="344" t="s">
        <v>211</v>
      </c>
      <c r="E133" s="1260"/>
      <c r="F133" s="1242"/>
      <c r="G133" s="92"/>
      <c r="H133" s="68"/>
      <c r="I133" s="138"/>
      <c r="J133" s="68"/>
      <c r="K133" s="47" t="s">
        <v>205</v>
      </c>
      <c r="L133" s="391">
        <v>21</v>
      </c>
      <c r="M133" s="391">
        <v>21</v>
      </c>
      <c r="N133" s="1262">
        <v>21</v>
      </c>
    </row>
    <row r="134" spans="1:17" ht="22.5" customHeight="1" x14ac:dyDescent="0.2">
      <c r="A134" s="1243"/>
      <c r="B134" s="1251"/>
      <c r="C134" s="1242"/>
      <c r="D134" s="1890" t="s">
        <v>212</v>
      </c>
      <c r="E134" s="1260"/>
      <c r="F134" s="1242"/>
      <c r="G134" s="92"/>
      <c r="H134" s="68"/>
      <c r="I134" s="138"/>
      <c r="J134" s="68"/>
      <c r="K134" s="1892" t="s">
        <v>315</v>
      </c>
      <c r="L134" s="390">
        <v>12</v>
      </c>
      <c r="M134" s="390">
        <v>12</v>
      </c>
      <c r="N134" s="1256">
        <v>12</v>
      </c>
    </row>
    <row r="135" spans="1:17" ht="21" customHeight="1" x14ac:dyDescent="0.2">
      <c r="A135" s="1243"/>
      <c r="B135" s="1251"/>
      <c r="C135" s="1242"/>
      <c r="D135" s="1891"/>
      <c r="E135" s="1260"/>
      <c r="F135" s="1242"/>
      <c r="G135" s="92"/>
      <c r="H135" s="68"/>
      <c r="I135" s="138"/>
      <c r="J135" s="68"/>
      <c r="K135" s="1893"/>
      <c r="L135" s="387"/>
      <c r="M135" s="388"/>
      <c r="N135" s="23"/>
    </row>
    <row r="136" spans="1:17" ht="18" customHeight="1" x14ac:dyDescent="0.2">
      <c r="A136" s="1837"/>
      <c r="B136" s="1832"/>
      <c r="C136" s="1833"/>
      <c r="D136" s="1854" t="s">
        <v>42</v>
      </c>
      <c r="E136" s="1895"/>
      <c r="F136" s="1889"/>
      <c r="G136" s="92"/>
      <c r="H136" s="68"/>
      <c r="I136" s="66"/>
      <c r="J136" s="68"/>
      <c r="K136" s="1897" t="s">
        <v>54</v>
      </c>
      <c r="L136" s="1863">
        <v>7</v>
      </c>
      <c r="M136" s="1863">
        <v>7</v>
      </c>
      <c r="N136" s="1886">
        <v>7</v>
      </c>
    </row>
    <row r="137" spans="1:17" ht="12.75" customHeight="1" x14ac:dyDescent="0.2">
      <c r="A137" s="1837"/>
      <c r="B137" s="1832"/>
      <c r="C137" s="1833"/>
      <c r="D137" s="1894"/>
      <c r="E137" s="1895"/>
      <c r="F137" s="1889"/>
      <c r="G137" s="92"/>
      <c r="H137" s="68"/>
      <c r="I137" s="138"/>
      <c r="J137" s="68"/>
      <c r="K137" s="1862"/>
      <c r="L137" s="1864"/>
      <c r="M137" s="1864"/>
      <c r="N137" s="1887"/>
    </row>
    <row r="138" spans="1:17" ht="18" customHeight="1" x14ac:dyDescent="0.2">
      <c r="A138" s="1837"/>
      <c r="B138" s="1888"/>
      <c r="C138" s="1833"/>
      <c r="D138" s="1848" t="s">
        <v>178</v>
      </c>
      <c r="E138" s="1896"/>
      <c r="F138" s="1889"/>
      <c r="G138" s="92"/>
      <c r="H138" s="68"/>
      <c r="I138" s="138"/>
      <c r="J138" s="68"/>
      <c r="K138" s="282" t="s">
        <v>267</v>
      </c>
      <c r="L138" s="29"/>
      <c r="M138" s="394"/>
      <c r="N138" s="395"/>
    </row>
    <row r="139" spans="1:17" ht="16.5" customHeight="1" x14ac:dyDescent="0.2">
      <c r="A139" s="1837"/>
      <c r="B139" s="1888"/>
      <c r="C139" s="1833"/>
      <c r="D139" s="1858"/>
      <c r="E139" s="1896"/>
      <c r="F139" s="1889"/>
      <c r="G139" s="92"/>
      <c r="H139" s="68"/>
      <c r="I139" s="138"/>
      <c r="J139" s="68"/>
      <c r="K139" s="94" t="s">
        <v>308</v>
      </c>
      <c r="L139" s="34">
        <v>1</v>
      </c>
      <c r="M139" s="542">
        <v>1</v>
      </c>
      <c r="N139" s="35">
        <v>1</v>
      </c>
    </row>
    <row r="140" spans="1:17" ht="25.5" customHeight="1" x14ac:dyDescent="0.2">
      <c r="A140" s="1837"/>
      <c r="B140" s="1888"/>
      <c r="C140" s="1833"/>
      <c r="D140" s="1858"/>
      <c r="E140" s="1896"/>
      <c r="F140" s="1889"/>
      <c r="G140" s="92"/>
      <c r="H140" s="68"/>
      <c r="I140" s="138"/>
      <c r="J140" s="68"/>
      <c r="K140" s="94" t="s">
        <v>204</v>
      </c>
      <c r="L140" s="34">
        <v>1</v>
      </c>
      <c r="M140" s="542">
        <v>1</v>
      </c>
      <c r="N140" s="35">
        <v>1</v>
      </c>
    </row>
    <row r="141" spans="1:17" ht="17.25" customHeight="1" x14ac:dyDescent="0.2">
      <c r="A141" s="1837"/>
      <c r="B141" s="1888"/>
      <c r="C141" s="1833"/>
      <c r="D141" s="1854" t="s">
        <v>173</v>
      </c>
      <c r="E141" s="1898" t="s">
        <v>47</v>
      </c>
      <c r="F141" s="1889"/>
      <c r="G141" s="92"/>
      <c r="H141" s="68"/>
      <c r="I141" s="66"/>
      <c r="J141" s="66"/>
      <c r="K141" s="692" t="s">
        <v>266</v>
      </c>
      <c r="L141" s="693">
        <v>125</v>
      </c>
      <c r="M141" s="694">
        <v>40</v>
      </c>
      <c r="N141" s="943">
        <v>40</v>
      </c>
    </row>
    <row r="142" spans="1:17" ht="21.75" customHeight="1" x14ac:dyDescent="0.2">
      <c r="A142" s="1837"/>
      <c r="B142" s="1888"/>
      <c r="C142" s="1833"/>
      <c r="D142" s="1894"/>
      <c r="E142" s="1899"/>
      <c r="F142" s="1889"/>
      <c r="G142" s="92"/>
      <c r="H142" s="68"/>
      <c r="I142" s="66"/>
      <c r="J142" s="68"/>
      <c r="K142" s="543"/>
      <c r="L142" s="695"/>
      <c r="M142" s="696"/>
      <c r="N142" s="944"/>
    </row>
    <row r="143" spans="1:17" ht="19.5" customHeight="1" x14ac:dyDescent="0.2">
      <c r="A143" s="1255"/>
      <c r="B143" s="1251"/>
      <c r="C143" s="263"/>
      <c r="D143" s="1858" t="s">
        <v>289</v>
      </c>
      <c r="E143" s="1250"/>
      <c r="F143" s="1252"/>
      <c r="G143" s="92"/>
      <c r="H143" s="68"/>
      <c r="I143" s="138"/>
      <c r="J143" s="68"/>
      <c r="K143" s="1249" t="s">
        <v>290</v>
      </c>
      <c r="L143" s="305">
        <v>1</v>
      </c>
      <c r="M143" s="305"/>
      <c r="N143" s="189"/>
    </row>
    <row r="144" spans="1:17" ht="10.5" customHeight="1" x14ac:dyDescent="0.2">
      <c r="A144" s="1255"/>
      <c r="B144" s="1251"/>
      <c r="C144" s="263"/>
      <c r="D144" s="1858"/>
      <c r="E144" s="1580"/>
      <c r="F144" s="1248"/>
      <c r="G144" s="92"/>
      <c r="H144" s="68"/>
      <c r="I144" s="138"/>
      <c r="J144" s="68"/>
      <c r="K144" s="1249"/>
      <c r="L144" s="327"/>
      <c r="M144" s="403"/>
      <c r="N144" s="186"/>
    </row>
    <row r="145" spans="1:14" ht="27" customHeight="1" x14ac:dyDescent="0.2">
      <c r="A145" s="1255"/>
      <c r="B145" s="1251"/>
      <c r="C145" s="263"/>
      <c r="D145" s="1848" t="s">
        <v>160</v>
      </c>
      <c r="E145" s="1580"/>
      <c r="F145" s="1248"/>
      <c r="G145" s="92"/>
      <c r="H145" s="68"/>
      <c r="I145" s="138"/>
      <c r="J145" s="68"/>
      <c r="K145" s="678" t="s">
        <v>161</v>
      </c>
      <c r="L145" s="428"/>
      <c r="M145" s="428">
        <v>6</v>
      </c>
      <c r="N145" s="429"/>
    </row>
    <row r="146" spans="1:14" ht="15.75" customHeight="1" x14ac:dyDescent="0.2">
      <c r="A146" s="1255"/>
      <c r="B146" s="1251"/>
      <c r="C146" s="263"/>
      <c r="D146" s="1858"/>
      <c r="E146" s="1250"/>
      <c r="F146" s="1248"/>
      <c r="G146" s="95"/>
      <c r="H146" s="67"/>
      <c r="I146" s="139"/>
      <c r="J146" s="67"/>
      <c r="K146" s="201" t="s">
        <v>292</v>
      </c>
      <c r="L146" s="305">
        <v>6</v>
      </c>
      <c r="M146" s="677"/>
      <c r="N146" s="189">
        <v>6</v>
      </c>
    </row>
    <row r="147" spans="1:14" ht="18" customHeight="1" thickBot="1" x14ac:dyDescent="0.25">
      <c r="A147" s="1247"/>
      <c r="B147" s="324"/>
      <c r="C147" s="1259"/>
      <c r="D147" s="928"/>
      <c r="E147" s="900"/>
      <c r="F147" s="901"/>
      <c r="G147" s="244" t="s">
        <v>6</v>
      </c>
      <c r="H147" s="156">
        <f>SUM(H121:H146)</f>
        <v>5886.7</v>
      </c>
      <c r="I147" s="156">
        <f>SUM(I121:I146)</f>
        <v>5326.8</v>
      </c>
      <c r="J147" s="156">
        <f>SUM(J121:J146)</f>
        <v>5328.3</v>
      </c>
      <c r="K147" s="902"/>
      <c r="L147" s="903"/>
      <c r="M147" s="904"/>
      <c r="N147" s="905"/>
    </row>
    <row r="148" spans="1:14" ht="54.75" customHeight="1" x14ac:dyDescent="0.2">
      <c r="A148" s="871" t="s">
        <v>5</v>
      </c>
      <c r="B148" s="890" t="s">
        <v>7</v>
      </c>
      <c r="C148" s="866" t="s">
        <v>7</v>
      </c>
      <c r="D148" s="891" t="s">
        <v>321</v>
      </c>
      <c r="E148" s="892" t="s">
        <v>47</v>
      </c>
      <c r="F148" s="880" t="s">
        <v>43</v>
      </c>
      <c r="G148" s="421" t="s">
        <v>70</v>
      </c>
      <c r="H148" s="261">
        <v>150</v>
      </c>
      <c r="I148" s="215">
        <f>391.7+15</f>
        <v>406.7</v>
      </c>
      <c r="J148" s="425">
        <v>558.6</v>
      </c>
      <c r="K148" s="690" t="s">
        <v>320</v>
      </c>
      <c r="L148" s="236">
        <v>4</v>
      </c>
      <c r="M148" s="630">
        <v>6</v>
      </c>
      <c r="N148" s="631"/>
    </row>
    <row r="149" spans="1:14" ht="30.75" customHeight="1" x14ac:dyDescent="0.2">
      <c r="A149" s="404"/>
      <c r="B149" s="753"/>
      <c r="C149" s="761"/>
      <c r="D149" s="888"/>
      <c r="E149" s="731"/>
      <c r="F149" s="730"/>
      <c r="G149" s="280" t="s">
        <v>25</v>
      </c>
      <c r="H149" s="339">
        <v>40</v>
      </c>
      <c r="I149" s="280"/>
      <c r="J149" s="339"/>
      <c r="K149" s="258" t="s">
        <v>322</v>
      </c>
      <c r="L149" s="225"/>
      <c r="M149" s="929" t="s">
        <v>56</v>
      </c>
      <c r="N149" s="713" t="s">
        <v>278</v>
      </c>
    </row>
    <row r="150" spans="1:14" ht="39.75" customHeight="1" x14ac:dyDescent="0.2">
      <c r="A150" s="404"/>
      <c r="B150" s="753"/>
      <c r="C150" s="761"/>
      <c r="D150" s="873"/>
      <c r="E150" s="731"/>
      <c r="F150" s="730"/>
      <c r="G150" s="80"/>
      <c r="H150" s="178"/>
      <c r="I150" s="80"/>
      <c r="J150" s="208"/>
      <c r="K150" s="722" t="s">
        <v>340</v>
      </c>
      <c r="L150" s="40">
        <v>1</v>
      </c>
      <c r="M150" s="698"/>
      <c r="N150" s="434"/>
    </row>
    <row r="151" spans="1:14" ht="18" customHeight="1" thickBot="1" x14ac:dyDescent="0.25">
      <c r="A151" s="876"/>
      <c r="B151" s="324"/>
      <c r="C151" s="878"/>
      <c r="D151" s="928"/>
      <c r="E151" s="900"/>
      <c r="F151" s="901"/>
      <c r="G151" s="244" t="s">
        <v>6</v>
      </c>
      <c r="H151" s="156">
        <f>SUM(H148:H150)</f>
        <v>190</v>
      </c>
      <c r="I151" s="156">
        <f>SUM(I148:I150)</f>
        <v>406.7</v>
      </c>
      <c r="J151" s="156">
        <f>SUM(J148:J150)</f>
        <v>558.6</v>
      </c>
      <c r="K151" s="902"/>
      <c r="L151" s="903"/>
      <c r="M151" s="904"/>
      <c r="N151" s="905"/>
    </row>
    <row r="152" spans="1:14" ht="17.25" customHeight="1" x14ac:dyDescent="0.2">
      <c r="A152" s="1900" t="s">
        <v>5</v>
      </c>
      <c r="B152" s="1902" t="s">
        <v>7</v>
      </c>
      <c r="C152" s="1869" t="s">
        <v>28</v>
      </c>
      <c r="D152" s="1769" t="s">
        <v>159</v>
      </c>
      <c r="E152" s="1873" t="s">
        <v>47</v>
      </c>
      <c r="F152" s="1869" t="s">
        <v>43</v>
      </c>
      <c r="G152" s="215" t="s">
        <v>25</v>
      </c>
      <c r="H152" s="108">
        <v>113</v>
      </c>
      <c r="I152" s="215">
        <v>639.6</v>
      </c>
      <c r="J152" s="138"/>
      <c r="K152" s="977" t="s">
        <v>323</v>
      </c>
      <c r="L152" s="328"/>
      <c r="M152" s="321">
        <v>17</v>
      </c>
      <c r="N152" s="217"/>
    </row>
    <row r="153" spans="1:14" ht="17.25" customHeight="1" x14ac:dyDescent="0.2">
      <c r="A153" s="1734"/>
      <c r="B153" s="1903"/>
      <c r="C153" s="1736"/>
      <c r="D153" s="1770"/>
      <c r="E153" s="1874"/>
      <c r="F153" s="1736"/>
      <c r="G153" s="67" t="s">
        <v>376</v>
      </c>
      <c r="H153" s="170">
        <v>640</v>
      </c>
      <c r="I153" s="67">
        <v>3624.5</v>
      </c>
      <c r="J153" s="202"/>
      <c r="K153" s="976"/>
      <c r="L153" s="327"/>
      <c r="M153" s="327"/>
      <c r="N153" s="186"/>
    </row>
    <row r="154" spans="1:14" ht="18" customHeight="1" thickBot="1" x14ac:dyDescent="0.25">
      <c r="A154" s="1901"/>
      <c r="B154" s="1904"/>
      <c r="C154" s="1870"/>
      <c r="D154" s="1905"/>
      <c r="E154" s="1875"/>
      <c r="F154" s="1870"/>
      <c r="G154" s="98" t="s">
        <v>6</v>
      </c>
      <c r="H154" s="331">
        <f>SUM(H152:H153)</f>
        <v>753</v>
      </c>
      <c r="I154" s="98">
        <f t="shared" ref="I154:J154" si="4">SUM(I152:I153)</f>
        <v>4264.1000000000004</v>
      </c>
      <c r="J154" s="152">
        <f t="shared" si="4"/>
        <v>0</v>
      </c>
      <c r="K154" s="278"/>
      <c r="L154" s="219"/>
      <c r="M154" s="219"/>
      <c r="N154" s="218"/>
    </row>
    <row r="155" spans="1:14" ht="14.25" customHeight="1" thickBot="1" x14ac:dyDescent="0.25">
      <c r="A155" s="99" t="s">
        <v>5</v>
      </c>
      <c r="B155" s="326" t="s">
        <v>7</v>
      </c>
      <c r="C155" s="1885" t="s">
        <v>8</v>
      </c>
      <c r="D155" s="1829"/>
      <c r="E155" s="1829"/>
      <c r="F155" s="1829"/>
      <c r="G155" s="1761"/>
      <c r="H155" s="433">
        <f>H151+H147+H154</f>
        <v>6829.7</v>
      </c>
      <c r="I155" s="433">
        <f t="shared" ref="I155:J155" si="5">I151+I147+I154</f>
        <v>9997.6</v>
      </c>
      <c r="J155" s="159">
        <f t="shared" si="5"/>
        <v>5886.9</v>
      </c>
      <c r="K155" s="1762"/>
      <c r="L155" s="1762"/>
      <c r="M155" s="1762"/>
      <c r="N155" s="1763"/>
    </row>
    <row r="156" spans="1:14" ht="18" customHeight="1" thickBot="1" x14ac:dyDescent="0.25">
      <c r="A156" s="85" t="s">
        <v>5</v>
      </c>
      <c r="B156" s="326" t="s">
        <v>28</v>
      </c>
      <c r="C156" s="1746" t="s">
        <v>119</v>
      </c>
      <c r="D156" s="1747"/>
      <c r="E156" s="1747"/>
      <c r="F156" s="1747"/>
      <c r="G156" s="1747"/>
      <c r="H156" s="1747"/>
      <c r="I156" s="1747"/>
      <c r="J156" s="1747"/>
      <c r="K156" s="1747"/>
      <c r="L156" s="1747"/>
      <c r="M156" s="1747"/>
      <c r="N156" s="1748"/>
    </row>
    <row r="157" spans="1:14" ht="11.25" customHeight="1" x14ac:dyDescent="0.2">
      <c r="A157" s="1526" t="s">
        <v>5</v>
      </c>
      <c r="B157" s="325" t="s">
        <v>28</v>
      </c>
      <c r="C157" s="1533" t="s">
        <v>5</v>
      </c>
      <c r="D157" s="1845" t="s">
        <v>115</v>
      </c>
      <c r="E157" s="129" t="s">
        <v>79</v>
      </c>
      <c r="F157" s="931">
        <v>6</v>
      </c>
      <c r="G157" s="215" t="s">
        <v>25</v>
      </c>
      <c r="H157" s="212">
        <v>90.1</v>
      </c>
      <c r="I157" s="438">
        <v>360.1</v>
      </c>
      <c r="J157" s="438">
        <v>360.1</v>
      </c>
      <c r="K157" s="422"/>
      <c r="L157" s="212"/>
      <c r="M157" s="268"/>
      <c r="N157" s="269"/>
    </row>
    <row r="158" spans="1:14" ht="12.75" customHeight="1" x14ac:dyDescent="0.2">
      <c r="A158" s="1524"/>
      <c r="B158" s="1530"/>
      <c r="C158" s="1523"/>
      <c r="D158" s="1785"/>
      <c r="E158" s="672"/>
      <c r="F158" s="1527"/>
      <c r="G158" s="68" t="s">
        <v>70</v>
      </c>
      <c r="H158" s="270">
        <f>809</f>
        <v>809</v>
      </c>
      <c r="I158" s="148">
        <v>505</v>
      </c>
      <c r="J158" s="92">
        <v>505</v>
      </c>
      <c r="K158" s="1525"/>
      <c r="L158" s="270"/>
      <c r="M158" s="42"/>
      <c r="N158" s="43"/>
    </row>
    <row r="159" spans="1:14" ht="12.75" customHeight="1" x14ac:dyDescent="0.2">
      <c r="A159" s="1524"/>
      <c r="B159" s="1530"/>
      <c r="C159" s="1523"/>
      <c r="D159" s="1785"/>
      <c r="E159" s="672"/>
      <c r="F159" s="1527"/>
      <c r="G159" s="68" t="s">
        <v>77</v>
      </c>
      <c r="H159" s="270">
        <v>224.6</v>
      </c>
      <c r="I159" s="148"/>
      <c r="J159" s="92"/>
      <c r="K159" s="1525"/>
      <c r="L159" s="270"/>
      <c r="M159" s="42"/>
      <c r="N159" s="43"/>
    </row>
    <row r="160" spans="1:14" ht="12.75" customHeight="1" x14ac:dyDescent="0.2">
      <c r="A160" s="1524"/>
      <c r="B160" s="1530"/>
      <c r="C160" s="1523"/>
      <c r="D160" s="791"/>
      <c r="E160" s="672"/>
      <c r="F160" s="1527"/>
      <c r="G160" s="68" t="s">
        <v>62</v>
      </c>
      <c r="H160" s="270">
        <f>49+150-16.7</f>
        <v>182.3</v>
      </c>
      <c r="I160" s="148"/>
      <c r="J160" s="92"/>
      <c r="K160" s="1525"/>
      <c r="L160" s="270"/>
      <c r="M160" s="42"/>
      <c r="N160" s="43"/>
    </row>
    <row r="161" spans="1:14" ht="15.75" customHeight="1" x14ac:dyDescent="0.2">
      <c r="A161" s="1524"/>
      <c r="B161" s="1530"/>
      <c r="C161" s="1523"/>
      <c r="D161" s="443"/>
      <c r="E161" s="672"/>
      <c r="F161" s="1527"/>
      <c r="G161" s="67" t="s">
        <v>106</v>
      </c>
      <c r="H161" s="45">
        <v>250</v>
      </c>
      <c r="I161" s="149">
        <v>250</v>
      </c>
      <c r="J161" s="95">
        <v>250</v>
      </c>
      <c r="K161" s="767"/>
      <c r="L161" s="45"/>
      <c r="M161" s="44"/>
      <c r="N161" s="46"/>
    </row>
    <row r="162" spans="1:14" ht="13.5" customHeight="1" x14ac:dyDescent="0.2">
      <c r="A162" s="1524"/>
      <c r="B162" s="1530"/>
      <c r="C162" s="1523"/>
      <c r="D162" s="1883" t="s">
        <v>113</v>
      </c>
      <c r="E162" s="1851" t="s">
        <v>78</v>
      </c>
      <c r="F162" s="1531"/>
      <c r="G162" s="68"/>
      <c r="H162" s="92"/>
      <c r="I162" s="148"/>
      <c r="J162" s="68"/>
      <c r="K162" s="1528" t="s">
        <v>120</v>
      </c>
      <c r="L162" s="270">
        <v>13.8</v>
      </c>
      <c r="M162" s="42">
        <v>13.8</v>
      </c>
      <c r="N162" s="43">
        <v>13.8</v>
      </c>
    </row>
    <row r="163" spans="1:14" ht="14.25" customHeight="1" x14ac:dyDescent="0.2">
      <c r="A163" s="1524"/>
      <c r="B163" s="1530"/>
      <c r="C163" s="1523"/>
      <c r="D163" s="1770"/>
      <c r="E163" s="1884"/>
      <c r="F163" s="1531"/>
      <c r="G163" s="68"/>
      <c r="H163" s="92"/>
      <c r="I163" s="148"/>
      <c r="J163" s="68"/>
      <c r="K163" s="1528" t="s">
        <v>38</v>
      </c>
      <c r="L163" s="1534">
        <v>67</v>
      </c>
      <c r="M163" s="381">
        <v>67</v>
      </c>
      <c r="N163" s="1532">
        <v>67</v>
      </c>
    </row>
    <row r="164" spans="1:14" ht="15" customHeight="1" x14ac:dyDescent="0.2">
      <c r="A164" s="1524"/>
      <c r="B164" s="1530"/>
      <c r="C164" s="1523"/>
      <c r="D164" s="1770"/>
      <c r="E164" s="1787"/>
      <c r="F164" s="1531"/>
      <c r="G164" s="68"/>
      <c r="H164" s="92"/>
      <c r="I164" s="148"/>
      <c r="J164" s="68"/>
      <c r="K164" s="1528" t="s">
        <v>84</v>
      </c>
      <c r="L164" s="933">
        <v>1.8</v>
      </c>
      <c r="M164" s="934">
        <v>1.8</v>
      </c>
      <c r="N164" s="43">
        <v>1.8</v>
      </c>
    </row>
    <row r="165" spans="1:14" ht="15" customHeight="1" x14ac:dyDescent="0.2">
      <c r="A165" s="1524"/>
      <c r="B165" s="1530"/>
      <c r="C165" s="1523"/>
      <c r="D165" s="1770"/>
      <c r="E165" s="1529"/>
      <c r="F165" s="1531"/>
      <c r="G165" s="68"/>
      <c r="H165" s="148"/>
      <c r="I165" s="148"/>
      <c r="J165" s="68"/>
      <c r="K165" s="1528" t="s">
        <v>311</v>
      </c>
      <c r="L165" s="1534">
        <v>100</v>
      </c>
      <c r="M165" s="381"/>
      <c r="N165" s="936"/>
    </row>
    <row r="166" spans="1:14" ht="15" customHeight="1" x14ac:dyDescent="0.2">
      <c r="A166" s="1524"/>
      <c r="B166" s="1530"/>
      <c r="C166" s="1523"/>
      <c r="D166" s="1770"/>
      <c r="E166" s="1529"/>
      <c r="F166" s="1531"/>
      <c r="G166" s="68"/>
      <c r="H166" s="148"/>
      <c r="I166" s="148"/>
      <c r="J166" s="68"/>
      <c r="K166" s="1528" t="s">
        <v>183</v>
      </c>
      <c r="L166" s="1534">
        <v>165</v>
      </c>
      <c r="M166" s="381"/>
      <c r="N166" s="936"/>
    </row>
    <row r="167" spans="1:14" ht="18.75" customHeight="1" x14ac:dyDescent="0.2">
      <c r="A167" s="1524"/>
      <c r="B167" s="1530"/>
      <c r="C167" s="1523"/>
      <c r="D167" s="1770"/>
      <c r="E167" s="1529"/>
      <c r="F167" s="1531"/>
      <c r="G167" s="68"/>
      <c r="H167" s="148"/>
      <c r="I167" s="148"/>
      <c r="J167" s="68"/>
      <c r="K167" s="1528" t="s">
        <v>359</v>
      </c>
      <c r="L167" s="1534">
        <v>4</v>
      </c>
      <c r="M167" s="381"/>
      <c r="N167" s="935"/>
    </row>
    <row r="168" spans="1:14" ht="17.25" customHeight="1" x14ac:dyDescent="0.2">
      <c r="A168" s="1524"/>
      <c r="B168" s="1530"/>
      <c r="C168" s="1523"/>
      <c r="D168" s="930" t="s">
        <v>66</v>
      </c>
      <c r="E168" s="1529"/>
      <c r="F168" s="1531"/>
      <c r="G168" s="64"/>
      <c r="H168" s="92"/>
      <c r="I168" s="148"/>
      <c r="J168" s="68"/>
      <c r="K168" s="966" t="s">
        <v>85</v>
      </c>
      <c r="L168" s="26">
        <v>1</v>
      </c>
      <c r="M168" s="26">
        <v>1</v>
      </c>
      <c r="N168" s="190">
        <v>1</v>
      </c>
    </row>
    <row r="169" spans="1:14" ht="15.75" customHeight="1" x14ac:dyDescent="0.2">
      <c r="A169" s="1585"/>
      <c r="B169" s="1589"/>
      <c r="C169" s="1587"/>
      <c r="D169" s="1975" t="s">
        <v>122</v>
      </c>
      <c r="E169" s="158"/>
      <c r="F169" s="1527"/>
      <c r="G169" s="68"/>
      <c r="H169" s="92"/>
      <c r="I169" s="148"/>
      <c r="J169" s="148"/>
      <c r="K169" s="1977" t="s">
        <v>330</v>
      </c>
      <c r="L169" s="1979">
        <v>14</v>
      </c>
      <c r="M169" s="1981"/>
      <c r="N169" s="1983"/>
    </row>
    <row r="170" spans="1:14" ht="12.75" customHeight="1" x14ac:dyDescent="0.2">
      <c r="A170" s="1585"/>
      <c r="B170" s="1589"/>
      <c r="C170" s="1587"/>
      <c r="D170" s="1976"/>
      <c r="E170" s="1518"/>
      <c r="F170" s="1588"/>
      <c r="G170" s="68"/>
      <c r="H170" s="92"/>
      <c r="I170" s="148"/>
      <c r="J170" s="68"/>
      <c r="K170" s="1978"/>
      <c r="L170" s="1980"/>
      <c r="M170" s="1982"/>
      <c r="N170" s="1984"/>
    </row>
    <row r="171" spans="1:14" ht="16.5" customHeight="1" x14ac:dyDescent="0.2">
      <c r="A171" s="719"/>
      <c r="B171" s="720"/>
      <c r="C171" s="724"/>
      <c r="D171" s="1737" t="s">
        <v>114</v>
      </c>
      <c r="E171" s="1582" t="s">
        <v>47</v>
      </c>
      <c r="F171" s="932"/>
      <c r="G171" s="68"/>
      <c r="H171" s="91"/>
      <c r="I171" s="92"/>
      <c r="J171" s="68"/>
      <c r="K171" s="275" t="s">
        <v>184</v>
      </c>
      <c r="L171" s="967">
        <v>170</v>
      </c>
      <c r="M171" s="967">
        <v>170</v>
      </c>
      <c r="N171" s="968">
        <v>170</v>
      </c>
    </row>
    <row r="172" spans="1:14" ht="41.25" customHeight="1" x14ac:dyDescent="0.2">
      <c r="A172" s="719"/>
      <c r="B172" s="720"/>
      <c r="C172" s="724"/>
      <c r="D172" s="1882"/>
      <c r="E172" s="1583"/>
      <c r="F172" s="932"/>
      <c r="G172" s="68"/>
      <c r="H172" s="92"/>
      <c r="I172" s="92"/>
      <c r="J172" s="68"/>
      <c r="K172" s="345" t="s">
        <v>179</v>
      </c>
      <c r="L172" s="1597"/>
      <c r="M172" s="1597"/>
      <c r="N172" s="792"/>
    </row>
    <row r="173" spans="1:14" ht="24" customHeight="1" x14ac:dyDescent="0.2">
      <c r="A173" s="738"/>
      <c r="B173" s="720"/>
      <c r="C173" s="263"/>
      <c r="D173" s="1858" t="s">
        <v>202</v>
      </c>
      <c r="E173" s="1581" t="s">
        <v>47</v>
      </c>
      <c r="F173" s="912"/>
      <c r="G173" s="67"/>
      <c r="H173" s="95"/>
      <c r="I173" s="95"/>
      <c r="J173" s="67"/>
      <c r="K173" s="1880" t="s">
        <v>180</v>
      </c>
      <c r="L173" s="624">
        <v>33</v>
      </c>
      <c r="M173" s="624">
        <v>19</v>
      </c>
      <c r="N173" s="625">
        <v>19</v>
      </c>
    </row>
    <row r="174" spans="1:14" ht="15.75" customHeight="1" thickBot="1" x14ac:dyDescent="0.25">
      <c r="A174" s="75"/>
      <c r="B174" s="877"/>
      <c r="C174" s="104"/>
      <c r="D174" s="1879"/>
      <c r="E174" s="900"/>
      <c r="F174" s="104"/>
      <c r="G174" s="156" t="s">
        <v>6</v>
      </c>
      <c r="H174" s="156">
        <f>SUM(H157:H173)</f>
        <v>1556</v>
      </c>
      <c r="I174" s="156">
        <f>SUM(I157:I173)</f>
        <v>1115.0999999999999</v>
      </c>
      <c r="J174" s="156">
        <f>SUM(J157:J173)</f>
        <v>1115.0999999999999</v>
      </c>
      <c r="K174" s="1881"/>
      <c r="L174" s="903"/>
      <c r="M174" s="904"/>
      <c r="N174" s="905"/>
    </row>
    <row r="175" spans="1:14" ht="15" customHeight="1" x14ac:dyDescent="0.2">
      <c r="A175" s="1865" t="s">
        <v>5</v>
      </c>
      <c r="B175" s="1867" t="s">
        <v>28</v>
      </c>
      <c r="C175" s="1869" t="s">
        <v>7</v>
      </c>
      <c r="D175" s="1871" t="s">
        <v>304</v>
      </c>
      <c r="E175" s="1873" t="s">
        <v>395</v>
      </c>
      <c r="F175" s="1876" t="s">
        <v>56</v>
      </c>
      <c r="G175" s="105" t="s">
        <v>25</v>
      </c>
      <c r="H175" s="260">
        <v>112.6</v>
      </c>
      <c r="I175" s="215">
        <v>112.6</v>
      </c>
      <c r="J175" s="260">
        <v>112.6</v>
      </c>
      <c r="K175" s="245" t="s">
        <v>69</v>
      </c>
      <c r="L175" s="321">
        <v>18</v>
      </c>
      <c r="M175" s="321">
        <v>18</v>
      </c>
      <c r="N175" s="217">
        <v>18</v>
      </c>
    </row>
    <row r="176" spans="1:14" ht="16.5" customHeight="1" x14ac:dyDescent="0.2">
      <c r="A176" s="1837"/>
      <c r="B176" s="1832"/>
      <c r="C176" s="1736"/>
      <c r="D176" s="1858"/>
      <c r="E176" s="1874"/>
      <c r="F176" s="1877"/>
      <c r="G176" s="80" t="s">
        <v>62</v>
      </c>
      <c r="H176" s="166">
        <v>93</v>
      </c>
      <c r="I176" s="61"/>
      <c r="J176" s="166"/>
      <c r="K176" s="843" t="s">
        <v>86</v>
      </c>
      <c r="L176" s="327">
        <v>7</v>
      </c>
      <c r="M176" s="327">
        <v>7</v>
      </c>
      <c r="N176" s="186">
        <v>7</v>
      </c>
    </row>
    <row r="177" spans="1:16" ht="15" customHeight="1" thickBot="1" x14ac:dyDescent="0.25">
      <c r="A177" s="1866"/>
      <c r="B177" s="1868"/>
      <c r="C177" s="1870"/>
      <c r="D177" s="1872"/>
      <c r="E177" s="1875"/>
      <c r="F177" s="1878"/>
      <c r="G177" s="98" t="s">
        <v>6</v>
      </c>
      <c r="H177" s="169">
        <f>SUM(H175:H176)</f>
        <v>205.6</v>
      </c>
      <c r="I177" s="169">
        <f t="shared" ref="I177:J177" si="6">SUM(I175:I176)</f>
        <v>112.6</v>
      </c>
      <c r="J177" s="244">
        <f t="shared" si="6"/>
        <v>112.6</v>
      </c>
      <c r="K177" s="765"/>
      <c r="L177" s="219"/>
      <c r="M177" s="219"/>
      <c r="N177" s="218"/>
    </row>
    <row r="178" spans="1:16" ht="11.25" customHeight="1" x14ac:dyDescent="0.2">
      <c r="A178" s="889" t="s">
        <v>5</v>
      </c>
      <c r="B178" s="945" t="s">
        <v>28</v>
      </c>
      <c r="C178" s="887" t="s">
        <v>28</v>
      </c>
      <c r="D178" s="1845" t="s">
        <v>223</v>
      </c>
      <c r="E178" s="129" t="s">
        <v>47</v>
      </c>
      <c r="F178" s="931">
        <v>5</v>
      </c>
      <c r="G178" s="215" t="s">
        <v>25</v>
      </c>
      <c r="H178" s="260">
        <v>197.1</v>
      </c>
      <c r="I178" s="215">
        <f>412.5+50</f>
        <v>462.5</v>
      </c>
      <c r="J178" s="215">
        <v>155</v>
      </c>
      <c r="K178" s="952"/>
      <c r="L178" s="270"/>
      <c r="M178" s="270"/>
      <c r="N178" s="66"/>
    </row>
    <row r="179" spans="1:16" ht="12" customHeight="1" x14ac:dyDescent="0.2">
      <c r="A179" s="871"/>
      <c r="B179" s="872"/>
      <c r="C179" s="866"/>
      <c r="D179" s="1846"/>
      <c r="E179" s="672"/>
      <c r="F179" s="880"/>
      <c r="G179" s="68" t="s">
        <v>106</v>
      </c>
      <c r="H179" s="92"/>
      <c r="I179" s="68"/>
      <c r="J179" s="68"/>
      <c r="K179" s="952"/>
      <c r="L179" s="42"/>
      <c r="M179" s="270"/>
      <c r="N179" s="66"/>
    </row>
    <row r="180" spans="1:16" ht="12" customHeight="1" x14ac:dyDescent="0.2">
      <c r="A180" s="871"/>
      <c r="B180" s="872"/>
      <c r="C180" s="866"/>
      <c r="D180" s="1846"/>
      <c r="E180" s="672"/>
      <c r="F180" s="880"/>
      <c r="G180" s="68" t="s">
        <v>62</v>
      </c>
      <c r="H180" s="92">
        <v>150</v>
      </c>
      <c r="I180" s="68"/>
      <c r="J180" s="68"/>
      <c r="K180" s="952"/>
      <c r="L180" s="42"/>
      <c r="M180" s="270"/>
      <c r="N180" s="66"/>
    </row>
    <row r="181" spans="1:16" ht="15" customHeight="1" x14ac:dyDescent="0.2">
      <c r="A181" s="871"/>
      <c r="B181" s="872"/>
      <c r="C181" s="866"/>
      <c r="D181" s="1847"/>
      <c r="E181" s="667"/>
      <c r="F181" s="912"/>
      <c r="G181" s="67" t="s">
        <v>44</v>
      </c>
      <c r="H181" s="95">
        <v>579.5</v>
      </c>
      <c r="I181" s="67">
        <v>634.1</v>
      </c>
      <c r="J181" s="67">
        <f>279+850</f>
        <v>1129</v>
      </c>
      <c r="K181" s="953"/>
      <c r="L181" s="44"/>
      <c r="M181" s="45"/>
      <c r="N181" s="202"/>
    </row>
    <row r="182" spans="1:16" ht="24.75" customHeight="1" x14ac:dyDescent="0.2">
      <c r="A182" s="1734"/>
      <c r="B182" s="1735"/>
      <c r="C182" s="1736"/>
      <c r="D182" s="1848" t="s">
        <v>342</v>
      </c>
      <c r="E182" s="1851" t="s">
        <v>96</v>
      </c>
      <c r="F182" s="874"/>
      <c r="G182" s="228"/>
      <c r="H182" s="96"/>
      <c r="I182" s="60"/>
      <c r="J182" s="60"/>
      <c r="K182" s="954" t="s">
        <v>170</v>
      </c>
      <c r="L182" s="793" t="s">
        <v>171</v>
      </c>
      <c r="M182" s="15">
        <v>100</v>
      </c>
      <c r="N182" s="256"/>
    </row>
    <row r="183" spans="1:16" ht="26.25" customHeight="1" x14ac:dyDescent="0.2">
      <c r="A183" s="1734"/>
      <c r="B183" s="1735"/>
      <c r="C183" s="1736"/>
      <c r="D183" s="1849"/>
      <c r="E183" s="1852"/>
      <c r="F183" s="880"/>
      <c r="G183" s="68"/>
      <c r="H183" s="108"/>
      <c r="I183" s="68"/>
      <c r="J183" s="68"/>
      <c r="K183" s="955" t="s">
        <v>341</v>
      </c>
      <c r="L183" s="193">
        <v>1</v>
      </c>
      <c r="M183" s="34"/>
      <c r="N183" s="568"/>
    </row>
    <row r="184" spans="1:16" ht="15.75" customHeight="1" x14ac:dyDescent="0.2">
      <c r="A184" s="1734"/>
      <c r="B184" s="1735"/>
      <c r="C184" s="1736"/>
      <c r="D184" s="1850"/>
      <c r="E184" s="1853"/>
      <c r="F184" s="880"/>
      <c r="G184" s="68"/>
      <c r="H184" s="108"/>
      <c r="I184" s="68"/>
      <c r="J184" s="68"/>
      <c r="K184" s="956" t="s">
        <v>162</v>
      </c>
      <c r="L184" s="794" t="s">
        <v>268</v>
      </c>
      <c r="M184" s="795">
        <v>2</v>
      </c>
      <c r="N184" s="796"/>
    </row>
    <row r="185" spans="1:16" ht="15" customHeight="1" x14ac:dyDescent="0.2">
      <c r="A185" s="1734"/>
      <c r="B185" s="1735"/>
      <c r="C185" s="1736"/>
      <c r="D185" s="1737" t="s">
        <v>282</v>
      </c>
      <c r="E185" s="1834" t="s">
        <v>163</v>
      </c>
      <c r="F185" s="874"/>
      <c r="G185" s="64"/>
      <c r="H185" s="92"/>
      <c r="I185" s="68"/>
      <c r="J185" s="68"/>
      <c r="K185" s="955" t="s">
        <v>214</v>
      </c>
      <c r="L185" s="193">
        <v>1</v>
      </c>
      <c r="M185" s="193"/>
      <c r="N185" s="306"/>
    </row>
    <row r="186" spans="1:16" ht="29.25" customHeight="1" x14ac:dyDescent="0.2">
      <c r="A186" s="1734"/>
      <c r="B186" s="1735"/>
      <c r="C186" s="1736"/>
      <c r="D186" s="1738"/>
      <c r="E186" s="1844"/>
      <c r="F186" s="880"/>
      <c r="G186" s="68"/>
      <c r="H186" s="92"/>
      <c r="I186" s="68"/>
      <c r="J186" s="68"/>
      <c r="K186" s="955" t="s">
        <v>283</v>
      </c>
      <c r="L186" s="193"/>
      <c r="M186" s="193">
        <v>1</v>
      </c>
      <c r="N186" s="28"/>
    </row>
    <row r="187" spans="1:16" ht="14.25" customHeight="1" x14ac:dyDescent="0.2">
      <c r="A187" s="1837"/>
      <c r="B187" s="1832"/>
      <c r="C187" s="1736"/>
      <c r="D187" s="1854" t="s">
        <v>209</v>
      </c>
      <c r="E187" s="1834"/>
      <c r="F187" s="1843"/>
      <c r="G187" s="64"/>
      <c r="H187" s="92"/>
      <c r="I187" s="68"/>
      <c r="J187" s="68"/>
      <c r="K187" s="957" t="s">
        <v>185</v>
      </c>
      <c r="L187" s="734">
        <v>1</v>
      </c>
      <c r="M187" s="729"/>
      <c r="N187" s="499"/>
    </row>
    <row r="188" spans="1:16" ht="15" customHeight="1" x14ac:dyDescent="0.2">
      <c r="A188" s="1837"/>
      <c r="B188" s="1832"/>
      <c r="C188" s="1736"/>
      <c r="D188" s="1855"/>
      <c r="E188" s="1853"/>
      <c r="F188" s="1843"/>
      <c r="G188" s="68"/>
      <c r="H188" s="92"/>
      <c r="I188" s="68"/>
      <c r="J188" s="68"/>
      <c r="K188" s="21" t="s">
        <v>284</v>
      </c>
      <c r="L188" s="48">
        <v>6</v>
      </c>
      <c r="M188" s="183"/>
      <c r="N188" s="23"/>
    </row>
    <row r="189" spans="1:16" ht="26.25" customHeight="1" x14ac:dyDescent="0.2">
      <c r="A189" s="1734"/>
      <c r="B189" s="1735"/>
      <c r="C189" s="1736"/>
      <c r="D189" s="1737" t="s">
        <v>327</v>
      </c>
      <c r="E189" s="1830" t="s">
        <v>362</v>
      </c>
      <c r="F189" s="1003"/>
      <c r="G189" s="68"/>
      <c r="H189" s="92"/>
      <c r="I189" s="68"/>
      <c r="J189" s="68"/>
      <c r="K189" s="1004" t="s">
        <v>329</v>
      </c>
      <c r="L189" s="1005">
        <v>1</v>
      </c>
      <c r="M189" s="1006"/>
      <c r="N189" s="1008"/>
      <c r="P189" s="1352"/>
    </row>
    <row r="190" spans="1:16" ht="15.75" customHeight="1" x14ac:dyDescent="0.2">
      <c r="A190" s="1734"/>
      <c r="B190" s="1735"/>
      <c r="C190" s="1736"/>
      <c r="D190" s="1737"/>
      <c r="E190" s="1831"/>
      <c r="F190" s="1003"/>
      <c r="G190" s="68"/>
      <c r="H190" s="108"/>
      <c r="I190" s="68"/>
      <c r="J190" s="68"/>
      <c r="K190" s="258" t="s">
        <v>98</v>
      </c>
      <c r="L190" s="27"/>
      <c r="M190" s="193">
        <v>1</v>
      </c>
      <c r="N190" s="28"/>
      <c r="P190" s="1352"/>
    </row>
    <row r="191" spans="1:16" ht="16.5" customHeight="1" x14ac:dyDescent="0.2">
      <c r="A191" s="1734"/>
      <c r="B191" s="1735"/>
      <c r="C191" s="1736"/>
      <c r="D191" s="1738"/>
      <c r="E191" s="1013"/>
      <c r="F191" s="1003"/>
      <c r="G191" s="68"/>
      <c r="H191" s="108"/>
      <c r="I191" s="68"/>
      <c r="J191" s="68"/>
      <c r="K191" s="1004" t="s">
        <v>328</v>
      </c>
      <c r="L191" s="1007"/>
      <c r="M191" s="441"/>
      <c r="N191" s="25">
        <v>30</v>
      </c>
    </row>
    <row r="192" spans="1:16" ht="30" customHeight="1" x14ac:dyDescent="0.2">
      <c r="A192" s="970"/>
      <c r="B192" s="971"/>
      <c r="C192" s="969"/>
      <c r="D192" s="985" t="s">
        <v>343</v>
      </c>
      <c r="E192" s="986" t="s">
        <v>219</v>
      </c>
      <c r="F192" s="987" t="s">
        <v>37</v>
      </c>
      <c r="G192" s="60" t="s">
        <v>77</v>
      </c>
      <c r="H192" s="96">
        <f>24.2+4</f>
        <v>28.2</v>
      </c>
      <c r="I192" s="60"/>
      <c r="J192" s="60"/>
      <c r="K192" s="988" t="s">
        <v>87</v>
      </c>
      <c r="L192" s="26">
        <v>1</v>
      </c>
      <c r="M192" s="26"/>
      <c r="N192" s="190"/>
    </row>
    <row r="193" spans="1:14" ht="27.75" customHeight="1" x14ac:dyDescent="0.2">
      <c r="A193" s="982"/>
      <c r="B193" s="980"/>
      <c r="C193" s="97"/>
      <c r="D193" s="979" t="s">
        <v>325</v>
      </c>
      <c r="E193" s="1036" t="s">
        <v>163</v>
      </c>
      <c r="F193" s="981"/>
      <c r="G193" s="67" t="s">
        <v>25</v>
      </c>
      <c r="H193" s="95">
        <v>6</v>
      </c>
      <c r="I193" s="95">
        <v>6.2</v>
      </c>
      <c r="J193" s="67">
        <v>6.2</v>
      </c>
      <c r="K193" s="763" t="s">
        <v>326</v>
      </c>
      <c r="L193" s="305">
        <v>6</v>
      </c>
      <c r="M193" s="305">
        <v>6</v>
      </c>
      <c r="N193" s="189">
        <v>6</v>
      </c>
    </row>
    <row r="194" spans="1:14" ht="14.25" customHeight="1" thickBot="1" x14ac:dyDescent="0.25">
      <c r="A194" s="75"/>
      <c r="B194" s="877"/>
      <c r="C194" s="56"/>
      <c r="D194" s="764"/>
      <c r="E194" s="798"/>
      <c r="F194" s="951"/>
      <c r="G194" s="156" t="s">
        <v>6</v>
      </c>
      <c r="H194" s="244">
        <f>SUM(H178:H193)</f>
        <v>960.8</v>
      </c>
      <c r="I194" s="244">
        <f>SUM(I178:I193)</f>
        <v>1102.8</v>
      </c>
      <c r="J194" s="156">
        <f>SUM(J178:J193)</f>
        <v>1290.2</v>
      </c>
      <c r="K194" s="928"/>
      <c r="L194" s="219"/>
      <c r="M194" s="219"/>
      <c r="N194" s="799"/>
    </row>
    <row r="195" spans="1:14" ht="14.25" customHeight="1" thickBot="1" x14ac:dyDescent="0.25">
      <c r="A195" s="99" t="s">
        <v>5</v>
      </c>
      <c r="B195" s="86" t="s">
        <v>28</v>
      </c>
      <c r="C195" s="1829" t="s">
        <v>8</v>
      </c>
      <c r="D195" s="1829"/>
      <c r="E195" s="1829"/>
      <c r="F195" s="1829"/>
      <c r="G195" s="1761"/>
      <c r="H195" s="251">
        <f>H194+H177+H174</f>
        <v>2722.4</v>
      </c>
      <c r="I195" s="251">
        <f>I194+I177+I174</f>
        <v>2330.5</v>
      </c>
      <c r="J195" s="251">
        <f>J194+J177+J174</f>
        <v>2517.9</v>
      </c>
      <c r="K195" s="1762"/>
      <c r="L195" s="1762"/>
      <c r="M195" s="1762"/>
      <c r="N195" s="1763"/>
    </row>
    <row r="196" spans="1:14" ht="14.25" customHeight="1" thickBot="1" x14ac:dyDescent="0.25">
      <c r="A196" s="85" t="s">
        <v>5</v>
      </c>
      <c r="B196" s="86" t="s">
        <v>33</v>
      </c>
      <c r="C196" s="1746" t="s">
        <v>222</v>
      </c>
      <c r="D196" s="1747"/>
      <c r="E196" s="1747"/>
      <c r="F196" s="1747"/>
      <c r="G196" s="1747"/>
      <c r="H196" s="1747"/>
      <c r="I196" s="1747"/>
      <c r="J196" s="1747"/>
      <c r="K196" s="1747"/>
      <c r="L196" s="1747"/>
      <c r="M196" s="1747"/>
      <c r="N196" s="1748"/>
    </row>
    <row r="197" spans="1:14" ht="12" customHeight="1" x14ac:dyDescent="0.2">
      <c r="A197" s="757" t="s">
        <v>5</v>
      </c>
      <c r="B197" s="759" t="s">
        <v>33</v>
      </c>
      <c r="C197" s="299" t="s">
        <v>5</v>
      </c>
      <c r="D197" s="264" t="s">
        <v>112</v>
      </c>
      <c r="E197" s="442"/>
      <c r="F197" s="931">
        <v>6</v>
      </c>
      <c r="G197" s="68" t="s">
        <v>25</v>
      </c>
      <c r="H197" s="212">
        <f>4289.3+85.8</f>
        <v>4375.1000000000004</v>
      </c>
      <c r="I197" s="215">
        <v>3279.6</v>
      </c>
      <c r="J197" s="215">
        <v>3388</v>
      </c>
      <c r="K197" s="107"/>
      <c r="L197" s="6"/>
      <c r="M197" s="6"/>
      <c r="N197" s="232"/>
    </row>
    <row r="198" spans="1:14" ht="12" customHeight="1" x14ac:dyDescent="0.2">
      <c r="A198" s="719"/>
      <c r="B198" s="737"/>
      <c r="C198" s="263"/>
      <c r="D198" s="443"/>
      <c r="E198" s="754"/>
      <c r="F198" s="730"/>
      <c r="G198" s="68" t="s">
        <v>77</v>
      </c>
      <c r="H198" s="270">
        <v>300</v>
      </c>
      <c r="I198" s="68"/>
      <c r="J198" s="68"/>
      <c r="K198" s="763"/>
      <c r="L198" s="270"/>
      <c r="M198" s="270"/>
      <c r="N198" s="66"/>
    </row>
    <row r="199" spans="1:14" ht="12.75" customHeight="1" x14ac:dyDescent="0.2">
      <c r="A199" s="719"/>
      <c r="B199" s="737"/>
      <c r="C199" s="263"/>
      <c r="D199" s="443"/>
      <c r="E199" s="754"/>
      <c r="F199" s="730"/>
      <c r="G199" s="68" t="s">
        <v>106</v>
      </c>
      <c r="H199" s="270">
        <f>1271.8+0.2</f>
        <v>1272</v>
      </c>
      <c r="I199" s="68">
        <v>1272</v>
      </c>
      <c r="J199" s="68">
        <v>1272</v>
      </c>
      <c r="K199" s="763"/>
      <c r="L199" s="270"/>
      <c r="M199" s="270"/>
      <c r="N199" s="66"/>
    </row>
    <row r="200" spans="1:14" ht="13.5" customHeight="1" x14ac:dyDescent="0.2">
      <c r="A200" s="719"/>
      <c r="B200" s="737"/>
      <c r="C200" s="263"/>
      <c r="D200" s="444"/>
      <c r="E200" s="925"/>
      <c r="F200" s="920"/>
      <c r="G200" s="67" t="s">
        <v>62</v>
      </c>
      <c r="H200" s="45">
        <v>84.2</v>
      </c>
      <c r="I200" s="67"/>
      <c r="J200" s="67"/>
      <c r="K200" s="800"/>
      <c r="L200" s="784"/>
      <c r="M200" s="784"/>
      <c r="N200" s="801"/>
    </row>
    <row r="201" spans="1:14" ht="15.75" customHeight="1" x14ac:dyDescent="0.2">
      <c r="A201" s="719"/>
      <c r="B201" s="737"/>
      <c r="C201" s="103"/>
      <c r="D201" s="726" t="s">
        <v>109</v>
      </c>
      <c r="E201" s="925"/>
      <c r="F201" s="924"/>
      <c r="G201" s="68"/>
      <c r="H201" s="92"/>
      <c r="I201" s="68"/>
      <c r="J201" s="68"/>
      <c r="K201" s="728" t="s">
        <v>68</v>
      </c>
      <c r="L201" s="1584">
        <v>11</v>
      </c>
      <c r="M201" s="270"/>
      <c r="N201" s="66"/>
    </row>
    <row r="202" spans="1:14" ht="26.25" customHeight="1" x14ac:dyDescent="0.2">
      <c r="A202" s="719"/>
      <c r="B202" s="737"/>
      <c r="C202" s="1749" t="s">
        <v>242</v>
      </c>
      <c r="D202" s="558" t="s">
        <v>243</v>
      </c>
      <c r="E202" s="925"/>
      <c r="F202" s="920"/>
      <c r="G202" s="68"/>
      <c r="H202" s="92"/>
      <c r="I202" s="68"/>
      <c r="J202" s="68"/>
      <c r="K202" s="728"/>
      <c r="L202" s="270"/>
      <c r="M202" s="270"/>
      <c r="N202" s="66"/>
    </row>
    <row r="203" spans="1:14" ht="27.75" customHeight="1" x14ac:dyDescent="0.2">
      <c r="A203" s="719"/>
      <c r="B203" s="737"/>
      <c r="C203" s="1749"/>
      <c r="D203" s="277" t="s">
        <v>344</v>
      </c>
      <c r="E203" s="925"/>
      <c r="F203" s="920"/>
      <c r="G203" s="68"/>
      <c r="H203" s="92"/>
      <c r="I203" s="68"/>
      <c r="J203" s="68"/>
      <c r="K203" s="728"/>
      <c r="L203" s="270"/>
      <c r="M203" s="270"/>
      <c r="N203" s="66"/>
    </row>
    <row r="204" spans="1:14" ht="24.75" customHeight="1" x14ac:dyDescent="0.2">
      <c r="A204" s="719"/>
      <c r="B204" s="737"/>
      <c r="C204" s="1749"/>
      <c r="D204" s="277" t="s">
        <v>345</v>
      </c>
      <c r="E204" s="925"/>
      <c r="F204" s="920"/>
      <c r="G204" s="68"/>
      <c r="H204" s="92"/>
      <c r="I204" s="68"/>
      <c r="J204" s="68"/>
      <c r="K204" s="728"/>
      <c r="L204" s="270"/>
      <c r="M204" s="270"/>
      <c r="N204" s="66"/>
    </row>
    <row r="205" spans="1:14" ht="12.75" customHeight="1" x14ac:dyDescent="0.2">
      <c r="A205" s="719"/>
      <c r="B205" s="737"/>
      <c r="C205" s="1749"/>
      <c r="D205" s="277" t="s">
        <v>247</v>
      </c>
      <c r="E205" s="925"/>
      <c r="F205" s="920"/>
      <c r="G205" s="68"/>
      <c r="H205" s="92"/>
      <c r="I205" s="68"/>
      <c r="J205" s="68"/>
      <c r="K205" s="728"/>
      <c r="L205" s="270"/>
      <c r="M205" s="270"/>
      <c r="N205" s="66"/>
    </row>
    <row r="206" spans="1:14" ht="13.5" customHeight="1" x14ac:dyDescent="0.2">
      <c r="A206" s="719"/>
      <c r="B206" s="737"/>
      <c r="C206" s="1749"/>
      <c r="D206" s="277" t="s">
        <v>346</v>
      </c>
      <c r="E206" s="925"/>
      <c r="F206" s="920"/>
      <c r="G206" s="68"/>
      <c r="H206" s="92"/>
      <c r="I206" s="68"/>
      <c r="J206" s="68"/>
      <c r="K206" s="728"/>
      <c r="L206" s="270"/>
      <c r="M206" s="270"/>
      <c r="N206" s="66"/>
    </row>
    <row r="207" spans="1:14" ht="13.5" customHeight="1" x14ac:dyDescent="0.2">
      <c r="A207" s="719"/>
      <c r="B207" s="737"/>
      <c r="C207" s="1749"/>
      <c r="D207" s="277" t="s">
        <v>251</v>
      </c>
      <c r="E207" s="925"/>
      <c r="F207" s="920"/>
      <c r="G207" s="68"/>
      <c r="H207" s="92"/>
      <c r="I207" s="68"/>
      <c r="J207" s="68"/>
      <c r="K207" s="728"/>
      <c r="L207" s="270"/>
      <c r="M207" s="270"/>
      <c r="N207" s="66"/>
    </row>
    <row r="208" spans="1:14" ht="25.5" customHeight="1" x14ac:dyDescent="0.2">
      <c r="A208" s="719"/>
      <c r="B208" s="737"/>
      <c r="C208" s="1749"/>
      <c r="D208" s="557" t="s">
        <v>252</v>
      </c>
      <c r="E208" s="925"/>
      <c r="F208" s="920"/>
      <c r="G208" s="68"/>
      <c r="H208" s="92"/>
      <c r="I208" s="68"/>
      <c r="J208" s="68"/>
      <c r="K208" s="728"/>
      <c r="L208" s="270"/>
      <c r="M208" s="270"/>
      <c r="N208" s="66"/>
    </row>
    <row r="209" spans="1:14" ht="25.5" customHeight="1" x14ac:dyDescent="0.2">
      <c r="A209" s="719"/>
      <c r="B209" s="737"/>
      <c r="C209" s="1750"/>
      <c r="D209" s="555" t="s">
        <v>347</v>
      </c>
      <c r="E209" s="925"/>
      <c r="F209" s="918"/>
      <c r="G209" s="68"/>
      <c r="H209" s="92"/>
      <c r="I209" s="68"/>
      <c r="J209" s="68"/>
      <c r="K209" s="767"/>
      <c r="L209" s="45"/>
      <c r="M209" s="45"/>
      <c r="N209" s="202"/>
    </row>
    <row r="210" spans="1:14" ht="27.75" customHeight="1" x14ac:dyDescent="0.2">
      <c r="A210" s="719"/>
      <c r="B210" s="737"/>
      <c r="C210" s="1751" t="s">
        <v>248</v>
      </c>
      <c r="D210" s="923" t="s">
        <v>348</v>
      </c>
      <c r="E210" s="925"/>
      <c r="F210" s="920"/>
      <c r="G210" s="68"/>
      <c r="H210" s="92"/>
      <c r="I210" s="68"/>
      <c r="J210" s="68"/>
      <c r="K210" s="736" t="s">
        <v>68</v>
      </c>
      <c r="L210" s="270"/>
      <c r="M210" s="270">
        <v>5.7</v>
      </c>
      <c r="N210" s="66"/>
    </row>
    <row r="211" spans="1:14" ht="13.5" customHeight="1" x14ac:dyDescent="0.2">
      <c r="A211" s="719"/>
      <c r="B211" s="737"/>
      <c r="C211" s="1749"/>
      <c r="D211" s="277" t="s">
        <v>255</v>
      </c>
      <c r="E211" s="925"/>
      <c r="F211" s="920"/>
      <c r="G211" s="68"/>
      <c r="H211" s="92"/>
      <c r="I211" s="68"/>
      <c r="J211" s="68"/>
      <c r="K211" s="728"/>
      <c r="L211" s="270"/>
      <c r="M211" s="270"/>
      <c r="N211" s="66"/>
    </row>
    <row r="212" spans="1:14" ht="27.75" customHeight="1" x14ac:dyDescent="0.2">
      <c r="A212" s="719"/>
      <c r="B212" s="737"/>
      <c r="C212" s="1749"/>
      <c r="D212" s="277" t="s">
        <v>349</v>
      </c>
      <c r="E212" s="925"/>
      <c r="F212" s="920"/>
      <c r="G212" s="68"/>
      <c r="H212" s="92"/>
      <c r="I212" s="68"/>
      <c r="J212" s="68"/>
      <c r="K212" s="728"/>
      <c r="L212" s="270"/>
      <c r="M212" s="270"/>
      <c r="N212" s="66"/>
    </row>
    <row r="213" spans="1:14" ht="15.75" customHeight="1" x14ac:dyDescent="0.2">
      <c r="A213" s="719"/>
      <c r="B213" s="737"/>
      <c r="C213" s="1749"/>
      <c r="D213" s="559" t="s">
        <v>257</v>
      </c>
      <c r="E213" s="925"/>
      <c r="F213" s="920"/>
      <c r="G213" s="68"/>
      <c r="H213" s="92"/>
      <c r="I213" s="68"/>
      <c r="J213" s="68"/>
      <c r="K213" s="728"/>
      <c r="L213" s="270"/>
      <c r="M213" s="270"/>
      <c r="N213" s="66"/>
    </row>
    <row r="214" spans="1:14" ht="15" customHeight="1" x14ac:dyDescent="0.2">
      <c r="A214" s="719"/>
      <c r="B214" s="737"/>
      <c r="C214" s="1749"/>
      <c r="D214" s="559" t="s">
        <v>258</v>
      </c>
      <c r="E214" s="925"/>
      <c r="F214" s="920"/>
      <c r="G214" s="68"/>
      <c r="H214" s="92"/>
      <c r="I214" s="68"/>
      <c r="J214" s="68"/>
      <c r="K214" s="728"/>
      <c r="L214" s="270"/>
      <c r="M214" s="270"/>
      <c r="N214" s="66"/>
    </row>
    <row r="215" spans="1:14" ht="14.25" customHeight="1" x14ac:dyDescent="0.2">
      <c r="A215" s="719"/>
      <c r="B215" s="737"/>
      <c r="C215" s="1749"/>
      <c r="D215" s="559" t="s">
        <v>259</v>
      </c>
      <c r="E215" s="925"/>
      <c r="F215" s="920"/>
      <c r="G215" s="68"/>
      <c r="H215" s="92"/>
      <c r="I215" s="68"/>
      <c r="J215" s="68"/>
      <c r="K215" s="728"/>
      <c r="L215" s="270"/>
      <c r="M215" s="270"/>
      <c r="N215" s="66"/>
    </row>
    <row r="216" spans="1:14" ht="12.75" customHeight="1" x14ac:dyDescent="0.2">
      <c r="A216" s="849"/>
      <c r="B216" s="850"/>
      <c r="C216" s="1749"/>
      <c r="D216" s="923" t="s">
        <v>244</v>
      </c>
      <c r="E216" s="925"/>
      <c r="F216" s="920"/>
      <c r="G216" s="68"/>
      <c r="H216" s="92"/>
      <c r="I216" s="68"/>
      <c r="J216" s="68"/>
      <c r="K216" s="848"/>
      <c r="L216" s="270"/>
      <c r="M216" s="270"/>
      <c r="N216" s="66"/>
    </row>
    <row r="217" spans="1:14" ht="15.75" customHeight="1" x14ac:dyDescent="0.2">
      <c r="A217" s="719"/>
      <c r="B217" s="737"/>
      <c r="C217" s="1750"/>
      <c r="D217" s="922" t="s">
        <v>260</v>
      </c>
      <c r="E217" s="925"/>
      <c r="F217" s="920"/>
      <c r="G217" s="68"/>
      <c r="H217" s="92"/>
      <c r="I217" s="68"/>
      <c r="J217" s="68"/>
      <c r="K217" s="767"/>
      <c r="L217" s="45"/>
      <c r="M217" s="45"/>
      <c r="N217" s="202"/>
    </row>
    <row r="218" spans="1:14" ht="16.5" customHeight="1" x14ac:dyDescent="0.2">
      <c r="A218" s="719"/>
      <c r="B218" s="737"/>
      <c r="C218" s="1751" t="s">
        <v>249</v>
      </c>
      <c r="D218" s="921" t="s">
        <v>350</v>
      </c>
      <c r="E218" s="925"/>
      <c r="F218" s="920"/>
      <c r="G218" s="68"/>
      <c r="H218" s="92"/>
      <c r="I218" s="68"/>
      <c r="J218" s="68"/>
      <c r="K218" s="736" t="s">
        <v>68</v>
      </c>
      <c r="L218" s="53"/>
      <c r="M218" s="53"/>
      <c r="N218" s="230">
        <v>6.5</v>
      </c>
    </row>
    <row r="219" spans="1:14" ht="29.25" customHeight="1" x14ac:dyDescent="0.2">
      <c r="A219" s="719"/>
      <c r="B219" s="737"/>
      <c r="C219" s="1749"/>
      <c r="D219" s="277" t="s">
        <v>351</v>
      </c>
      <c r="E219" s="925"/>
      <c r="F219" s="920"/>
      <c r="G219" s="68"/>
      <c r="H219" s="92"/>
      <c r="I219" s="68"/>
      <c r="J219" s="68"/>
      <c r="K219" s="728"/>
      <c r="L219" s="270"/>
      <c r="M219" s="270"/>
      <c r="N219" s="66"/>
    </row>
    <row r="220" spans="1:14" ht="15.75" customHeight="1" x14ac:dyDescent="0.2">
      <c r="A220" s="719"/>
      <c r="B220" s="737"/>
      <c r="C220" s="1749"/>
      <c r="D220" s="277" t="s">
        <v>263</v>
      </c>
      <c r="E220" s="925"/>
      <c r="F220" s="920"/>
      <c r="G220" s="68"/>
      <c r="H220" s="92"/>
      <c r="I220" s="68"/>
      <c r="J220" s="68"/>
      <c r="K220" s="728"/>
      <c r="L220" s="270"/>
      <c r="M220" s="270"/>
      <c r="N220" s="66"/>
    </row>
    <row r="221" spans="1:14" ht="16.5" customHeight="1" x14ac:dyDescent="0.2">
      <c r="A221" s="719"/>
      <c r="B221" s="737"/>
      <c r="C221" s="1750"/>
      <c r="D221" s="922" t="s">
        <v>352</v>
      </c>
      <c r="E221" s="925"/>
      <c r="F221" s="920"/>
      <c r="G221" s="68"/>
      <c r="H221" s="92"/>
      <c r="I221" s="68"/>
      <c r="J221" s="68"/>
      <c r="K221" s="767"/>
      <c r="L221" s="45"/>
      <c r="M221" s="45"/>
      <c r="N221" s="202"/>
    </row>
    <row r="222" spans="1:14" ht="29.25" customHeight="1" x14ac:dyDescent="0.2">
      <c r="A222" s="1478"/>
      <c r="B222" s="1479"/>
      <c r="C222" s="263"/>
      <c r="D222" s="1826" t="s">
        <v>111</v>
      </c>
      <c r="E222" s="1493"/>
      <c r="F222" s="1482"/>
      <c r="G222" s="68"/>
      <c r="H222" s="92"/>
      <c r="I222" s="68"/>
      <c r="J222" s="68"/>
      <c r="K222" s="1489" t="s">
        <v>213</v>
      </c>
      <c r="L222" s="402">
        <v>0.2</v>
      </c>
      <c r="M222" s="402">
        <v>0.2</v>
      </c>
      <c r="N222" s="405">
        <v>0.2</v>
      </c>
    </row>
    <row r="223" spans="1:14" ht="26.25" customHeight="1" x14ac:dyDescent="0.2">
      <c r="A223" s="1478"/>
      <c r="B223" s="1479"/>
      <c r="C223" s="263"/>
      <c r="D223" s="1827"/>
      <c r="E223" s="1493"/>
      <c r="F223" s="1482"/>
      <c r="G223" s="68"/>
      <c r="H223" s="92"/>
      <c r="I223" s="68"/>
      <c r="J223" s="68"/>
      <c r="K223" s="340" t="s">
        <v>40</v>
      </c>
      <c r="L223" s="341">
        <v>4</v>
      </c>
      <c r="M223" s="341">
        <v>4</v>
      </c>
      <c r="N223" s="342">
        <v>4</v>
      </c>
    </row>
    <row r="224" spans="1:14" ht="17.25" customHeight="1" x14ac:dyDescent="0.2">
      <c r="A224" s="1585"/>
      <c r="B224" s="1586"/>
      <c r="C224" s="263"/>
      <c r="D224" s="1828"/>
      <c r="E224" s="1590"/>
      <c r="F224" s="1588"/>
      <c r="G224" s="280"/>
      <c r="H224" s="962"/>
      <c r="I224" s="280"/>
      <c r="J224" s="280"/>
      <c r="K224" s="1490" t="s">
        <v>67</v>
      </c>
      <c r="L224" s="300">
        <v>54.6</v>
      </c>
      <c r="M224" s="300">
        <v>54.6</v>
      </c>
      <c r="N224" s="445">
        <v>54.6</v>
      </c>
    </row>
    <row r="225" spans="1:14" ht="15.75" customHeight="1" x14ac:dyDescent="0.2">
      <c r="A225" s="1837"/>
      <c r="B225" s="1832"/>
      <c r="C225" s="1833"/>
      <c r="D225" s="1770" t="s">
        <v>53</v>
      </c>
      <c r="E225" s="925"/>
      <c r="F225" s="920"/>
      <c r="G225" s="68"/>
      <c r="H225" s="92"/>
      <c r="I225" s="68"/>
      <c r="J225" s="68"/>
      <c r="K225" s="1835" t="s">
        <v>396</v>
      </c>
      <c r="L225" s="40" t="s">
        <v>168</v>
      </c>
      <c r="M225" s="40" t="s">
        <v>168</v>
      </c>
      <c r="N225" s="233" t="s">
        <v>169</v>
      </c>
    </row>
    <row r="226" spans="1:14" ht="12.75" customHeight="1" x14ac:dyDescent="0.2">
      <c r="A226" s="1837"/>
      <c r="B226" s="1832"/>
      <c r="C226" s="1833"/>
      <c r="D226" s="1838"/>
      <c r="E226" s="925"/>
      <c r="F226" s="920"/>
      <c r="G226" s="68"/>
      <c r="H226" s="92"/>
      <c r="I226" s="68"/>
      <c r="J226" s="68"/>
      <c r="K226" s="1862"/>
      <c r="L226" s="45"/>
      <c r="M226" s="45"/>
      <c r="N226" s="202"/>
    </row>
    <row r="227" spans="1:14" ht="15" customHeight="1" x14ac:dyDescent="0.2">
      <c r="A227" s="1837"/>
      <c r="B227" s="1832"/>
      <c r="C227" s="1833"/>
      <c r="D227" s="1839" t="s">
        <v>265</v>
      </c>
      <c r="E227" s="1834"/>
      <c r="F227" s="1833"/>
      <c r="G227" s="68"/>
      <c r="H227" s="92"/>
      <c r="I227" s="68"/>
      <c r="J227" s="68"/>
      <c r="K227" s="1779" t="s">
        <v>372</v>
      </c>
      <c r="L227" s="53">
        <v>44.6</v>
      </c>
      <c r="M227" s="53">
        <v>44.6</v>
      </c>
      <c r="N227" s="565">
        <v>44.6</v>
      </c>
    </row>
    <row r="228" spans="1:14" ht="12" customHeight="1" x14ac:dyDescent="0.2">
      <c r="A228" s="1837"/>
      <c r="B228" s="1832"/>
      <c r="C228" s="1833"/>
      <c r="D228" s="1785"/>
      <c r="E228" s="1834"/>
      <c r="F228" s="1833"/>
      <c r="G228" s="68"/>
      <c r="H228" s="92"/>
      <c r="I228" s="68"/>
      <c r="J228" s="68"/>
      <c r="K228" s="1780"/>
      <c r="L228" s="180"/>
      <c r="M228" s="180"/>
      <c r="N228" s="550"/>
    </row>
    <row r="229" spans="1:14" ht="21.75" customHeight="1" x14ac:dyDescent="0.2">
      <c r="A229" s="1837"/>
      <c r="B229" s="1832"/>
      <c r="C229" s="1833"/>
      <c r="D229" s="1785"/>
      <c r="E229" s="1834"/>
      <c r="F229" s="1833"/>
      <c r="G229" s="68"/>
      <c r="H229" s="92"/>
      <c r="I229" s="68"/>
      <c r="J229" s="68"/>
      <c r="K229" s="1835" t="s">
        <v>208</v>
      </c>
      <c r="L229" s="1777">
        <v>100</v>
      </c>
      <c r="M229" s="1781"/>
      <c r="N229" s="1856"/>
    </row>
    <row r="230" spans="1:14" ht="19.5" customHeight="1" x14ac:dyDescent="0.2">
      <c r="A230" s="1837"/>
      <c r="B230" s="1832"/>
      <c r="C230" s="1833"/>
      <c r="D230" s="448"/>
      <c r="E230" s="1834"/>
      <c r="F230" s="1833"/>
      <c r="G230" s="68"/>
      <c r="H230" s="92"/>
      <c r="I230" s="68"/>
      <c r="J230" s="68"/>
      <c r="K230" s="1836"/>
      <c r="L230" s="1778"/>
      <c r="M230" s="1778"/>
      <c r="N230" s="1857"/>
    </row>
    <row r="231" spans="1:14" ht="18.75" customHeight="1" x14ac:dyDescent="0.2">
      <c r="A231" s="719"/>
      <c r="B231" s="737"/>
      <c r="C231" s="724"/>
      <c r="D231" s="1858" t="s">
        <v>110</v>
      </c>
      <c r="E231" s="925"/>
      <c r="F231" s="920"/>
      <c r="G231" s="68"/>
      <c r="H231" s="92"/>
      <c r="I231" s="68"/>
      <c r="J231" s="68"/>
      <c r="K231" s="1860" t="s">
        <v>199</v>
      </c>
      <c r="L231" s="403">
        <v>20</v>
      </c>
      <c r="M231" s="327">
        <v>15</v>
      </c>
      <c r="N231" s="186">
        <v>15</v>
      </c>
    </row>
    <row r="232" spans="1:14" ht="14.25" customHeight="1" x14ac:dyDescent="0.2">
      <c r="A232" s="719"/>
      <c r="B232" s="737"/>
      <c r="C232" s="724"/>
      <c r="D232" s="1859"/>
      <c r="E232" s="925"/>
      <c r="F232" s="920"/>
      <c r="G232" s="68"/>
      <c r="H232" s="92"/>
      <c r="I232" s="68"/>
      <c r="J232" s="68"/>
      <c r="K232" s="1861"/>
      <c r="L232" s="22"/>
      <c r="M232" s="22"/>
      <c r="N232" s="185"/>
    </row>
    <row r="233" spans="1:14" ht="21.75" customHeight="1" x14ac:dyDescent="0.2">
      <c r="A233" s="738"/>
      <c r="B233" s="737"/>
      <c r="C233" s="730"/>
      <c r="D233" s="919" t="s">
        <v>39</v>
      </c>
      <c r="E233" s="754"/>
      <c r="F233" s="730"/>
      <c r="G233" s="62"/>
      <c r="H233" s="95"/>
      <c r="I233" s="67"/>
      <c r="J233" s="67"/>
      <c r="K233" s="736" t="s">
        <v>55</v>
      </c>
      <c r="L233" s="725">
        <v>14</v>
      </c>
      <c r="M233" s="725">
        <v>15</v>
      </c>
      <c r="N233" s="732">
        <v>15</v>
      </c>
    </row>
    <row r="234" spans="1:14" ht="14.25" customHeight="1" thickBot="1" x14ac:dyDescent="0.25">
      <c r="A234" s="75"/>
      <c r="B234" s="760"/>
      <c r="C234" s="104"/>
      <c r="D234" s="764"/>
      <c r="E234" s="798"/>
      <c r="F234" s="56"/>
      <c r="G234" s="156" t="s">
        <v>6</v>
      </c>
      <c r="H234" s="244">
        <f>SUM(H197:H233)</f>
        <v>6031.3</v>
      </c>
      <c r="I234" s="244">
        <f>SUM(I197:I233)</f>
        <v>4551.6000000000004</v>
      </c>
      <c r="J234" s="244">
        <f>SUM(J197:J233)</f>
        <v>4660</v>
      </c>
      <c r="K234" s="797"/>
      <c r="L234" s="219"/>
      <c r="M234" s="219"/>
      <c r="N234" s="799"/>
    </row>
    <row r="235" spans="1:14" ht="28.5" customHeight="1" x14ac:dyDescent="0.2">
      <c r="A235" s="738" t="s">
        <v>5</v>
      </c>
      <c r="B235" s="737" t="s">
        <v>33</v>
      </c>
      <c r="C235" s="263" t="s">
        <v>7</v>
      </c>
      <c r="D235" s="1769" t="s">
        <v>181</v>
      </c>
      <c r="E235" s="1772" t="s">
        <v>47</v>
      </c>
      <c r="F235" s="1755" t="s">
        <v>43</v>
      </c>
      <c r="G235" s="68" t="s">
        <v>25</v>
      </c>
      <c r="H235" s="92">
        <f>100-30-34-10.2</f>
        <v>25.8</v>
      </c>
      <c r="I235" s="68">
        <f>194.1+10.2</f>
        <v>204.3</v>
      </c>
      <c r="J235" s="68"/>
      <c r="K235" s="690" t="s">
        <v>191</v>
      </c>
      <c r="L235" s="236"/>
      <c r="M235" s="236">
        <v>1</v>
      </c>
      <c r="N235" s="237"/>
    </row>
    <row r="236" spans="1:14" ht="27" customHeight="1" x14ac:dyDescent="0.2">
      <c r="A236" s="738"/>
      <c r="B236" s="737"/>
      <c r="C236" s="263"/>
      <c r="D236" s="1770"/>
      <c r="E236" s="1772"/>
      <c r="F236" s="1755"/>
      <c r="G236" s="68" t="s">
        <v>62</v>
      </c>
      <c r="H236" s="92">
        <v>64</v>
      </c>
      <c r="I236" s="68"/>
      <c r="J236" s="68"/>
      <c r="K236" s="94" t="s">
        <v>324</v>
      </c>
      <c r="L236" s="27">
        <v>100</v>
      </c>
      <c r="M236" s="27"/>
      <c r="N236" s="255"/>
    </row>
    <row r="237" spans="1:14" ht="15.75" customHeight="1" x14ac:dyDescent="0.2">
      <c r="A237" s="738"/>
      <c r="B237" s="737"/>
      <c r="C237" s="263"/>
      <c r="D237" s="1770"/>
      <c r="E237" s="1772"/>
      <c r="F237" s="1756"/>
      <c r="G237" s="67"/>
      <c r="H237" s="95"/>
      <c r="I237" s="67"/>
      <c r="J237" s="67"/>
      <c r="K237" s="1758" t="s">
        <v>186</v>
      </c>
      <c r="L237" s="40"/>
      <c r="M237" s="40" t="s">
        <v>116</v>
      </c>
      <c r="N237" s="233"/>
    </row>
    <row r="238" spans="1:14" ht="17.25" customHeight="1" thickBot="1" x14ac:dyDescent="0.25">
      <c r="A238" s="75"/>
      <c r="B238" s="760"/>
      <c r="C238" s="104"/>
      <c r="D238" s="1771"/>
      <c r="E238" s="1773"/>
      <c r="F238" s="1757"/>
      <c r="G238" s="156" t="s">
        <v>6</v>
      </c>
      <c r="H238" s="244">
        <f>SUM(H235:H237)</f>
        <v>89.8</v>
      </c>
      <c r="I238" s="156">
        <f>SUM(I235:I237)</f>
        <v>204.3</v>
      </c>
      <c r="J238" s="156">
        <f t="shared" ref="J238" si="7">SUM(J235:J237)</f>
        <v>0</v>
      </c>
      <c r="K238" s="1759"/>
      <c r="L238" s="235"/>
      <c r="M238" s="235"/>
      <c r="N238" s="234"/>
    </row>
    <row r="239" spans="1:14" ht="14.25" customHeight="1" thickBot="1" x14ac:dyDescent="0.25">
      <c r="A239" s="75" t="s">
        <v>5</v>
      </c>
      <c r="B239" s="760" t="s">
        <v>33</v>
      </c>
      <c r="C239" s="1760" t="s">
        <v>8</v>
      </c>
      <c r="D239" s="1760"/>
      <c r="E239" s="1760"/>
      <c r="F239" s="1760"/>
      <c r="G239" s="1761"/>
      <c r="H239" s="433">
        <f t="shared" ref="H239:J239" si="8">H238+H234</f>
        <v>6121.1</v>
      </c>
      <c r="I239" s="159">
        <f t="shared" si="8"/>
        <v>4755.8999999999996</v>
      </c>
      <c r="J239" s="159">
        <f t="shared" si="8"/>
        <v>4660</v>
      </c>
      <c r="K239" s="1762"/>
      <c r="L239" s="1762"/>
      <c r="M239" s="1762"/>
      <c r="N239" s="1763"/>
    </row>
    <row r="240" spans="1:14" ht="14.25" customHeight="1" thickBot="1" x14ac:dyDescent="0.25">
      <c r="A240" s="99" t="s">
        <v>5</v>
      </c>
      <c r="B240" s="1764" t="s">
        <v>9</v>
      </c>
      <c r="C240" s="1765"/>
      <c r="D240" s="1765"/>
      <c r="E240" s="1765"/>
      <c r="F240" s="1765"/>
      <c r="G240" s="1766"/>
      <c r="H240" s="160">
        <f>H239+H195+H155+H119</f>
        <v>28292.799999999999</v>
      </c>
      <c r="I240" s="160">
        <f>I239+I195+I155+I119</f>
        <v>36680</v>
      </c>
      <c r="J240" s="160">
        <f>J239+J195+J155+J119</f>
        <v>29856.7</v>
      </c>
      <c r="K240" s="1767"/>
      <c r="L240" s="1767"/>
      <c r="M240" s="1767"/>
      <c r="N240" s="1768"/>
    </row>
    <row r="241" spans="1:53" ht="14.25" customHeight="1" thickBot="1" x14ac:dyDescent="0.25">
      <c r="A241" s="110" t="s">
        <v>35</v>
      </c>
      <c r="B241" s="1823" t="s">
        <v>58</v>
      </c>
      <c r="C241" s="1824"/>
      <c r="D241" s="1824"/>
      <c r="E241" s="1824"/>
      <c r="F241" s="1824"/>
      <c r="G241" s="1825"/>
      <c r="H241" s="161">
        <f t="shared" ref="H241:J241" si="9">SUM(H240)</f>
        <v>28292.799999999999</v>
      </c>
      <c r="I241" s="161">
        <f>SUM(I240)</f>
        <v>36680</v>
      </c>
      <c r="J241" s="161">
        <f t="shared" si="9"/>
        <v>29856.7</v>
      </c>
      <c r="K241" s="1840"/>
      <c r="L241" s="1840"/>
      <c r="M241" s="1840"/>
      <c r="N241" s="1841"/>
    </row>
    <row r="242" spans="1:53" s="5" customFormat="1" ht="15" customHeight="1" x14ac:dyDescent="0.2">
      <c r="A242" s="816"/>
      <c r="B242" s="1344"/>
      <c r="C242" s="1344"/>
      <c r="D242" s="1344"/>
      <c r="E242" s="1344"/>
      <c r="F242" s="1344"/>
      <c r="G242" s="1344"/>
      <c r="H242" s="1344"/>
      <c r="I242" s="1344"/>
      <c r="J242" s="1344"/>
      <c r="K242" s="1344"/>
      <c r="L242" s="1344"/>
      <c r="M242" s="1344"/>
      <c r="N242" s="134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row>
    <row r="243" spans="1:53" s="4" customFormat="1" ht="17.25" customHeight="1" x14ac:dyDescent="0.2">
      <c r="A243" s="1342"/>
      <c r="B243" s="1345"/>
      <c r="C243" s="1345"/>
      <c r="D243" s="1345"/>
      <c r="E243" s="1345"/>
      <c r="F243" s="1345"/>
      <c r="G243" s="1345"/>
      <c r="H243" s="1346"/>
      <c r="I243" s="1345"/>
      <c r="J243" s="1345"/>
      <c r="K243" s="1345"/>
      <c r="L243" s="1342"/>
      <c r="M243" s="1342"/>
      <c r="N243" s="1342"/>
    </row>
    <row r="244" spans="1:53" s="5" customFormat="1" ht="15" customHeight="1" thickBot="1" x14ac:dyDescent="0.25">
      <c r="A244" s="1842" t="s">
        <v>13</v>
      </c>
      <c r="B244" s="1842"/>
      <c r="C244" s="1842"/>
      <c r="D244" s="1842"/>
      <c r="E244" s="1842"/>
      <c r="F244" s="1842"/>
      <c r="G244" s="1842"/>
      <c r="H244" s="171"/>
      <c r="I244" s="171"/>
      <c r="J244" s="171"/>
      <c r="K244" s="111"/>
      <c r="L244" s="111"/>
      <c r="M244" s="111"/>
      <c r="N244" s="111"/>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row>
    <row r="245" spans="1:53" ht="62.25" customHeight="1" thickBot="1" x14ac:dyDescent="0.25">
      <c r="A245" s="1752" t="s">
        <v>10</v>
      </c>
      <c r="B245" s="1753"/>
      <c r="C245" s="1753"/>
      <c r="D245" s="1753"/>
      <c r="E245" s="1753"/>
      <c r="F245" s="1753"/>
      <c r="G245" s="1754"/>
      <c r="H245" s="744" t="s">
        <v>353</v>
      </c>
      <c r="I245" s="58" t="s">
        <v>354</v>
      </c>
      <c r="J245" s="58" t="s">
        <v>215</v>
      </c>
      <c r="K245" s="14"/>
      <c r="L245" s="14"/>
      <c r="M245" s="14"/>
      <c r="N245" s="14"/>
    </row>
    <row r="246" spans="1:53" ht="14.25" customHeight="1" x14ac:dyDescent="0.2">
      <c r="A246" s="1814" t="s">
        <v>14</v>
      </c>
      <c r="B246" s="1815"/>
      <c r="C246" s="1815"/>
      <c r="D246" s="1815"/>
      <c r="E246" s="1815"/>
      <c r="F246" s="1815"/>
      <c r="G246" s="1816"/>
      <c r="H246" s="745">
        <f>H247+H253+H254+H255</f>
        <v>26015.5</v>
      </c>
      <c r="I246" s="335">
        <f>I247+I253+I254+I255</f>
        <v>34323.4</v>
      </c>
      <c r="J246" s="335">
        <f>J247+J253+J254+J255</f>
        <v>27132.7</v>
      </c>
      <c r="K246" s="14"/>
      <c r="L246" s="14"/>
      <c r="M246" s="14"/>
      <c r="N246" s="14"/>
    </row>
    <row r="247" spans="1:53" ht="14.25" customHeight="1" x14ac:dyDescent="0.2">
      <c r="A247" s="1817" t="s">
        <v>97</v>
      </c>
      <c r="B247" s="1818"/>
      <c r="C247" s="1818"/>
      <c r="D247" s="1818"/>
      <c r="E247" s="1818"/>
      <c r="F247" s="1818"/>
      <c r="G247" s="1819"/>
      <c r="H247" s="746">
        <f>SUM(H248:H252)</f>
        <v>18063.2</v>
      </c>
      <c r="I247" s="252">
        <f>SUM(I248:I252)</f>
        <v>34093</v>
      </c>
      <c r="J247" s="252">
        <f>SUM(J248:J252)</f>
        <v>27132.7</v>
      </c>
      <c r="K247" s="14"/>
      <c r="L247" s="14"/>
      <c r="M247" s="14"/>
      <c r="N247" s="14"/>
    </row>
    <row r="248" spans="1:53" ht="14.25" customHeight="1" x14ac:dyDescent="0.2">
      <c r="A248" s="1820" t="s">
        <v>19</v>
      </c>
      <c r="B248" s="1821"/>
      <c r="C248" s="1821"/>
      <c r="D248" s="1821"/>
      <c r="E248" s="1821"/>
      <c r="F248" s="1821"/>
      <c r="G248" s="1822"/>
      <c r="H248" s="747">
        <f>SUMIF(G12:G241,"SB",H12:H241)</f>
        <v>10933.2</v>
      </c>
      <c r="I248" s="67">
        <f>SUMIF(G12:G241,"SB",I12:I241)</f>
        <v>20443.8</v>
      </c>
      <c r="J248" s="67">
        <f>SUMIF(G12:G241,"SB",J12:J241)</f>
        <v>19295.5</v>
      </c>
      <c r="K248" s="14"/>
      <c r="L248" s="14"/>
      <c r="M248" s="14"/>
      <c r="N248" s="14"/>
    </row>
    <row r="249" spans="1:53" ht="14.25" customHeight="1" x14ac:dyDescent="0.2">
      <c r="A249" s="1774" t="s">
        <v>20</v>
      </c>
      <c r="B249" s="1775"/>
      <c r="C249" s="1775"/>
      <c r="D249" s="1775"/>
      <c r="E249" s="1775"/>
      <c r="F249" s="1775"/>
      <c r="G249" s="1776"/>
      <c r="H249" s="748">
        <f>SUMIF(G18:G241,"SB(P)",H18:H241)</f>
        <v>0</v>
      </c>
      <c r="I249" s="61">
        <f>SUMIF(G18:G241,"SB(P)",I18:I241)</f>
        <v>0</v>
      </c>
      <c r="J249" s="61">
        <f>SUMIF(G18:G241,"SB(P)",J18:J241)</f>
        <v>0</v>
      </c>
      <c r="K249" s="14"/>
      <c r="L249" s="14"/>
      <c r="M249" s="14"/>
      <c r="N249" s="14"/>
    </row>
    <row r="250" spans="1:53" ht="14.25" customHeight="1" x14ac:dyDescent="0.2">
      <c r="A250" s="1774" t="s">
        <v>71</v>
      </c>
      <c r="B250" s="1775"/>
      <c r="C250" s="1775"/>
      <c r="D250" s="1775"/>
      <c r="E250" s="1775"/>
      <c r="F250" s="1775"/>
      <c r="G250" s="1776"/>
      <c r="H250" s="747">
        <f>SUMIF(G18:G241,"SB(VR)",H18:H241)</f>
        <v>1506.4</v>
      </c>
      <c r="I250" s="67">
        <f>SUMIF(G18:G241,"SB(VR)",I18:I241)</f>
        <v>1160.4000000000001</v>
      </c>
      <c r="J250" s="67">
        <f>SUMIF(G18:G241,"SB(VR)",J18:J241)</f>
        <v>1312.3</v>
      </c>
      <c r="K250" s="14"/>
      <c r="L250" s="14"/>
      <c r="M250" s="14"/>
      <c r="N250" s="14"/>
    </row>
    <row r="251" spans="1:53" ht="14.25" customHeight="1" x14ac:dyDescent="0.2">
      <c r="A251" s="1811" t="s">
        <v>104</v>
      </c>
      <c r="B251" s="1812"/>
      <c r="C251" s="1812"/>
      <c r="D251" s="1812"/>
      <c r="E251" s="1812"/>
      <c r="F251" s="1812"/>
      <c r="G251" s="1813"/>
      <c r="H251" s="747">
        <f>SUMIF(G18:G240,"SB(KPP)",H18:H240)</f>
        <v>3999.1</v>
      </c>
      <c r="I251" s="61">
        <f>SUMIF(G18:G240,"SB(KPP)",I18:I240)</f>
        <v>8018.1</v>
      </c>
      <c r="J251" s="61">
        <f>SUMIF(G18:G240,"SB(KPP)",J18:J240)</f>
        <v>6375</v>
      </c>
      <c r="K251" s="14"/>
      <c r="L251" s="14"/>
      <c r="M251" s="14"/>
      <c r="N251" s="14"/>
    </row>
    <row r="252" spans="1:53" ht="25.5" customHeight="1" x14ac:dyDescent="0.2">
      <c r="A252" s="1804" t="s">
        <v>355</v>
      </c>
      <c r="B252" s="1805"/>
      <c r="C252" s="1805"/>
      <c r="D252" s="1805"/>
      <c r="E252" s="1805"/>
      <c r="F252" s="1805"/>
      <c r="G252" s="1806"/>
      <c r="H252" s="748">
        <f>SUMIF(G15:G235,"SB(ES)",H15:H235)</f>
        <v>1624.5</v>
      </c>
      <c r="I252" s="61">
        <f>SUMIF(G15:G235,"SB(ES)",I15:I235)</f>
        <v>4470.7</v>
      </c>
      <c r="J252" s="61">
        <f>SUMIF(G15:G235,"SB(ES)",J15:J235)</f>
        <v>149.9</v>
      </c>
      <c r="K252" s="14"/>
      <c r="L252" s="14"/>
      <c r="M252" s="14"/>
      <c r="N252" s="14"/>
    </row>
    <row r="253" spans="1:53" ht="14.25" customHeight="1" x14ac:dyDescent="0.2">
      <c r="A253" s="1807" t="s">
        <v>102</v>
      </c>
      <c r="B253" s="1808"/>
      <c r="C253" s="1808"/>
      <c r="D253" s="1808"/>
      <c r="E253" s="1808"/>
      <c r="F253" s="1808"/>
      <c r="G253" s="1809"/>
      <c r="H253" s="749">
        <f>SUMIF(G18:G240,"SB(VRL)",H18:H240)</f>
        <v>768.9</v>
      </c>
      <c r="I253" s="336">
        <f>SUMIF(G21:G240,"SB(VRL)",I21:I240)</f>
        <v>0</v>
      </c>
      <c r="J253" s="336">
        <f>SUMIF(G18:G240,"SB(VRL)",J18:J240)</f>
        <v>0</v>
      </c>
      <c r="K253" s="14"/>
      <c r="L253" s="14"/>
      <c r="M253" s="14"/>
      <c r="N253" s="14"/>
    </row>
    <row r="254" spans="1:53" ht="14.25" customHeight="1" x14ac:dyDescent="0.2">
      <c r="A254" s="1810" t="s">
        <v>103</v>
      </c>
      <c r="B254" s="1808"/>
      <c r="C254" s="1808"/>
      <c r="D254" s="1808"/>
      <c r="E254" s="1808"/>
      <c r="F254" s="1808"/>
      <c r="G254" s="1809"/>
      <c r="H254" s="749">
        <f>SUMIF(G15:G241,"SB(ŽPL)",H15:H241)</f>
        <v>1527.4</v>
      </c>
      <c r="I254" s="336">
        <f>SUMIF(G10:G241,"SB(ŽPL)",I10:I241)</f>
        <v>198.4</v>
      </c>
      <c r="J254" s="336">
        <f>SUMIF(G18:G241,"SB(ŽPL)",J18:J241)</f>
        <v>0</v>
      </c>
      <c r="K254" s="14"/>
      <c r="L254" s="14"/>
      <c r="M254" s="14"/>
      <c r="N254" s="14"/>
    </row>
    <row r="255" spans="1:53" ht="14.25" customHeight="1" x14ac:dyDescent="0.2">
      <c r="A255" s="1798" t="s">
        <v>221</v>
      </c>
      <c r="B255" s="1799"/>
      <c r="C255" s="1799"/>
      <c r="D255" s="1799"/>
      <c r="E255" s="1799"/>
      <c r="F255" s="1799"/>
      <c r="G255" s="1800"/>
      <c r="H255" s="749">
        <f>SUMIF(G13:G241,"SB(L)",H13:H241)</f>
        <v>5656</v>
      </c>
      <c r="I255" s="336">
        <f>SUMIF(G21:G241,"SB(L)",I21:I241)</f>
        <v>32</v>
      </c>
      <c r="J255" s="336">
        <f>SUMIF(G18:G239,"SB(L)",J18:J241)</f>
        <v>0</v>
      </c>
      <c r="K255" s="14"/>
      <c r="L255" s="14"/>
      <c r="M255" s="14"/>
      <c r="N255" s="14"/>
    </row>
    <row r="256" spans="1:53" ht="14.25" customHeight="1" x14ac:dyDescent="0.2">
      <c r="A256" s="1801" t="s">
        <v>15</v>
      </c>
      <c r="B256" s="1802"/>
      <c r="C256" s="1802"/>
      <c r="D256" s="1802"/>
      <c r="E256" s="1802"/>
      <c r="F256" s="1802"/>
      <c r="G256" s="1803"/>
      <c r="H256" s="750">
        <f>SUM(H257:H260)</f>
        <v>2277.3000000000002</v>
      </c>
      <c r="I256" s="337">
        <f>I258+I259+I260+I257</f>
        <v>2356.6</v>
      </c>
      <c r="J256" s="337">
        <f>J258+J259+J260+J257</f>
        <v>2724</v>
      </c>
      <c r="K256" s="14"/>
      <c r="L256" s="14"/>
      <c r="M256" s="14"/>
      <c r="N256" s="14"/>
    </row>
    <row r="257" spans="1:14" ht="14.25" customHeight="1" x14ac:dyDescent="0.2">
      <c r="A257" s="1804" t="s">
        <v>21</v>
      </c>
      <c r="B257" s="1805"/>
      <c r="C257" s="1805"/>
      <c r="D257" s="1805"/>
      <c r="E257" s="1805"/>
      <c r="F257" s="1805"/>
      <c r="G257" s="1806"/>
      <c r="H257" s="748">
        <f>SUMIF(G15:G241,"ES",H15:H241)</f>
        <v>579.5</v>
      </c>
      <c r="I257" s="61">
        <f>SUMIF(G15:G241,"ES",I15:I241)</f>
        <v>634.1</v>
      </c>
      <c r="J257" s="61">
        <f>SUMIF(G15:G241,"ES",J15:J241)</f>
        <v>1129</v>
      </c>
      <c r="K257" s="14"/>
      <c r="L257" s="14"/>
      <c r="M257" s="14"/>
      <c r="N257" s="14"/>
    </row>
    <row r="258" spans="1:14" ht="14.25" customHeight="1" x14ac:dyDescent="0.2">
      <c r="A258" s="1792" t="s">
        <v>22</v>
      </c>
      <c r="B258" s="1793"/>
      <c r="C258" s="1793"/>
      <c r="D258" s="1793"/>
      <c r="E258" s="1793"/>
      <c r="F258" s="1793"/>
      <c r="G258" s="1794"/>
      <c r="H258" s="748">
        <f>SUMIF(G18:G241,"KVJUD",H18:H241)</f>
        <v>1593.4</v>
      </c>
      <c r="I258" s="61">
        <f>SUMIF(G18:G241,"KVJUD",I18:I241)</f>
        <v>1500</v>
      </c>
      <c r="J258" s="61">
        <f>SUMIF(G18:G241,"KVJUD",J18:J241)</f>
        <v>1500</v>
      </c>
      <c r="K258" s="54"/>
      <c r="L258" s="54"/>
      <c r="M258" s="54"/>
      <c r="N258" s="54"/>
    </row>
    <row r="259" spans="1:14" ht="14.25" customHeight="1" x14ac:dyDescent="0.2">
      <c r="A259" s="1774" t="s">
        <v>23</v>
      </c>
      <c r="B259" s="1775"/>
      <c r="C259" s="1775"/>
      <c r="D259" s="1775"/>
      <c r="E259" s="1775"/>
      <c r="F259" s="1775"/>
      <c r="G259" s="1776"/>
      <c r="H259" s="748">
        <f>SUMIF(G18:G241,"LRVB",H18:H241)</f>
        <v>0</v>
      </c>
      <c r="I259" s="61">
        <f>SUMIF(G18:G241,"LRVB",I18:I241)</f>
        <v>0</v>
      </c>
      <c r="J259" s="61">
        <f>SUMIF(G18:G241,"LRVB",J18:J241)</f>
        <v>0</v>
      </c>
      <c r="K259" s="54"/>
      <c r="L259" s="54"/>
      <c r="M259" s="54"/>
      <c r="N259" s="54"/>
    </row>
    <row r="260" spans="1:14" ht="14.25" customHeight="1" x14ac:dyDescent="0.2">
      <c r="A260" s="1795" t="s">
        <v>24</v>
      </c>
      <c r="B260" s="1796"/>
      <c r="C260" s="1796"/>
      <c r="D260" s="1796"/>
      <c r="E260" s="1796"/>
      <c r="F260" s="1796"/>
      <c r="G260" s="1797"/>
      <c r="H260" s="748">
        <f>SUMIF(G14:G241,"Kt",H14:H241)</f>
        <v>104.4</v>
      </c>
      <c r="I260" s="61">
        <f>SUMIF(G14:G241,"Kt",I14:I241)</f>
        <v>222.5</v>
      </c>
      <c r="J260" s="61">
        <f>SUMIF(G14:G241,"Kt",J14:J241)</f>
        <v>95</v>
      </c>
      <c r="K260" s="54"/>
      <c r="L260" s="54"/>
      <c r="M260" s="54"/>
      <c r="N260" s="54"/>
    </row>
    <row r="261" spans="1:14" ht="14.25" customHeight="1" thickBot="1" x14ac:dyDescent="0.25">
      <c r="A261" s="1743" t="s">
        <v>16</v>
      </c>
      <c r="B261" s="1744"/>
      <c r="C261" s="1744"/>
      <c r="D261" s="1744"/>
      <c r="E261" s="1744"/>
      <c r="F261" s="1744"/>
      <c r="G261" s="1745"/>
      <c r="H261" s="743">
        <f>SUM(H246,H256)</f>
        <v>28292.799999999999</v>
      </c>
      <c r="I261" s="338">
        <f>SUM(I246,I256)</f>
        <v>36680</v>
      </c>
      <c r="J261" s="338">
        <f>SUM(J246,J256)</f>
        <v>29856.7</v>
      </c>
      <c r="K261" s="54"/>
      <c r="L261" s="54"/>
      <c r="M261" s="54"/>
      <c r="N261" s="54"/>
    </row>
    <row r="262" spans="1:14" x14ac:dyDescent="0.2">
      <c r="F262" s="1236"/>
      <c r="G262" s="1237"/>
      <c r="H262" s="1238"/>
      <c r="I262" s="1238"/>
      <c r="J262" s="1238"/>
      <c r="K262" s="4"/>
    </row>
    <row r="263" spans="1:14" x14ac:dyDescent="0.2">
      <c r="F263" s="1236" t="s">
        <v>377</v>
      </c>
      <c r="G263" s="1236"/>
      <c r="H263" s="1236"/>
      <c r="I263" s="1236"/>
      <c r="J263" s="4"/>
      <c r="K263" s="4"/>
    </row>
    <row r="264" spans="1:14" x14ac:dyDescent="0.2">
      <c r="H264" s="14"/>
      <c r="I264" s="14"/>
      <c r="J264" s="14"/>
    </row>
    <row r="265" spans="1:14" x14ac:dyDescent="0.2">
      <c r="A265" s="1"/>
      <c r="B265" s="1"/>
      <c r="C265" s="435"/>
      <c r="D265" s="1"/>
      <c r="E265" s="1"/>
      <c r="F265" s="1"/>
      <c r="G265" s="1"/>
      <c r="H265" s="54"/>
      <c r="I265" s="54"/>
      <c r="J265" s="54"/>
      <c r="K265" s="1"/>
      <c r="L265" s="1"/>
      <c r="M265" s="1"/>
      <c r="N265" s="1"/>
    </row>
    <row r="266" spans="1:14" x14ac:dyDescent="0.2">
      <c r="A266" s="1"/>
      <c r="B266" s="1"/>
      <c r="C266" s="435"/>
      <c r="D266" s="1"/>
      <c r="E266" s="1"/>
      <c r="F266" s="1"/>
      <c r="G266" s="1"/>
      <c r="H266" s="54"/>
      <c r="I266" s="54"/>
      <c r="J266" s="54"/>
      <c r="K266" s="1"/>
      <c r="L266" s="1"/>
      <c r="M266" s="1"/>
      <c r="N266" s="1"/>
    </row>
  </sheetData>
  <mergeCells count="253">
    <mergeCell ref="D157:D159"/>
    <mergeCell ref="D169:D170"/>
    <mergeCell ref="K169:K170"/>
    <mergeCell ref="L169:L170"/>
    <mergeCell ref="M169:M170"/>
    <mergeCell ref="N169:N170"/>
    <mergeCell ref="K1:N1"/>
    <mergeCell ref="A4:N4"/>
    <mergeCell ref="A5:N5"/>
    <mergeCell ref="A6:N6"/>
    <mergeCell ref="K7:N7"/>
    <mergeCell ref="A8:A10"/>
    <mergeCell ref="B8:B10"/>
    <mergeCell ref="C8:C10"/>
    <mergeCell ref="D8:D10"/>
    <mergeCell ref="A11:N11"/>
    <mergeCell ref="A12:N12"/>
    <mergeCell ref="B13:N13"/>
    <mergeCell ref="C14:N14"/>
    <mergeCell ref="A18:A20"/>
    <mergeCell ref="B18:B20"/>
    <mergeCell ref="C18:C20"/>
    <mergeCell ref="D18:D20"/>
    <mergeCell ref="I8:I10"/>
    <mergeCell ref="J8:J10"/>
    <mergeCell ref="K8:N8"/>
    <mergeCell ref="K9:K10"/>
    <mergeCell ref="L9:N9"/>
    <mergeCell ref="E8:E10"/>
    <mergeCell ref="F8:F10"/>
    <mergeCell ref="G8:G10"/>
    <mergeCell ref="F21:F22"/>
    <mergeCell ref="H8:H10"/>
    <mergeCell ref="D23:D26"/>
    <mergeCell ref="K23:K24"/>
    <mergeCell ref="E24:E26"/>
    <mergeCell ref="F18:F20"/>
    <mergeCell ref="E19:E20"/>
    <mergeCell ref="K19:K20"/>
    <mergeCell ref="A21:A22"/>
    <mergeCell ref="B21:B22"/>
    <mergeCell ref="C21:C22"/>
    <mergeCell ref="D21:D22"/>
    <mergeCell ref="A42:A45"/>
    <mergeCell ref="B42:B45"/>
    <mergeCell ref="C42:C45"/>
    <mergeCell ref="D42:D45"/>
    <mergeCell ref="F42:F45"/>
    <mergeCell ref="D33:D34"/>
    <mergeCell ref="F33:F34"/>
    <mergeCell ref="D35:D36"/>
    <mergeCell ref="F27:F28"/>
    <mergeCell ref="D29:D30"/>
    <mergeCell ref="E29:E30"/>
    <mergeCell ref="D31:D32"/>
    <mergeCell ref="A27:A28"/>
    <mergeCell ref="B27:B28"/>
    <mergeCell ref="C27:C28"/>
    <mergeCell ref="D27:D28"/>
    <mergeCell ref="D48:D49"/>
    <mergeCell ref="E48:E49"/>
    <mergeCell ref="F48:F49"/>
    <mergeCell ref="A46:A47"/>
    <mergeCell ref="B46:B47"/>
    <mergeCell ref="C46:C47"/>
    <mergeCell ref="D46:D47"/>
    <mergeCell ref="F46:F47"/>
    <mergeCell ref="A61:A65"/>
    <mergeCell ref="B61:B65"/>
    <mergeCell ref="C61:C65"/>
    <mergeCell ref="D61:D62"/>
    <mergeCell ref="E61:E65"/>
    <mergeCell ref="F61:F65"/>
    <mergeCell ref="D50:D51"/>
    <mergeCell ref="D52:D53"/>
    <mergeCell ref="E52:E53"/>
    <mergeCell ref="F52:F53"/>
    <mergeCell ref="D55:D60"/>
    <mergeCell ref="E55:E60"/>
    <mergeCell ref="D71:D72"/>
    <mergeCell ref="F71:F72"/>
    <mergeCell ref="D69:D70"/>
    <mergeCell ref="E69:E70"/>
    <mergeCell ref="F69:F70"/>
    <mergeCell ref="K61:K62"/>
    <mergeCell ref="D66:D68"/>
    <mergeCell ref="E66:E68"/>
    <mergeCell ref="F66:F68"/>
    <mergeCell ref="K67:K68"/>
    <mergeCell ref="K75:K76"/>
    <mergeCell ref="K79:K80"/>
    <mergeCell ref="A81:A82"/>
    <mergeCell ref="B81:B82"/>
    <mergeCell ref="C81:C82"/>
    <mergeCell ref="D81:D82"/>
    <mergeCell ref="E81:E82"/>
    <mergeCell ref="F81:F82"/>
    <mergeCell ref="D75:D80"/>
    <mergeCell ref="E75:E80"/>
    <mergeCell ref="F75:F80"/>
    <mergeCell ref="K81:K82"/>
    <mergeCell ref="K84:K85"/>
    <mergeCell ref="D87:D89"/>
    <mergeCell ref="A83:A85"/>
    <mergeCell ref="B83:B85"/>
    <mergeCell ref="C83:C85"/>
    <mergeCell ref="D83:D85"/>
    <mergeCell ref="E83:E85"/>
    <mergeCell ref="F83:F85"/>
    <mergeCell ref="E87:E90"/>
    <mergeCell ref="K115:K117"/>
    <mergeCell ref="C119:G119"/>
    <mergeCell ref="C120:N120"/>
    <mergeCell ref="D126:D127"/>
    <mergeCell ref="E121:E123"/>
    <mergeCell ref="D105:D108"/>
    <mergeCell ref="D109:D111"/>
    <mergeCell ref="D92:D94"/>
    <mergeCell ref="K92:K93"/>
    <mergeCell ref="D95:D96"/>
    <mergeCell ref="D113:D114"/>
    <mergeCell ref="D97:D98"/>
    <mergeCell ref="D101:D102"/>
    <mergeCell ref="D99:D100"/>
    <mergeCell ref="K106:K107"/>
    <mergeCell ref="D145:D146"/>
    <mergeCell ref="A141:A142"/>
    <mergeCell ref="B141:B142"/>
    <mergeCell ref="C141:C142"/>
    <mergeCell ref="D141:D142"/>
    <mergeCell ref="E141:E142"/>
    <mergeCell ref="A152:A154"/>
    <mergeCell ref="B152:B154"/>
    <mergeCell ref="C152:C154"/>
    <mergeCell ref="D152:D154"/>
    <mergeCell ref="E152:E154"/>
    <mergeCell ref="D134:D135"/>
    <mergeCell ref="K134:K135"/>
    <mergeCell ref="A136:A137"/>
    <mergeCell ref="B136:B137"/>
    <mergeCell ref="C136:C137"/>
    <mergeCell ref="D136:D137"/>
    <mergeCell ref="E136:E137"/>
    <mergeCell ref="F136:F137"/>
    <mergeCell ref="E138:E140"/>
    <mergeCell ref="F138:F140"/>
    <mergeCell ref="K136:K137"/>
    <mergeCell ref="L136:L137"/>
    <mergeCell ref="M136:M137"/>
    <mergeCell ref="C156:N156"/>
    <mergeCell ref="A175:A177"/>
    <mergeCell ref="B175:B177"/>
    <mergeCell ref="C175:C177"/>
    <mergeCell ref="D175:D177"/>
    <mergeCell ref="E175:E177"/>
    <mergeCell ref="F175:F177"/>
    <mergeCell ref="D173:D174"/>
    <mergeCell ref="K173:K174"/>
    <mergeCell ref="D171:D172"/>
    <mergeCell ref="D162:D167"/>
    <mergeCell ref="E162:E164"/>
    <mergeCell ref="C155:G155"/>
    <mergeCell ref="K155:N155"/>
    <mergeCell ref="N136:N137"/>
    <mergeCell ref="A138:A140"/>
    <mergeCell ref="B138:B140"/>
    <mergeCell ref="C138:C140"/>
    <mergeCell ref="D138:D140"/>
    <mergeCell ref="F141:F142"/>
    <mergeCell ref="D143:D144"/>
    <mergeCell ref="F152:F154"/>
    <mergeCell ref="K241:N241"/>
    <mergeCell ref="A244:G244"/>
    <mergeCell ref="F187:F188"/>
    <mergeCell ref="A185:A186"/>
    <mergeCell ref="B185:B186"/>
    <mergeCell ref="C185:C186"/>
    <mergeCell ref="D185:D186"/>
    <mergeCell ref="E185:E186"/>
    <mergeCell ref="D178:D181"/>
    <mergeCell ref="A182:A184"/>
    <mergeCell ref="B182:B184"/>
    <mergeCell ref="C182:C184"/>
    <mergeCell ref="D182:D184"/>
    <mergeCell ref="E182:E184"/>
    <mergeCell ref="A187:A188"/>
    <mergeCell ref="B187:B188"/>
    <mergeCell ref="C187:C188"/>
    <mergeCell ref="D187:D188"/>
    <mergeCell ref="E187:E188"/>
    <mergeCell ref="N229:N230"/>
    <mergeCell ref="D231:D232"/>
    <mergeCell ref="K231:K232"/>
    <mergeCell ref="K225:K226"/>
    <mergeCell ref="A227:A230"/>
    <mergeCell ref="B227:B230"/>
    <mergeCell ref="C227:C230"/>
    <mergeCell ref="E227:E230"/>
    <mergeCell ref="F227:F230"/>
    <mergeCell ref="K229:K230"/>
    <mergeCell ref="A225:A226"/>
    <mergeCell ref="B225:B226"/>
    <mergeCell ref="C225:C226"/>
    <mergeCell ref="D225:D226"/>
    <mergeCell ref="D227:D229"/>
    <mergeCell ref="K35:K36"/>
    <mergeCell ref="D15:D16"/>
    <mergeCell ref="E15:E17"/>
    <mergeCell ref="D38:D39"/>
    <mergeCell ref="E38:E41"/>
    <mergeCell ref="A258:G258"/>
    <mergeCell ref="A259:G259"/>
    <mergeCell ref="A260:G260"/>
    <mergeCell ref="A255:G255"/>
    <mergeCell ref="A256:G256"/>
    <mergeCell ref="A257:G257"/>
    <mergeCell ref="A252:G252"/>
    <mergeCell ref="A253:G253"/>
    <mergeCell ref="A254:G254"/>
    <mergeCell ref="A249:G249"/>
    <mergeCell ref="A251:G251"/>
    <mergeCell ref="A246:G246"/>
    <mergeCell ref="A247:G247"/>
    <mergeCell ref="A248:G248"/>
    <mergeCell ref="B241:G241"/>
    <mergeCell ref="D222:D224"/>
    <mergeCell ref="C195:G195"/>
    <mergeCell ref="K195:N195"/>
    <mergeCell ref="E189:E190"/>
    <mergeCell ref="A189:A191"/>
    <mergeCell ref="B189:B191"/>
    <mergeCell ref="C189:C191"/>
    <mergeCell ref="D189:D191"/>
    <mergeCell ref="D130:D131"/>
    <mergeCell ref="K130:K131"/>
    <mergeCell ref="A261:G261"/>
    <mergeCell ref="C196:N196"/>
    <mergeCell ref="C202:C209"/>
    <mergeCell ref="C210:C217"/>
    <mergeCell ref="C218:C221"/>
    <mergeCell ref="A245:G245"/>
    <mergeCell ref="F235:F238"/>
    <mergeCell ref="K237:K238"/>
    <mergeCell ref="C239:G239"/>
    <mergeCell ref="K239:N239"/>
    <mergeCell ref="B240:G240"/>
    <mergeCell ref="K240:N240"/>
    <mergeCell ref="D235:D238"/>
    <mergeCell ref="E235:E238"/>
    <mergeCell ref="A250:G250"/>
    <mergeCell ref="L229:L230"/>
    <mergeCell ref="K227:K228"/>
    <mergeCell ref="M229:M230"/>
  </mergeCells>
  <printOptions horizontalCentered="1"/>
  <pageMargins left="0.59055118110236227" right="0" top="0.39370078740157483" bottom="0.19685039370078741" header="0" footer="0"/>
  <pageSetup paperSize="9" scale="70" orientation="portrait" r:id="rId1"/>
  <headerFooter alignWithMargins="0"/>
  <rowBreaks count="2" manualBreakCount="2">
    <brk id="170" max="13" man="1"/>
    <brk id="226"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2"/>
  <sheetViews>
    <sheetView zoomScaleNormal="100" zoomScaleSheetLayoutView="100" workbookViewId="0">
      <selection activeCell="Z20" sqref="Z20"/>
    </sheetView>
  </sheetViews>
  <sheetFormatPr defaultRowHeight="12.75" x14ac:dyDescent="0.2"/>
  <cols>
    <col min="1" max="2" width="2.7109375" style="2" customWidth="1"/>
    <col min="3" max="3" width="2.7109375" style="770" customWidth="1"/>
    <col min="4" max="4" width="33.140625" style="2" customWidth="1"/>
    <col min="5" max="5" width="2.85546875" style="8" customWidth="1"/>
    <col min="6" max="6" width="5.140625" style="11" customWidth="1"/>
    <col min="7" max="7" width="7.85546875" style="3" customWidth="1"/>
    <col min="8" max="8" width="8.85546875" style="2" customWidth="1"/>
    <col min="9" max="9" width="8.7109375" style="2" customWidth="1"/>
    <col min="10" max="10" width="8.42578125" style="2" customWidth="1"/>
    <col min="11" max="11" width="8.7109375" style="2" customWidth="1"/>
    <col min="12" max="13" width="8.28515625" style="2" customWidth="1"/>
    <col min="14" max="14" width="9.42578125" style="2" customWidth="1"/>
    <col min="15" max="15" width="9.28515625" style="2" customWidth="1"/>
    <col min="16" max="16" width="9.42578125" style="2" customWidth="1"/>
    <col min="17" max="17" width="32.85546875" style="2" customWidth="1"/>
    <col min="18" max="18" width="4" style="2" customWidth="1"/>
    <col min="19" max="20" width="3.85546875" style="2" customWidth="1"/>
    <col min="21" max="21" width="35.140625" style="2" customWidth="1"/>
    <col min="22" max="22" width="6.7109375" style="1" customWidth="1"/>
    <col min="23" max="16384" width="9.140625" style="1"/>
  </cols>
  <sheetData>
    <row r="1" spans="1:21" s="173" customFormat="1" ht="18" customHeight="1" x14ac:dyDescent="0.25">
      <c r="B1" s="772"/>
      <c r="C1" s="772"/>
      <c r="D1" s="772"/>
      <c r="E1" s="772"/>
      <c r="Q1" s="1133"/>
      <c r="R1" s="1134"/>
      <c r="S1" s="1134"/>
      <c r="T1" s="1134"/>
      <c r="U1" s="1135" t="s">
        <v>363</v>
      </c>
    </row>
    <row r="2" spans="1:21" s="173" customFormat="1" ht="13.5" customHeight="1" x14ac:dyDescent="0.25">
      <c r="B2" s="772"/>
      <c r="C2" s="772"/>
      <c r="D2" s="772"/>
      <c r="E2" s="772"/>
      <c r="Q2" s="1096"/>
      <c r="R2" s="1096"/>
      <c r="S2" s="1096"/>
      <c r="T2" s="1096"/>
      <c r="U2" s="1096"/>
    </row>
    <row r="3" spans="1:21" s="41" customFormat="1" ht="15" x14ac:dyDescent="0.2">
      <c r="A3" s="1986" t="s">
        <v>332</v>
      </c>
      <c r="B3" s="1986"/>
      <c r="C3" s="1986"/>
      <c r="D3" s="1986"/>
      <c r="E3" s="1986"/>
      <c r="F3" s="1986"/>
      <c r="G3" s="1986"/>
      <c r="H3" s="1986"/>
      <c r="I3" s="1986"/>
      <c r="J3" s="1986"/>
      <c r="K3" s="1986"/>
      <c r="L3" s="1986"/>
      <c r="M3" s="1986"/>
      <c r="N3" s="1986"/>
      <c r="O3" s="1986"/>
      <c r="P3" s="1986"/>
      <c r="Q3" s="1986"/>
      <c r="R3" s="1986"/>
      <c r="S3" s="1986"/>
      <c r="T3" s="1986"/>
      <c r="U3" s="1986"/>
    </row>
    <row r="4" spans="1:21" ht="15.75" customHeight="1" x14ac:dyDescent="0.2">
      <c r="A4" s="1987" t="s">
        <v>29</v>
      </c>
      <c r="B4" s="1987"/>
      <c r="C4" s="1987"/>
      <c r="D4" s="1987"/>
      <c r="E4" s="1987"/>
      <c r="F4" s="1987"/>
      <c r="G4" s="1987"/>
      <c r="H4" s="1987"/>
      <c r="I4" s="1987"/>
      <c r="J4" s="1987"/>
      <c r="K4" s="1987"/>
      <c r="L4" s="1987"/>
      <c r="M4" s="1987"/>
      <c r="N4" s="1987"/>
      <c r="O4" s="1987"/>
      <c r="P4" s="1987"/>
      <c r="Q4" s="1987"/>
      <c r="R4" s="1987"/>
      <c r="S4" s="1987"/>
      <c r="T4" s="1987"/>
      <c r="U4" s="1987"/>
    </row>
    <row r="5" spans="1:21" ht="15" customHeight="1" x14ac:dyDescent="0.2">
      <c r="A5" s="1988" t="s">
        <v>17</v>
      </c>
      <c r="B5" s="1988"/>
      <c r="C5" s="1988"/>
      <c r="D5" s="1988"/>
      <c r="E5" s="1988"/>
      <c r="F5" s="1988"/>
      <c r="G5" s="1988"/>
      <c r="H5" s="1988"/>
      <c r="I5" s="1988"/>
      <c r="J5" s="1988"/>
      <c r="K5" s="1988"/>
      <c r="L5" s="1988"/>
      <c r="M5" s="1988"/>
      <c r="N5" s="1988"/>
      <c r="O5" s="1988"/>
      <c r="P5" s="1988"/>
      <c r="Q5" s="1988"/>
      <c r="R5" s="1988"/>
      <c r="S5" s="1988"/>
      <c r="T5" s="1988"/>
      <c r="U5" s="1988"/>
    </row>
    <row r="6" spans="1:21" ht="15" customHeight="1" thickBot="1" x14ac:dyDescent="0.25">
      <c r="A6" s="16"/>
      <c r="B6" s="16"/>
      <c r="C6" s="769"/>
      <c r="D6" s="16"/>
      <c r="E6" s="17"/>
      <c r="F6" s="18"/>
      <c r="G6" s="288"/>
      <c r="H6" s="16"/>
      <c r="I6" s="16"/>
      <c r="J6" s="16"/>
      <c r="K6" s="16"/>
      <c r="L6" s="16"/>
      <c r="M6" s="16"/>
      <c r="N6" s="16"/>
      <c r="O6" s="16"/>
      <c r="P6" s="16"/>
      <c r="Q6" s="1989" t="s">
        <v>118</v>
      </c>
      <c r="R6" s="1989"/>
      <c r="S6" s="1989"/>
      <c r="T6" s="1989"/>
      <c r="U6" s="1990"/>
    </row>
    <row r="7" spans="1:21" s="41" customFormat="1" ht="46.5" customHeight="1" x14ac:dyDescent="0.2">
      <c r="A7" s="2037" t="s">
        <v>18</v>
      </c>
      <c r="B7" s="2040" t="s">
        <v>0</v>
      </c>
      <c r="C7" s="2040" t="s">
        <v>1</v>
      </c>
      <c r="D7" s="2043" t="s">
        <v>12</v>
      </c>
      <c r="E7" s="2040" t="s">
        <v>2</v>
      </c>
      <c r="F7" s="2025" t="s">
        <v>3</v>
      </c>
      <c r="G7" s="2028" t="s">
        <v>4</v>
      </c>
      <c r="H7" s="2031" t="s">
        <v>365</v>
      </c>
      <c r="I7" s="2034" t="s">
        <v>366</v>
      </c>
      <c r="J7" s="2046" t="s">
        <v>367</v>
      </c>
      <c r="K7" s="2031" t="s">
        <v>155</v>
      </c>
      <c r="L7" s="2034" t="s">
        <v>368</v>
      </c>
      <c r="M7" s="2046" t="s">
        <v>367</v>
      </c>
      <c r="N7" s="2080" t="s">
        <v>215</v>
      </c>
      <c r="O7" s="2034" t="s">
        <v>369</v>
      </c>
      <c r="P7" s="2046" t="s">
        <v>367</v>
      </c>
      <c r="Q7" s="1957" t="s">
        <v>11</v>
      </c>
      <c r="R7" s="1958"/>
      <c r="S7" s="1958"/>
      <c r="T7" s="1958"/>
      <c r="U7" s="1136"/>
    </row>
    <row r="8" spans="1:21" s="41" customFormat="1" ht="18.75" customHeight="1" x14ac:dyDescent="0.2">
      <c r="A8" s="2038"/>
      <c r="B8" s="2041"/>
      <c r="C8" s="2041"/>
      <c r="D8" s="2044"/>
      <c r="E8" s="2041"/>
      <c r="F8" s="2026"/>
      <c r="G8" s="2029"/>
      <c r="H8" s="2032"/>
      <c r="I8" s="2035"/>
      <c r="J8" s="2047"/>
      <c r="K8" s="2032"/>
      <c r="L8" s="2035"/>
      <c r="M8" s="2047"/>
      <c r="N8" s="2081"/>
      <c r="O8" s="2035"/>
      <c r="P8" s="2047"/>
      <c r="Q8" s="1960" t="s">
        <v>12</v>
      </c>
      <c r="R8" s="1962" t="s">
        <v>99</v>
      </c>
      <c r="S8" s="1962"/>
      <c r="T8" s="1962"/>
      <c r="U8" s="914" t="s">
        <v>364</v>
      </c>
    </row>
    <row r="9" spans="1:21" s="41" customFormat="1" ht="69.75" customHeight="1" thickBot="1" x14ac:dyDescent="0.25">
      <c r="A9" s="2039"/>
      <c r="B9" s="2042"/>
      <c r="C9" s="2042"/>
      <c r="D9" s="2045"/>
      <c r="E9" s="2042"/>
      <c r="F9" s="2027"/>
      <c r="G9" s="2030"/>
      <c r="H9" s="2033"/>
      <c r="I9" s="2036"/>
      <c r="J9" s="2048"/>
      <c r="K9" s="2033"/>
      <c r="L9" s="2036"/>
      <c r="M9" s="2048"/>
      <c r="N9" s="2082"/>
      <c r="O9" s="2036"/>
      <c r="P9" s="2048"/>
      <c r="Q9" s="1961"/>
      <c r="R9" s="174" t="s">
        <v>107</v>
      </c>
      <c r="S9" s="1137" t="s">
        <v>156</v>
      </c>
      <c r="T9" s="1137" t="s">
        <v>216</v>
      </c>
      <c r="U9" s="1138"/>
    </row>
    <row r="10" spans="1:21" s="10" customFormat="1" ht="14.25" customHeight="1" x14ac:dyDescent="0.2">
      <c r="A10" s="2003" t="s">
        <v>63</v>
      </c>
      <c r="B10" s="2004"/>
      <c r="C10" s="2004"/>
      <c r="D10" s="2004"/>
      <c r="E10" s="2004"/>
      <c r="F10" s="2004"/>
      <c r="G10" s="2004"/>
      <c r="H10" s="2004"/>
      <c r="I10" s="2004"/>
      <c r="J10" s="2004"/>
      <c r="K10" s="2004"/>
      <c r="L10" s="2004"/>
      <c r="M10" s="2004"/>
      <c r="N10" s="2004"/>
      <c r="O10" s="2004"/>
      <c r="P10" s="2004"/>
      <c r="Q10" s="2004"/>
      <c r="R10" s="2004"/>
      <c r="S10" s="2004"/>
      <c r="T10" s="2004"/>
      <c r="U10" s="2005"/>
    </row>
    <row r="11" spans="1:21" s="10" customFormat="1" ht="14.25" customHeight="1" x14ac:dyDescent="0.2">
      <c r="A11" s="2006" t="s">
        <v>26</v>
      </c>
      <c r="B11" s="2007"/>
      <c r="C11" s="2007"/>
      <c r="D11" s="2007"/>
      <c r="E11" s="2007"/>
      <c r="F11" s="2007"/>
      <c r="G11" s="2007"/>
      <c r="H11" s="2007"/>
      <c r="I11" s="2007"/>
      <c r="J11" s="2007"/>
      <c r="K11" s="2007"/>
      <c r="L11" s="2007"/>
      <c r="M11" s="2007"/>
      <c r="N11" s="2007"/>
      <c r="O11" s="2007"/>
      <c r="P11" s="2007"/>
      <c r="Q11" s="2007"/>
      <c r="R11" s="2007"/>
      <c r="S11" s="2007"/>
      <c r="T11" s="2007"/>
      <c r="U11" s="2008"/>
    </row>
    <row r="12" spans="1:21" ht="16.5" customHeight="1" x14ac:dyDescent="0.2">
      <c r="A12" s="20" t="s">
        <v>5</v>
      </c>
      <c r="B12" s="2009" t="s">
        <v>30</v>
      </c>
      <c r="C12" s="2010"/>
      <c r="D12" s="2010"/>
      <c r="E12" s="2010"/>
      <c r="F12" s="2010"/>
      <c r="G12" s="2010"/>
      <c r="H12" s="2010"/>
      <c r="I12" s="2010"/>
      <c r="J12" s="2010"/>
      <c r="K12" s="2010"/>
      <c r="L12" s="2010"/>
      <c r="M12" s="2010"/>
      <c r="N12" s="2010"/>
      <c r="O12" s="2010"/>
      <c r="P12" s="2010"/>
      <c r="Q12" s="2010"/>
      <c r="R12" s="2010"/>
      <c r="S12" s="2010"/>
      <c r="T12" s="2010"/>
      <c r="U12" s="2011"/>
    </row>
    <row r="13" spans="1:21" ht="15" customHeight="1" x14ac:dyDescent="0.2">
      <c r="A13" s="287" t="s">
        <v>5</v>
      </c>
      <c r="B13" s="13" t="s">
        <v>5</v>
      </c>
      <c r="C13" s="2012" t="s">
        <v>31</v>
      </c>
      <c r="D13" s="2013"/>
      <c r="E13" s="2013"/>
      <c r="F13" s="2013"/>
      <c r="G13" s="2013"/>
      <c r="H13" s="2013"/>
      <c r="I13" s="2013"/>
      <c r="J13" s="2013"/>
      <c r="K13" s="2013"/>
      <c r="L13" s="2013"/>
      <c r="M13" s="2013"/>
      <c r="N13" s="2013"/>
      <c r="O13" s="2013"/>
      <c r="P13" s="2013"/>
      <c r="Q13" s="2013"/>
      <c r="R13" s="2013"/>
      <c r="S13" s="2013"/>
      <c r="T13" s="2013"/>
      <c r="U13" s="2014"/>
    </row>
    <row r="14" spans="1:21" ht="13.5" customHeight="1" x14ac:dyDescent="0.2">
      <c r="A14" s="1062" t="s">
        <v>5</v>
      </c>
      <c r="B14" s="1077" t="s">
        <v>5</v>
      </c>
      <c r="C14" s="1039" t="s">
        <v>5</v>
      </c>
      <c r="D14" s="2023" t="s">
        <v>49</v>
      </c>
      <c r="E14" s="2024" t="s">
        <v>90</v>
      </c>
      <c r="F14" s="1084" t="s">
        <v>43</v>
      </c>
      <c r="G14" s="1654" t="s">
        <v>25</v>
      </c>
      <c r="H14" s="1656">
        <f>426-125</f>
        <v>301</v>
      </c>
      <c r="I14" s="1656">
        <f>426-125</f>
        <v>301</v>
      </c>
      <c r="J14" s="1655"/>
      <c r="K14" s="1657">
        <f>2156.6+100</f>
        <v>2256.6</v>
      </c>
      <c r="L14" s="1656">
        <f>2131.6+25+100</f>
        <v>2256.6</v>
      </c>
      <c r="M14" s="1655"/>
      <c r="N14" s="1657">
        <f>959.9+25</f>
        <v>984.9</v>
      </c>
      <c r="O14" s="1656">
        <f>634.9-25+350+25</f>
        <v>984.9</v>
      </c>
      <c r="P14" s="1658"/>
      <c r="Q14" s="435"/>
      <c r="R14" s="410"/>
      <c r="S14" s="411"/>
      <c r="T14" s="411"/>
      <c r="U14" s="413"/>
    </row>
    <row r="15" spans="1:21" ht="14.25" customHeight="1" x14ac:dyDescent="0.2">
      <c r="A15" s="1062"/>
      <c r="B15" s="1077"/>
      <c r="C15" s="1039"/>
      <c r="D15" s="1785"/>
      <c r="E15" s="1787"/>
      <c r="F15" s="1084"/>
      <c r="G15" s="39" t="s">
        <v>105</v>
      </c>
      <c r="H15" s="773">
        <v>557.70000000000005</v>
      </c>
      <c r="I15" s="1148">
        <v>557.70000000000005</v>
      </c>
      <c r="J15" s="773"/>
      <c r="K15" s="1153"/>
      <c r="L15" s="1148"/>
      <c r="M15" s="773"/>
      <c r="N15" s="1153"/>
      <c r="O15" s="1148"/>
      <c r="P15" s="1179"/>
      <c r="Q15" s="435"/>
      <c r="R15" s="410"/>
      <c r="S15" s="411"/>
      <c r="T15" s="411"/>
      <c r="U15" s="413"/>
    </row>
    <row r="16" spans="1:21" ht="14.25" customHeight="1" x14ac:dyDescent="0.2">
      <c r="A16" s="1625"/>
      <c r="B16" s="1629"/>
      <c r="C16" s="1626"/>
      <c r="D16" s="791"/>
      <c r="E16" s="1787"/>
      <c r="F16" s="1628"/>
      <c r="G16" s="68" t="s">
        <v>45</v>
      </c>
      <c r="H16" s="108">
        <v>31.2</v>
      </c>
      <c r="I16" s="270">
        <v>31.2</v>
      </c>
      <c r="J16" s="773"/>
      <c r="K16" s="1153"/>
      <c r="L16" s="1148"/>
      <c r="M16" s="773"/>
      <c r="N16" s="1153"/>
      <c r="O16" s="1148"/>
      <c r="P16" s="1179"/>
      <c r="Q16" s="435"/>
      <c r="R16" s="410"/>
      <c r="S16" s="411"/>
      <c r="T16" s="411"/>
      <c r="U16" s="413"/>
    </row>
    <row r="17" spans="1:24" ht="17.25" customHeight="1" x14ac:dyDescent="0.2">
      <c r="A17" s="1062"/>
      <c r="B17" s="1077"/>
      <c r="C17" s="1039"/>
      <c r="D17" s="59"/>
      <c r="E17" s="1788"/>
      <c r="F17" s="958"/>
      <c r="G17" s="771" t="s">
        <v>62</v>
      </c>
      <c r="H17" s="775">
        <v>1.5</v>
      </c>
      <c r="I17" s="1149">
        <v>1.5</v>
      </c>
      <c r="J17" s="1659"/>
      <c r="K17" s="95"/>
      <c r="L17" s="45"/>
      <c r="M17" s="170"/>
      <c r="N17" s="95">
        <v>1</v>
      </c>
      <c r="O17" s="45">
        <v>1</v>
      </c>
      <c r="P17" s="1180"/>
      <c r="Q17" s="1157"/>
      <c r="R17" s="415"/>
      <c r="S17" s="416"/>
      <c r="T17" s="416"/>
      <c r="U17" s="413"/>
    </row>
    <row r="18" spans="1:24" ht="37.5" customHeight="1" x14ac:dyDescent="0.2">
      <c r="A18" s="1837"/>
      <c r="B18" s="1832"/>
      <c r="C18" s="1833"/>
      <c r="D18" s="2015" t="s">
        <v>172</v>
      </c>
      <c r="E18" s="1052" t="s">
        <v>47</v>
      </c>
      <c r="F18" s="1833"/>
      <c r="G18" s="39"/>
      <c r="H18" s="424"/>
      <c r="I18" s="478"/>
      <c r="J18" s="424"/>
      <c r="K18" s="418"/>
      <c r="L18" s="478"/>
      <c r="M18" s="424"/>
      <c r="N18" s="92"/>
      <c r="O18" s="270"/>
      <c r="P18" s="66"/>
      <c r="Q18" s="1158" t="s">
        <v>188</v>
      </c>
      <c r="R18" s="40" t="s">
        <v>268</v>
      </c>
      <c r="S18" s="182"/>
      <c r="T18" s="1139"/>
      <c r="U18" s="434"/>
    </row>
    <row r="19" spans="1:24" ht="15" customHeight="1" x14ac:dyDescent="0.2">
      <c r="A19" s="1837"/>
      <c r="B19" s="1832"/>
      <c r="C19" s="1833"/>
      <c r="D19" s="1975"/>
      <c r="E19" s="1951" t="s">
        <v>117</v>
      </c>
      <c r="F19" s="1833"/>
      <c r="G19" s="39"/>
      <c r="H19" s="424"/>
      <c r="I19" s="478"/>
      <c r="J19" s="424"/>
      <c r="K19" s="418"/>
      <c r="L19" s="478"/>
      <c r="M19" s="424"/>
      <c r="N19" s="92"/>
      <c r="O19" s="270"/>
      <c r="P19" s="66"/>
      <c r="Q19" s="2019" t="s">
        <v>390</v>
      </c>
      <c r="R19" s="475" t="s">
        <v>56</v>
      </c>
      <c r="S19" s="707"/>
      <c r="T19" s="585"/>
      <c r="U19" s="434"/>
    </row>
    <row r="20" spans="1:24" ht="20.25" customHeight="1" x14ac:dyDescent="0.2">
      <c r="A20" s="1837"/>
      <c r="B20" s="1832"/>
      <c r="C20" s="1833"/>
      <c r="D20" s="1932"/>
      <c r="E20" s="1952"/>
      <c r="F20" s="1833"/>
      <c r="G20" s="39"/>
      <c r="H20" s="145"/>
      <c r="I20" s="1508"/>
      <c r="J20" s="703"/>
      <c r="K20" s="145"/>
      <c r="L20" s="1508"/>
      <c r="M20" s="703"/>
      <c r="N20" s="95"/>
      <c r="O20" s="45"/>
      <c r="P20" s="202"/>
      <c r="Q20" s="2020"/>
      <c r="R20" s="387"/>
      <c r="S20" s="51"/>
      <c r="T20" s="388"/>
      <c r="U20" s="434"/>
    </row>
    <row r="21" spans="1:24" ht="36" customHeight="1" x14ac:dyDescent="0.2">
      <c r="A21" s="1837"/>
      <c r="B21" s="1832"/>
      <c r="C21" s="1833"/>
      <c r="D21" s="1826" t="s">
        <v>200</v>
      </c>
      <c r="E21" s="1646" t="s">
        <v>47</v>
      </c>
      <c r="F21" s="1877"/>
      <c r="G21" s="60"/>
      <c r="H21" s="92"/>
      <c r="I21" s="831"/>
      <c r="J21" s="1227"/>
      <c r="K21" s="92"/>
      <c r="L21" s="270"/>
      <c r="M21" s="108"/>
      <c r="N21" s="92"/>
      <c r="O21" s="831"/>
      <c r="P21" s="1277"/>
      <c r="Q21" s="1720" t="s">
        <v>46</v>
      </c>
      <c r="R21" s="1724"/>
      <c r="S21" s="1725"/>
      <c r="T21" s="709">
        <v>1</v>
      </c>
      <c r="U21" s="2016"/>
    </row>
    <row r="22" spans="1:24" ht="3.75" customHeight="1" x14ac:dyDescent="0.2">
      <c r="A22" s="1837"/>
      <c r="B22" s="1832"/>
      <c r="C22" s="1833"/>
      <c r="D22" s="1828"/>
      <c r="E22" s="1097"/>
      <c r="F22" s="1877"/>
      <c r="G22" s="67"/>
      <c r="H22" s="95"/>
      <c r="I22" s="45"/>
      <c r="J22" s="170"/>
      <c r="K22" s="1155"/>
      <c r="L22" s="612"/>
      <c r="M22" s="613"/>
      <c r="N22" s="1155"/>
      <c r="O22" s="612"/>
      <c r="P22" s="1181"/>
      <c r="Q22" s="1721"/>
      <c r="R22" s="22"/>
      <c r="S22" s="51"/>
      <c r="T22" s="183"/>
      <c r="U22" s="2022"/>
    </row>
    <row r="23" spans="1:24" ht="18.75" customHeight="1" x14ac:dyDescent="0.2">
      <c r="A23" s="1037"/>
      <c r="B23" s="1038"/>
      <c r="C23" s="263"/>
      <c r="D23" s="1827" t="s">
        <v>295</v>
      </c>
      <c r="E23" s="370" t="s">
        <v>47</v>
      </c>
      <c r="F23" s="97"/>
      <c r="G23" s="39"/>
      <c r="H23" s="773"/>
      <c r="I23" s="1148"/>
      <c r="J23" s="1308"/>
      <c r="K23" s="92"/>
      <c r="L23" s="270"/>
      <c r="M23" s="108"/>
      <c r="N23" s="92"/>
      <c r="O23" s="270"/>
      <c r="P23" s="1277"/>
      <c r="Q23" s="2049" t="s">
        <v>192</v>
      </c>
      <c r="R23" s="591">
        <v>1</v>
      </c>
      <c r="S23" s="182"/>
      <c r="T23" s="490"/>
      <c r="U23" s="2021"/>
    </row>
    <row r="24" spans="1:24" ht="24" customHeight="1" x14ac:dyDescent="0.2">
      <c r="A24" s="1037"/>
      <c r="B24" s="1038"/>
      <c r="C24" s="263"/>
      <c r="D24" s="1827"/>
      <c r="E24" s="1948" t="s">
        <v>117</v>
      </c>
      <c r="F24" s="97"/>
      <c r="G24" s="68"/>
      <c r="H24" s="108"/>
      <c r="I24" s="270"/>
      <c r="J24" s="108"/>
      <c r="K24" s="92"/>
      <c r="L24" s="270"/>
      <c r="M24" s="108"/>
      <c r="N24" s="92"/>
      <c r="O24" s="270"/>
      <c r="P24" s="66"/>
      <c r="Q24" s="2050"/>
      <c r="R24" s="591"/>
      <c r="S24" s="182"/>
      <c r="T24" s="490"/>
      <c r="U24" s="2021"/>
    </row>
    <row r="25" spans="1:24" ht="27.75" customHeight="1" x14ac:dyDescent="0.2">
      <c r="A25" s="1037"/>
      <c r="B25" s="1038"/>
      <c r="C25" s="263"/>
      <c r="D25" s="1827"/>
      <c r="E25" s="1949"/>
      <c r="F25" s="97"/>
      <c r="G25" s="68"/>
      <c r="H25" s="108"/>
      <c r="I25" s="270"/>
      <c r="J25" s="108"/>
      <c r="K25" s="92"/>
      <c r="L25" s="270"/>
      <c r="M25" s="108"/>
      <c r="N25" s="92"/>
      <c r="O25" s="270"/>
      <c r="P25" s="66"/>
      <c r="Q25" s="1159" t="s">
        <v>193</v>
      </c>
      <c r="R25" s="590"/>
      <c r="S25" s="221">
        <v>1</v>
      </c>
      <c r="T25" s="221"/>
      <c r="U25" s="2021"/>
      <c r="W25" s="1035"/>
    </row>
    <row r="26" spans="1:24" ht="27" customHeight="1" x14ac:dyDescent="0.2">
      <c r="A26" s="1037"/>
      <c r="B26" s="1038"/>
      <c r="C26" s="263"/>
      <c r="D26" s="1828"/>
      <c r="E26" s="1950"/>
      <c r="F26" s="97"/>
      <c r="G26" s="63"/>
      <c r="H26" s="170"/>
      <c r="I26" s="45"/>
      <c r="J26" s="170"/>
      <c r="K26" s="95"/>
      <c r="L26" s="45"/>
      <c r="M26" s="170"/>
      <c r="N26" s="95"/>
      <c r="O26" s="45"/>
      <c r="P26" s="202"/>
      <c r="Q26" s="1160" t="s">
        <v>194</v>
      </c>
      <c r="R26" s="22"/>
      <c r="S26" s="51">
        <v>20</v>
      </c>
      <c r="T26" s="1140">
        <v>100</v>
      </c>
      <c r="U26" s="408"/>
    </row>
    <row r="27" spans="1:24" ht="29.25" customHeight="1" x14ac:dyDescent="0.2">
      <c r="A27" s="1837"/>
      <c r="B27" s="1832"/>
      <c r="C27" s="1833"/>
      <c r="D27" s="1883" t="s">
        <v>296</v>
      </c>
      <c r="E27" s="1050" t="s">
        <v>47</v>
      </c>
      <c r="F27" s="1877"/>
      <c r="G27" s="68"/>
      <c r="H27" s="108"/>
      <c r="I27" s="831"/>
      <c r="J27" s="1227"/>
      <c r="K27" s="92"/>
      <c r="L27" s="831"/>
      <c r="M27" s="1227"/>
      <c r="N27" s="92"/>
      <c r="O27" s="270"/>
      <c r="P27" s="66"/>
      <c r="Q27" s="1161" t="s">
        <v>217</v>
      </c>
      <c r="R27" s="624">
        <v>20</v>
      </c>
      <c r="S27" s="658">
        <v>100</v>
      </c>
      <c r="T27" s="1141"/>
      <c r="U27" s="2016"/>
    </row>
    <row r="28" spans="1:24" ht="15" customHeight="1" x14ac:dyDescent="0.2">
      <c r="A28" s="1837"/>
      <c r="B28" s="1832"/>
      <c r="C28" s="1833"/>
      <c r="D28" s="1838"/>
      <c r="E28" s="684"/>
      <c r="F28" s="1877"/>
      <c r="G28" s="63"/>
      <c r="H28" s="170"/>
      <c r="I28" s="45"/>
      <c r="J28" s="170"/>
      <c r="K28" s="95"/>
      <c r="L28" s="45"/>
      <c r="M28" s="170"/>
      <c r="N28" s="95"/>
      <c r="O28" s="45"/>
      <c r="P28" s="202"/>
      <c r="Q28" s="1162"/>
      <c r="R28" s="191"/>
      <c r="S28" s="377"/>
      <c r="T28" s="1142"/>
      <c r="U28" s="2017"/>
    </row>
    <row r="29" spans="1:24" ht="24.75" customHeight="1" x14ac:dyDescent="0.2">
      <c r="A29" s="1037"/>
      <c r="B29" s="1038"/>
      <c r="C29" s="263"/>
      <c r="D29" s="1737" t="s">
        <v>306</v>
      </c>
      <c r="E29" s="1895" t="s">
        <v>47</v>
      </c>
      <c r="F29" s="1042"/>
      <c r="G29" s="68"/>
      <c r="H29" s="108"/>
      <c r="I29" s="270"/>
      <c r="J29" s="108"/>
      <c r="K29" s="200"/>
      <c r="L29" s="198"/>
      <c r="M29" s="714"/>
      <c r="N29" s="200"/>
      <c r="O29" s="198"/>
      <c r="P29" s="253"/>
      <c r="Q29" s="1541" t="s">
        <v>46</v>
      </c>
      <c r="R29" s="1543"/>
      <c r="S29" s="1554">
        <v>1</v>
      </c>
      <c r="T29" s="182"/>
      <c r="U29" s="306"/>
      <c r="X29" s="1035"/>
    </row>
    <row r="30" spans="1:24" ht="18" customHeight="1" x14ac:dyDescent="0.2">
      <c r="A30" s="1037"/>
      <c r="B30" s="1038"/>
      <c r="C30" s="102"/>
      <c r="D30" s="1894"/>
      <c r="E30" s="1899"/>
      <c r="F30" s="1042"/>
      <c r="G30" s="68"/>
      <c r="H30" s="610"/>
      <c r="I30" s="609"/>
      <c r="J30" s="610"/>
      <c r="K30" s="200"/>
      <c r="L30" s="198"/>
      <c r="M30" s="714"/>
      <c r="N30" s="200"/>
      <c r="O30" s="198"/>
      <c r="P30" s="253"/>
      <c r="Q30" s="1232"/>
      <c r="R30" s="22"/>
      <c r="S30" s="383"/>
      <c r="T30" s="51"/>
      <c r="U30" s="1300"/>
    </row>
    <row r="31" spans="1:24" ht="13.5" customHeight="1" x14ac:dyDescent="0.2">
      <c r="A31" s="1037"/>
      <c r="B31" s="1038"/>
      <c r="C31" s="263"/>
      <c r="D31" s="1827" t="s">
        <v>207</v>
      </c>
      <c r="E31" s="1051" t="s">
        <v>47</v>
      </c>
      <c r="F31" s="97"/>
      <c r="G31" s="68"/>
      <c r="H31" s="610"/>
      <c r="I31" s="609"/>
      <c r="J31" s="610"/>
      <c r="K31" s="1154"/>
      <c r="L31" s="609"/>
      <c r="M31" s="610"/>
      <c r="N31" s="1154"/>
      <c r="O31" s="609"/>
      <c r="P31" s="909"/>
      <c r="Q31" s="1782" t="s">
        <v>195</v>
      </c>
      <c r="R31" s="594"/>
      <c r="S31" s="594"/>
      <c r="T31" s="1104">
        <v>1</v>
      </c>
      <c r="U31" s="2092"/>
    </row>
    <row r="32" spans="1:24" ht="18.75" customHeight="1" x14ac:dyDescent="0.2">
      <c r="A32" s="1037"/>
      <c r="B32" s="1038"/>
      <c r="C32" s="102"/>
      <c r="D32" s="1828"/>
      <c r="E32" s="1052"/>
      <c r="F32" s="97"/>
      <c r="G32" s="70"/>
      <c r="H32" s="610"/>
      <c r="I32" s="609"/>
      <c r="J32" s="610"/>
      <c r="K32" s="1154"/>
      <c r="L32" s="609"/>
      <c r="M32" s="610"/>
      <c r="N32" s="1154"/>
      <c r="O32" s="609"/>
      <c r="P32" s="909"/>
      <c r="Q32" s="1836"/>
      <c r="R32" s="598"/>
      <c r="S32" s="598"/>
      <c r="T32" s="1105"/>
      <c r="U32" s="2093"/>
    </row>
    <row r="33" spans="1:21" ht="25.5" customHeight="1" x14ac:dyDescent="0.2">
      <c r="A33" s="1037"/>
      <c r="B33" s="1038"/>
      <c r="C33" s="1040"/>
      <c r="D33" s="1854" t="s">
        <v>297</v>
      </c>
      <c r="E33" s="1050" t="s">
        <v>47</v>
      </c>
      <c r="F33" s="1877"/>
      <c r="G33" s="68"/>
      <c r="H33" s="610"/>
      <c r="I33" s="609"/>
      <c r="J33" s="610"/>
      <c r="K33" s="92"/>
      <c r="L33" s="270"/>
      <c r="M33" s="108"/>
      <c r="N33" s="92"/>
      <c r="O33" s="270"/>
      <c r="P33" s="66"/>
      <c r="Q33" s="1229" t="s">
        <v>195</v>
      </c>
      <c r="R33" s="327"/>
      <c r="S33" s="327">
        <v>1</v>
      </c>
      <c r="T33" s="327"/>
      <c r="U33" s="2021"/>
    </row>
    <row r="34" spans="1:21" ht="26.25" customHeight="1" x14ac:dyDescent="0.2">
      <c r="A34" s="1037"/>
      <c r="B34" s="1038"/>
      <c r="C34" s="1040"/>
      <c r="D34" s="1894"/>
      <c r="E34" s="1052"/>
      <c r="F34" s="1877"/>
      <c r="G34" s="68"/>
      <c r="H34" s="610"/>
      <c r="I34" s="609"/>
      <c r="J34" s="610"/>
      <c r="K34" s="92"/>
      <c r="L34" s="270"/>
      <c r="M34" s="108"/>
      <c r="N34" s="92"/>
      <c r="O34" s="270"/>
      <c r="P34" s="66"/>
      <c r="Q34" s="1230" t="s">
        <v>371</v>
      </c>
      <c r="R34" s="327"/>
      <c r="S34" s="327"/>
      <c r="T34" s="381">
        <v>100</v>
      </c>
      <c r="U34" s="2075"/>
    </row>
    <row r="35" spans="1:21" ht="13.5" customHeight="1" x14ac:dyDescent="0.2">
      <c r="A35" s="1037"/>
      <c r="B35" s="1038"/>
      <c r="C35" s="263"/>
      <c r="D35" s="1826" t="s">
        <v>303</v>
      </c>
      <c r="E35" s="1646" t="s">
        <v>47</v>
      </c>
      <c r="F35" s="420"/>
      <c r="G35" s="68"/>
      <c r="H35" s="108"/>
      <c r="I35" s="270"/>
      <c r="J35" s="108"/>
      <c r="K35" s="92"/>
      <c r="L35" s="270"/>
      <c r="M35" s="108"/>
      <c r="N35" s="1154"/>
      <c r="O35" s="609"/>
      <c r="P35" s="909"/>
      <c r="Q35" s="1782" t="s">
        <v>312</v>
      </c>
      <c r="R35" s="594"/>
      <c r="S35" s="594">
        <v>1</v>
      </c>
      <c r="T35" s="1669"/>
      <c r="U35" s="1145"/>
    </row>
    <row r="36" spans="1:21" ht="27.75" customHeight="1" x14ac:dyDescent="0.2">
      <c r="A36" s="1037"/>
      <c r="B36" s="1038"/>
      <c r="C36" s="263"/>
      <c r="D36" s="1828"/>
      <c r="E36" s="1647"/>
      <c r="F36" s="420"/>
      <c r="G36" s="67"/>
      <c r="H36" s="613"/>
      <c r="I36" s="612"/>
      <c r="J36" s="613"/>
      <c r="K36" s="1155"/>
      <c r="L36" s="612"/>
      <c r="M36" s="613"/>
      <c r="N36" s="1155"/>
      <c r="O36" s="612"/>
      <c r="P36" s="1181"/>
      <c r="Q36" s="1893"/>
      <c r="R36" s="598"/>
      <c r="S36" s="598"/>
      <c r="T36" s="1670"/>
      <c r="U36" s="1145"/>
    </row>
    <row r="37" spans="1:21" ht="17.25" customHeight="1" thickBot="1" x14ac:dyDescent="0.25">
      <c r="A37" s="75"/>
      <c r="B37" s="1081"/>
      <c r="C37" s="104"/>
      <c r="D37" s="899"/>
      <c r="E37" s="900"/>
      <c r="F37" s="901"/>
      <c r="G37" s="156" t="s">
        <v>6</v>
      </c>
      <c r="H37" s="214">
        <f t="shared" ref="H37:P37" si="0">SUM(H14:H36)</f>
        <v>891.4</v>
      </c>
      <c r="I37" s="1150">
        <f t="shared" si="0"/>
        <v>891.4</v>
      </c>
      <c r="J37" s="1150">
        <f t="shared" si="0"/>
        <v>0</v>
      </c>
      <c r="K37" s="244">
        <f t="shared" si="0"/>
        <v>2256.6</v>
      </c>
      <c r="L37" s="1150">
        <f t="shared" si="0"/>
        <v>2256.6</v>
      </c>
      <c r="M37" s="1150">
        <f t="shared" si="0"/>
        <v>0</v>
      </c>
      <c r="N37" s="244">
        <f t="shared" si="0"/>
        <v>985.9</v>
      </c>
      <c r="O37" s="1150">
        <f t="shared" si="0"/>
        <v>985.9</v>
      </c>
      <c r="P37" s="259">
        <f t="shared" si="0"/>
        <v>0</v>
      </c>
      <c r="Q37" s="1164"/>
      <c r="R37" s="903"/>
      <c r="S37" s="904"/>
      <c r="T37" s="1107"/>
      <c r="U37" s="905"/>
    </row>
    <row r="38" spans="1:21" ht="12.75" customHeight="1" x14ac:dyDescent="0.2">
      <c r="A38" s="1078" t="s">
        <v>5</v>
      </c>
      <c r="B38" s="1080" t="s">
        <v>5</v>
      </c>
      <c r="C38" s="1065" t="s">
        <v>7</v>
      </c>
      <c r="D38" s="1789" t="s">
        <v>50</v>
      </c>
      <c r="E38" s="1791" t="s">
        <v>93</v>
      </c>
      <c r="F38" s="1082" t="s">
        <v>43</v>
      </c>
      <c r="G38" s="421" t="s">
        <v>25</v>
      </c>
      <c r="H38" s="212">
        <f>744.6-87.4-5</f>
        <v>652.20000000000005</v>
      </c>
      <c r="I38" s="212">
        <f>744.6-87.4-5</f>
        <v>652.20000000000005</v>
      </c>
      <c r="J38" s="261"/>
      <c r="K38" s="212">
        <f>1130+87.4+5</f>
        <v>1222.4000000000001</v>
      </c>
      <c r="L38" s="212">
        <f>1130+87.4+5</f>
        <v>1222.4000000000001</v>
      </c>
      <c r="M38" s="261"/>
      <c r="N38" s="260">
        <v>1442.6</v>
      </c>
      <c r="O38" s="212">
        <v>1442.6</v>
      </c>
      <c r="P38" s="439"/>
      <c r="Q38" s="107"/>
      <c r="R38" s="321"/>
      <c r="S38" s="321"/>
      <c r="T38" s="1108"/>
      <c r="U38" s="1146"/>
    </row>
    <row r="39" spans="1:21" ht="16.5" customHeight="1" x14ac:dyDescent="0.2">
      <c r="A39" s="1046"/>
      <c r="B39" s="1038"/>
      <c r="C39" s="1040"/>
      <c r="D39" s="1790"/>
      <c r="E39" s="1787"/>
      <c r="F39" s="1042"/>
      <c r="G39" s="280" t="s">
        <v>106</v>
      </c>
      <c r="H39" s="108">
        <v>100</v>
      </c>
      <c r="I39" s="270">
        <v>100</v>
      </c>
      <c r="J39" s="108"/>
      <c r="K39" s="92">
        <v>3150</v>
      </c>
      <c r="L39" s="270">
        <v>3150</v>
      </c>
      <c r="M39" s="108"/>
      <c r="N39" s="92">
        <v>2450</v>
      </c>
      <c r="O39" s="270">
        <v>2450</v>
      </c>
      <c r="P39" s="66"/>
      <c r="Q39" s="763"/>
      <c r="R39" s="327"/>
      <c r="S39" s="327"/>
      <c r="T39" s="381"/>
      <c r="U39" s="306"/>
    </row>
    <row r="40" spans="1:21" ht="16.5" customHeight="1" x14ac:dyDescent="0.2">
      <c r="A40" s="1542"/>
      <c r="B40" s="1536"/>
      <c r="C40" s="1537"/>
      <c r="D40" s="1556"/>
      <c r="E40" s="1787"/>
      <c r="F40" s="1539"/>
      <c r="G40" s="280" t="s">
        <v>62</v>
      </c>
      <c r="H40" s="108">
        <v>5.9</v>
      </c>
      <c r="I40" s="270">
        <v>5.9</v>
      </c>
      <c r="J40" s="108"/>
      <c r="K40" s="92"/>
      <c r="L40" s="270"/>
      <c r="M40" s="108"/>
      <c r="N40" s="92"/>
      <c r="O40" s="270"/>
      <c r="P40" s="66"/>
      <c r="Q40" s="1547"/>
      <c r="R40" s="1552"/>
      <c r="S40" s="1552"/>
      <c r="T40" s="381"/>
      <c r="U40" s="1545"/>
    </row>
    <row r="41" spans="1:21" ht="16.5" customHeight="1" x14ac:dyDescent="0.2">
      <c r="A41" s="1649"/>
      <c r="B41" s="1641"/>
      <c r="C41" s="1642"/>
      <c r="D41" s="1556"/>
      <c r="E41" s="1787"/>
      <c r="F41" s="1644"/>
      <c r="G41" s="280" t="s">
        <v>105</v>
      </c>
      <c r="H41" s="108">
        <v>366.6</v>
      </c>
      <c r="I41" s="270">
        <v>366.6</v>
      </c>
      <c r="J41" s="108"/>
      <c r="K41" s="92"/>
      <c r="L41" s="270"/>
      <c r="M41" s="108"/>
      <c r="N41" s="92"/>
      <c r="O41" s="270"/>
      <c r="P41" s="66"/>
      <c r="Q41" s="1651"/>
      <c r="R41" s="1653"/>
      <c r="S41" s="1653"/>
      <c r="T41" s="381"/>
      <c r="U41" s="1650"/>
    </row>
    <row r="42" spans="1:21" ht="14.25" customHeight="1" x14ac:dyDescent="0.2">
      <c r="A42" s="1046"/>
      <c r="B42" s="1038"/>
      <c r="C42" s="1040"/>
      <c r="D42" s="1671"/>
      <c r="E42" s="1787"/>
      <c r="F42" s="1042"/>
      <c r="G42" s="80" t="s">
        <v>45</v>
      </c>
      <c r="H42" s="170"/>
      <c r="I42" s="45"/>
      <c r="J42" s="170"/>
      <c r="K42" s="95"/>
      <c r="L42" s="45"/>
      <c r="M42" s="170"/>
      <c r="N42" s="95">
        <v>95</v>
      </c>
      <c r="O42" s="45">
        <v>95</v>
      </c>
      <c r="P42" s="202"/>
      <c r="Q42" s="1165"/>
      <c r="R42" s="22"/>
      <c r="S42" s="22"/>
      <c r="T42" s="383"/>
      <c r="U42" s="306"/>
    </row>
    <row r="43" spans="1:21" ht="39.75" customHeight="1" x14ac:dyDescent="0.2">
      <c r="A43" s="1939"/>
      <c r="B43" s="1832"/>
      <c r="C43" s="1833"/>
      <c r="D43" s="1827" t="s">
        <v>293</v>
      </c>
      <c r="E43" s="1051" t="s">
        <v>47</v>
      </c>
      <c r="F43" s="1833"/>
      <c r="G43" s="68"/>
      <c r="H43" s="108"/>
      <c r="I43" s="270"/>
      <c r="J43" s="108"/>
      <c r="K43" s="92"/>
      <c r="L43" s="270"/>
      <c r="M43" s="108"/>
      <c r="N43" s="92"/>
      <c r="O43" s="270"/>
      <c r="P43" s="66"/>
      <c r="Q43" s="1166" t="s">
        <v>203</v>
      </c>
      <c r="R43" s="1075">
        <v>1</v>
      </c>
      <c r="S43" s="1075"/>
      <c r="T43" s="1109"/>
      <c r="U43" s="408"/>
    </row>
    <row r="44" spans="1:21" ht="42" customHeight="1" x14ac:dyDescent="0.2">
      <c r="A44" s="1939"/>
      <c r="B44" s="1832"/>
      <c r="C44" s="1833"/>
      <c r="D44" s="1827"/>
      <c r="E44" s="1051"/>
      <c r="F44" s="1833"/>
      <c r="G44" s="68"/>
      <c r="H44" s="108"/>
      <c r="I44" s="270"/>
      <c r="J44" s="108"/>
      <c r="K44" s="92"/>
      <c r="L44" s="270"/>
      <c r="M44" s="108"/>
      <c r="N44" s="92"/>
      <c r="O44" s="270"/>
      <c r="P44" s="66"/>
      <c r="Q44" s="1167" t="s">
        <v>270</v>
      </c>
      <c r="R44" s="52">
        <v>100</v>
      </c>
      <c r="S44" s="52"/>
      <c r="T44" s="1110"/>
      <c r="U44" s="408"/>
    </row>
    <row r="45" spans="1:21" ht="39" customHeight="1" x14ac:dyDescent="0.2">
      <c r="A45" s="1939"/>
      <c r="B45" s="1832"/>
      <c r="C45" s="1833"/>
      <c r="D45" s="1827"/>
      <c r="E45" s="1051"/>
      <c r="F45" s="1833"/>
      <c r="G45" s="68"/>
      <c r="H45" s="108"/>
      <c r="I45" s="270"/>
      <c r="J45" s="108"/>
      <c r="K45" s="92"/>
      <c r="L45" s="270"/>
      <c r="M45" s="108"/>
      <c r="N45" s="92"/>
      <c r="O45" s="270"/>
      <c r="P45" s="66"/>
      <c r="Q45" s="1167" t="s">
        <v>271</v>
      </c>
      <c r="R45" s="52">
        <v>40</v>
      </c>
      <c r="S45" s="52">
        <v>100</v>
      </c>
      <c r="T45" s="1110"/>
      <c r="U45" s="408"/>
    </row>
    <row r="46" spans="1:21" ht="55.5" customHeight="1" x14ac:dyDescent="0.2">
      <c r="A46" s="1939"/>
      <c r="B46" s="1832"/>
      <c r="C46" s="1833"/>
      <c r="D46" s="1827"/>
      <c r="E46" s="1051"/>
      <c r="F46" s="1833"/>
      <c r="G46" s="68"/>
      <c r="H46" s="108"/>
      <c r="I46" s="270"/>
      <c r="J46" s="108"/>
      <c r="K46" s="92"/>
      <c r="L46" s="1555"/>
      <c r="M46" s="108"/>
      <c r="N46" s="92"/>
      <c r="O46" s="270"/>
      <c r="P46" s="66"/>
      <c r="Q46" s="1298" t="s">
        <v>360</v>
      </c>
      <c r="R46" s="52"/>
      <c r="S46" s="52">
        <v>30</v>
      </c>
      <c r="T46" s="1110">
        <v>60</v>
      </c>
      <c r="U46" s="408"/>
    </row>
    <row r="47" spans="1:21" ht="30.75" customHeight="1" x14ac:dyDescent="0.2">
      <c r="A47" s="1939"/>
      <c r="B47" s="1832"/>
      <c r="C47" s="1833"/>
      <c r="D47" s="1826" t="s">
        <v>59</v>
      </c>
      <c r="E47" s="120" t="s">
        <v>47</v>
      </c>
      <c r="F47" s="1877"/>
      <c r="G47" s="60"/>
      <c r="H47" s="141"/>
      <c r="I47" s="1280"/>
      <c r="J47" s="1282"/>
      <c r="K47" s="96"/>
      <c r="L47" s="1280"/>
      <c r="M47" s="1282"/>
      <c r="N47" s="1309"/>
      <c r="O47" s="1280"/>
      <c r="P47" s="1281"/>
      <c r="Q47" s="1299" t="s">
        <v>197</v>
      </c>
      <c r="R47" s="1074"/>
      <c r="S47" s="1074">
        <v>70</v>
      </c>
      <c r="T47" s="1111">
        <v>100</v>
      </c>
      <c r="U47" s="2016"/>
    </row>
    <row r="48" spans="1:21" ht="6.75" customHeight="1" x14ac:dyDescent="0.2">
      <c r="A48" s="1939"/>
      <c r="B48" s="1832"/>
      <c r="C48" s="1833"/>
      <c r="D48" s="1828"/>
      <c r="E48" s="121"/>
      <c r="F48" s="1877"/>
      <c r="G48" s="63"/>
      <c r="H48" s="170"/>
      <c r="I48" s="45"/>
      <c r="J48" s="170"/>
      <c r="K48" s="95"/>
      <c r="L48" s="45"/>
      <c r="M48" s="170"/>
      <c r="N48" s="95"/>
      <c r="O48" s="45"/>
      <c r="P48" s="202"/>
      <c r="Q48" s="1168"/>
      <c r="R48" s="48"/>
      <c r="S48" s="48"/>
      <c r="T48" s="1112"/>
      <c r="U48" s="2018"/>
    </row>
    <row r="49" spans="1:22" ht="17.25" customHeight="1" x14ac:dyDescent="0.2">
      <c r="A49" s="1037"/>
      <c r="B49" s="1038"/>
      <c r="C49" s="97"/>
      <c r="D49" s="1826" t="s">
        <v>298</v>
      </c>
      <c r="E49" s="1936" t="s">
        <v>47</v>
      </c>
      <c r="F49" s="1938"/>
      <c r="G49" s="60"/>
      <c r="H49" s="476"/>
      <c r="I49" s="1315"/>
      <c r="J49" s="1316"/>
      <c r="K49" s="483"/>
      <c r="L49" s="1313"/>
      <c r="M49" s="476"/>
      <c r="N49" s="483"/>
      <c r="O49" s="1313"/>
      <c r="P49" s="1314"/>
      <c r="Q49" s="1317" t="s">
        <v>98</v>
      </c>
      <c r="R49" s="601">
        <v>1</v>
      </c>
      <c r="S49" s="569"/>
      <c r="T49" s="1114"/>
      <c r="U49" s="2021"/>
    </row>
    <row r="50" spans="1:22" ht="22.5" customHeight="1" x14ac:dyDescent="0.2">
      <c r="A50" s="1037"/>
      <c r="B50" s="1038"/>
      <c r="C50" s="97"/>
      <c r="D50" s="1827"/>
      <c r="E50" s="1937"/>
      <c r="F50" s="1938"/>
      <c r="G50" s="67"/>
      <c r="H50" s="1318"/>
      <c r="I50" s="1319"/>
      <c r="J50" s="1318"/>
      <c r="K50" s="1320"/>
      <c r="L50" s="1319"/>
      <c r="M50" s="1318"/>
      <c r="N50" s="1320"/>
      <c r="O50" s="1319"/>
      <c r="P50" s="1321"/>
      <c r="Q50" s="1322"/>
      <c r="R50" s="588"/>
      <c r="S50" s="591"/>
      <c r="T50" s="381"/>
      <c r="U50" s="2075"/>
    </row>
    <row r="51" spans="1:22" ht="14.25" customHeight="1" x14ac:dyDescent="0.2">
      <c r="A51" s="1037"/>
      <c r="B51" s="1038"/>
      <c r="C51" s="97"/>
      <c r="D51" s="1883" t="s">
        <v>333</v>
      </c>
      <c r="E51" s="1047"/>
      <c r="F51" s="1048"/>
      <c r="G51" s="312" t="s">
        <v>25</v>
      </c>
      <c r="H51" s="141"/>
      <c r="I51" s="1280"/>
      <c r="J51" s="1282"/>
      <c r="K51" s="96"/>
      <c r="L51" s="1280"/>
      <c r="M51" s="1282"/>
      <c r="N51" s="96"/>
      <c r="O51" s="53"/>
      <c r="P51" s="230"/>
      <c r="Q51" s="1548" t="s">
        <v>313</v>
      </c>
      <c r="R51" s="655">
        <v>1</v>
      </c>
      <c r="S51" s="569"/>
      <c r="T51" s="1114"/>
      <c r="U51" s="2016"/>
    </row>
    <row r="52" spans="1:22" ht="16.5" customHeight="1" x14ac:dyDescent="0.2">
      <c r="A52" s="1037"/>
      <c r="B52" s="1038"/>
      <c r="C52" s="97"/>
      <c r="D52" s="1940"/>
      <c r="E52" s="1047"/>
      <c r="F52" s="1048"/>
      <c r="G52" s="74"/>
      <c r="H52" s="170"/>
      <c r="I52" s="45"/>
      <c r="J52" s="170"/>
      <c r="K52" s="95"/>
      <c r="L52" s="45"/>
      <c r="M52" s="170"/>
      <c r="N52" s="95"/>
      <c r="O52" s="45"/>
      <c r="P52" s="202"/>
      <c r="Q52" s="1170" t="s">
        <v>46</v>
      </c>
      <c r="R52" s="657"/>
      <c r="S52" s="603"/>
      <c r="T52" s="383">
        <v>1</v>
      </c>
      <c r="U52" s="2018"/>
    </row>
    <row r="53" spans="1:22" ht="14.25" customHeight="1" x14ac:dyDescent="0.2">
      <c r="A53" s="1037"/>
      <c r="B53" s="1038"/>
      <c r="C53" s="97"/>
      <c r="D53" s="1826" t="s">
        <v>334</v>
      </c>
      <c r="E53" s="1936" t="s">
        <v>47</v>
      </c>
      <c r="F53" s="1941"/>
      <c r="G53" s="68"/>
      <c r="H53" s="424"/>
      <c r="I53" s="478"/>
      <c r="J53" s="424"/>
      <c r="K53" s="418"/>
      <c r="L53" s="478"/>
      <c r="M53" s="424"/>
      <c r="N53" s="418"/>
      <c r="O53" s="478"/>
      <c r="P53" s="419"/>
      <c r="Q53" s="1169" t="s">
        <v>98</v>
      </c>
      <c r="R53" s="588"/>
      <c r="S53" s="591"/>
      <c r="T53" s="381">
        <v>1</v>
      </c>
      <c r="U53" s="306"/>
    </row>
    <row r="54" spans="1:22" ht="17.25" customHeight="1" x14ac:dyDescent="0.2">
      <c r="A54" s="1037"/>
      <c r="B54" s="1038"/>
      <c r="C54" s="97"/>
      <c r="D54" s="1827"/>
      <c r="E54" s="1937"/>
      <c r="F54" s="1941"/>
      <c r="G54" s="74"/>
      <c r="H54" s="170"/>
      <c r="I54" s="45"/>
      <c r="J54" s="170"/>
      <c r="K54" s="95"/>
      <c r="L54" s="45"/>
      <c r="M54" s="170"/>
      <c r="N54" s="95"/>
      <c r="O54" s="45"/>
      <c r="P54" s="202"/>
      <c r="Q54" s="1171"/>
      <c r="R54" s="588"/>
      <c r="S54" s="591"/>
      <c r="T54" s="381"/>
      <c r="U54" s="306"/>
    </row>
    <row r="55" spans="1:22" ht="17.25" customHeight="1" thickBot="1" x14ac:dyDescent="0.25">
      <c r="A55" s="75"/>
      <c r="B55" s="1081"/>
      <c r="C55" s="104"/>
      <c r="D55" s="899"/>
      <c r="E55" s="900"/>
      <c r="F55" s="901"/>
      <c r="G55" s="156" t="s">
        <v>6</v>
      </c>
      <c r="H55" s="214">
        <f>SUM(H38:H54)</f>
        <v>1124.7</v>
      </c>
      <c r="I55" s="1150">
        <f>SUM(I38:I54)</f>
        <v>1124.7</v>
      </c>
      <c r="J55" s="257">
        <f t="shared" ref="J55:P55" si="1">SUM(J38:J54)</f>
        <v>0</v>
      </c>
      <c r="K55" s="214">
        <f t="shared" si="1"/>
        <v>4372.3999999999996</v>
      </c>
      <c r="L55" s="1150">
        <f t="shared" si="1"/>
        <v>4372.3999999999996</v>
      </c>
      <c r="M55" s="1103">
        <f t="shared" si="1"/>
        <v>0</v>
      </c>
      <c r="N55" s="244">
        <f t="shared" si="1"/>
        <v>3987.6</v>
      </c>
      <c r="O55" s="1150">
        <f>SUM(O38:O54)</f>
        <v>3987.6</v>
      </c>
      <c r="P55" s="257">
        <f t="shared" si="1"/>
        <v>0</v>
      </c>
      <c r="Q55" s="1164"/>
      <c r="R55" s="903"/>
      <c r="S55" s="904"/>
      <c r="T55" s="1107"/>
      <c r="U55" s="905"/>
    </row>
    <row r="56" spans="1:22" ht="15" customHeight="1" x14ac:dyDescent="0.2">
      <c r="A56" s="1037" t="s">
        <v>5</v>
      </c>
      <c r="B56" s="1049" t="s">
        <v>5</v>
      </c>
      <c r="C56" s="1040" t="s">
        <v>28</v>
      </c>
      <c r="D56" s="1942" t="s">
        <v>101</v>
      </c>
      <c r="E56" s="1944" t="s">
        <v>95</v>
      </c>
      <c r="F56" s="1082" t="s">
        <v>43</v>
      </c>
      <c r="G56" s="260" t="s">
        <v>25</v>
      </c>
      <c r="H56" s="438">
        <f>326-101.6</f>
        <v>224.4</v>
      </c>
      <c r="I56" s="212">
        <f>326-101.6</f>
        <v>224.4</v>
      </c>
      <c r="J56" s="439"/>
      <c r="K56" s="212">
        <f>633.9+875.5-263.4+101.6</f>
        <v>1347.6</v>
      </c>
      <c r="L56" s="212">
        <f>633.9+875.5-263.4+101.6</f>
        <v>1347.6</v>
      </c>
      <c r="M56" s="261"/>
      <c r="N56" s="438">
        <f>2792.4-328.6</f>
        <v>2463.8000000000002</v>
      </c>
      <c r="O56" s="212">
        <f>2792.4-328.6</f>
        <v>2463.8000000000002</v>
      </c>
      <c r="P56" s="1278"/>
      <c r="Q56" s="1172"/>
      <c r="R56" s="426"/>
      <c r="S56" s="781"/>
      <c r="T56" s="781"/>
      <c r="U56" s="782"/>
    </row>
    <row r="57" spans="1:22" ht="11.25" customHeight="1" x14ac:dyDescent="0.2">
      <c r="A57" s="1037"/>
      <c r="B57" s="1049"/>
      <c r="C57" s="1040"/>
      <c r="D57" s="1943"/>
      <c r="E57" s="1945"/>
      <c r="F57" s="1042"/>
      <c r="G57" s="92" t="s">
        <v>105</v>
      </c>
      <c r="H57" s="148"/>
      <c r="I57" s="270"/>
      <c r="J57" s="66"/>
      <c r="K57" s="108">
        <v>198.4</v>
      </c>
      <c r="L57" s="270">
        <v>198.4</v>
      </c>
      <c r="M57" s="108"/>
      <c r="N57" s="148"/>
      <c r="O57" s="270"/>
      <c r="P57" s="66"/>
      <c r="Q57" s="763"/>
      <c r="R57" s="489"/>
      <c r="S57" s="490"/>
      <c r="T57" s="490"/>
      <c r="U57" s="408"/>
    </row>
    <row r="58" spans="1:22" ht="11.25" customHeight="1" x14ac:dyDescent="0.2">
      <c r="A58" s="1618"/>
      <c r="B58" s="1621"/>
      <c r="C58" s="1619"/>
      <c r="D58" s="1943"/>
      <c r="E58" s="1945"/>
      <c r="F58" s="1620"/>
      <c r="G58" s="92" t="s">
        <v>48</v>
      </c>
      <c r="H58" s="1726">
        <f>300-182.4</f>
        <v>117.6</v>
      </c>
      <c r="I58" s="478">
        <f>300-182.4</f>
        <v>117.6</v>
      </c>
      <c r="J58" s="419"/>
      <c r="K58" s="424">
        <v>182.4</v>
      </c>
      <c r="L58" s="478">
        <v>182.4</v>
      </c>
      <c r="M58" s="108"/>
      <c r="N58" s="92"/>
      <c r="O58" s="270"/>
      <c r="P58" s="66"/>
      <c r="Q58" s="1634"/>
      <c r="R58" s="1632"/>
      <c r="S58" s="490"/>
      <c r="T58" s="490"/>
      <c r="U58" s="408"/>
    </row>
    <row r="59" spans="1:22" ht="11.25" customHeight="1" x14ac:dyDescent="0.2">
      <c r="A59" s="1618"/>
      <c r="B59" s="1621"/>
      <c r="C59" s="1619"/>
      <c r="D59" s="1943"/>
      <c r="E59" s="1945"/>
      <c r="F59" s="1620"/>
      <c r="G59" s="92" t="s">
        <v>45</v>
      </c>
      <c r="H59" s="418"/>
      <c r="I59" s="1502"/>
      <c r="J59" s="1503"/>
      <c r="K59" s="424">
        <v>150</v>
      </c>
      <c r="L59" s="478">
        <v>150</v>
      </c>
      <c r="M59" s="108"/>
      <c r="N59" s="92"/>
      <c r="O59" s="270"/>
      <c r="P59" s="66"/>
      <c r="Q59" s="1634"/>
      <c r="R59" s="1632"/>
      <c r="S59" s="490"/>
      <c r="T59" s="490"/>
      <c r="U59" s="408"/>
    </row>
    <row r="60" spans="1:22" ht="11.25" customHeight="1" x14ac:dyDescent="0.2">
      <c r="A60" s="1037"/>
      <c r="B60" s="1049"/>
      <c r="C60" s="1040"/>
      <c r="D60" s="1932"/>
      <c r="E60" s="1787"/>
      <c r="F60" s="1042"/>
      <c r="G60" s="92" t="s">
        <v>62</v>
      </c>
      <c r="H60" s="148">
        <f>420-260+295-32</f>
        <v>423</v>
      </c>
      <c r="I60" s="270">
        <f>420-260+295-32</f>
        <v>423</v>
      </c>
      <c r="J60" s="1277"/>
      <c r="K60" s="108">
        <v>32</v>
      </c>
      <c r="L60" s="270">
        <v>32</v>
      </c>
      <c r="M60" s="108"/>
      <c r="N60" s="92"/>
      <c r="O60" s="270"/>
      <c r="P60" s="66"/>
      <c r="Q60" s="763"/>
      <c r="R60" s="489"/>
      <c r="S60" s="490"/>
      <c r="T60" s="490"/>
      <c r="U60" s="408"/>
      <c r="V60" s="1266"/>
    </row>
    <row r="61" spans="1:22" ht="13.5" customHeight="1" x14ac:dyDescent="0.2">
      <c r="A61" s="1643"/>
      <c r="B61" s="1645"/>
      <c r="C61" s="1642"/>
      <c r="D61" s="1648"/>
      <c r="E61" s="1640"/>
      <c r="F61" s="1644"/>
      <c r="G61" s="95" t="s">
        <v>376</v>
      </c>
      <c r="H61" s="145">
        <v>984.5</v>
      </c>
      <c r="I61" s="1508">
        <v>984.5</v>
      </c>
      <c r="J61" s="1674"/>
      <c r="K61" s="703">
        <v>846.2</v>
      </c>
      <c r="L61" s="1508">
        <v>846.2</v>
      </c>
      <c r="M61" s="703"/>
      <c r="N61" s="95">
        <v>149.9</v>
      </c>
      <c r="O61" s="45">
        <v>149.9</v>
      </c>
      <c r="P61" s="202"/>
      <c r="Q61" s="1165"/>
      <c r="R61" s="1652"/>
      <c r="S61" s="490"/>
      <c r="T61" s="490"/>
      <c r="U61" s="408"/>
      <c r="V61" s="1266"/>
    </row>
    <row r="62" spans="1:22" ht="14.1" customHeight="1" x14ac:dyDescent="0.2">
      <c r="A62" s="1837"/>
      <c r="B62" s="1888"/>
      <c r="C62" s="1833"/>
      <c r="D62" s="1883" t="s">
        <v>177</v>
      </c>
      <c r="E62" s="1898" t="s">
        <v>47</v>
      </c>
      <c r="F62" s="1889"/>
      <c r="G62" s="92" t="s">
        <v>106</v>
      </c>
      <c r="H62" s="148">
        <f>860-300</f>
        <v>560</v>
      </c>
      <c r="I62" s="831">
        <f>860-300-300</f>
        <v>260</v>
      </c>
      <c r="J62" s="1277">
        <f>I62-H62</f>
        <v>-300</v>
      </c>
      <c r="K62" s="138">
        <v>1000</v>
      </c>
      <c r="L62" s="270">
        <v>1000</v>
      </c>
      <c r="M62" s="1678"/>
      <c r="N62" s="1675"/>
      <c r="O62" s="1676"/>
      <c r="P62" s="1677"/>
      <c r="Q62" s="2070"/>
      <c r="R62" s="1476"/>
      <c r="S62" s="1475"/>
      <c r="T62" s="1475"/>
      <c r="U62" s="2016" t="s">
        <v>412</v>
      </c>
    </row>
    <row r="63" spans="1:22" ht="14.1" customHeight="1" x14ac:dyDescent="0.2">
      <c r="A63" s="1837"/>
      <c r="B63" s="1888"/>
      <c r="C63" s="1833"/>
      <c r="D63" s="1770"/>
      <c r="E63" s="1895"/>
      <c r="F63" s="1889"/>
      <c r="G63" s="92"/>
      <c r="H63" s="418"/>
      <c r="I63" s="1502"/>
      <c r="J63" s="1503"/>
      <c r="K63" s="424"/>
      <c r="L63" s="1502"/>
      <c r="M63" s="1310"/>
      <c r="N63" s="92"/>
      <c r="O63" s="831"/>
      <c r="P63" s="1277"/>
      <c r="Q63" s="2070"/>
      <c r="R63" s="1551"/>
      <c r="S63" s="1551"/>
      <c r="T63" s="1551"/>
      <c r="U63" s="2057"/>
    </row>
    <row r="64" spans="1:22" ht="18" customHeight="1" x14ac:dyDescent="0.2">
      <c r="A64" s="1837"/>
      <c r="B64" s="1888"/>
      <c r="C64" s="1833"/>
      <c r="D64" s="1932"/>
      <c r="E64" s="1895"/>
      <c r="F64" s="1889"/>
      <c r="G64" s="92"/>
      <c r="H64" s="418"/>
      <c r="I64" s="1502"/>
      <c r="J64" s="1503"/>
      <c r="K64" s="1310"/>
      <c r="L64" s="1502"/>
      <c r="M64" s="1310"/>
      <c r="N64" s="1673"/>
      <c r="O64" s="1502"/>
      <c r="P64" s="1503"/>
      <c r="Q64" s="2120"/>
      <c r="R64" s="1501"/>
      <c r="S64" s="1501"/>
      <c r="T64" s="1501"/>
      <c r="U64" s="2057"/>
    </row>
    <row r="65" spans="1:21" ht="6.75" customHeight="1" x14ac:dyDescent="0.2">
      <c r="A65" s="1837"/>
      <c r="B65" s="1888"/>
      <c r="C65" s="1833"/>
      <c r="D65" s="2051"/>
      <c r="E65" s="1895"/>
      <c r="F65" s="1889"/>
      <c r="G65" s="92"/>
      <c r="H65" s="92"/>
      <c r="I65" s="270"/>
      <c r="J65" s="66"/>
      <c r="K65" s="108"/>
      <c r="L65" s="270"/>
      <c r="M65" s="108"/>
      <c r="N65" s="92"/>
      <c r="O65" s="270"/>
      <c r="P65" s="66"/>
      <c r="Q65" s="1504"/>
      <c r="R65" s="1501"/>
      <c r="S65" s="1501"/>
      <c r="T65" s="1501"/>
      <c r="U65" s="2075"/>
    </row>
    <row r="66" spans="1:21" ht="39" customHeight="1" x14ac:dyDescent="0.2">
      <c r="A66" s="1837"/>
      <c r="B66" s="1888"/>
      <c r="C66" s="1833"/>
      <c r="D66" s="660" t="s">
        <v>201</v>
      </c>
      <c r="E66" s="1895"/>
      <c r="F66" s="1889"/>
      <c r="G66" s="92"/>
      <c r="H66" s="92"/>
      <c r="I66" s="831"/>
      <c r="J66" s="1277"/>
      <c r="K66" s="108"/>
      <c r="L66" s="270"/>
      <c r="M66" s="108"/>
      <c r="N66" s="92"/>
      <c r="O66" s="270"/>
      <c r="P66" s="66"/>
      <c r="Q66" s="1505" t="s">
        <v>273</v>
      </c>
      <c r="R66" s="27">
        <v>80</v>
      </c>
      <c r="S66" s="193">
        <v>100</v>
      </c>
      <c r="T66" s="193"/>
      <c r="U66" s="2075"/>
    </row>
    <row r="67" spans="1:21" ht="92.25" customHeight="1" x14ac:dyDescent="0.2">
      <c r="A67" s="1837"/>
      <c r="B67" s="1888"/>
      <c r="C67" s="1833"/>
      <c r="D67" s="1483" t="s">
        <v>165</v>
      </c>
      <c r="E67" s="1899"/>
      <c r="F67" s="1889"/>
      <c r="G67" s="95"/>
      <c r="H67" s="95"/>
      <c r="I67" s="45"/>
      <c r="J67" s="202"/>
      <c r="K67" s="170"/>
      <c r="L67" s="1225"/>
      <c r="M67" s="1228"/>
      <c r="N67" s="95"/>
      <c r="O67" s="1225"/>
      <c r="P67" s="1285"/>
      <c r="Q67" s="1506" t="s">
        <v>274</v>
      </c>
      <c r="R67" s="22"/>
      <c r="S67" s="51">
        <v>80</v>
      </c>
      <c r="T67" s="51">
        <v>100</v>
      </c>
      <c r="U67" s="2018"/>
    </row>
    <row r="68" spans="1:21" ht="17.25" customHeight="1" x14ac:dyDescent="0.2">
      <c r="A68" s="1037"/>
      <c r="B68" s="1049"/>
      <c r="C68" s="1042"/>
      <c r="D68" s="1826" t="s">
        <v>123</v>
      </c>
      <c r="E68" s="1937" t="s">
        <v>47</v>
      </c>
      <c r="F68" s="1938"/>
      <c r="G68" s="96"/>
      <c r="H68" s="96"/>
      <c r="I68" s="1280"/>
      <c r="J68" s="1281"/>
      <c r="K68" s="141"/>
      <c r="L68" s="1280"/>
      <c r="M68" s="1282"/>
      <c r="N68" s="96"/>
      <c r="O68" s="53"/>
      <c r="P68" s="230"/>
      <c r="Q68" s="1299" t="s">
        <v>46</v>
      </c>
      <c r="R68" s="327">
        <v>1</v>
      </c>
      <c r="S68" s="327"/>
      <c r="T68" s="381"/>
      <c r="U68" s="2016"/>
    </row>
    <row r="69" spans="1:21" ht="14.25" customHeight="1" x14ac:dyDescent="0.2">
      <c r="A69" s="1037"/>
      <c r="B69" s="1049"/>
      <c r="C69" s="1042"/>
      <c r="D69" s="1827"/>
      <c r="E69" s="1937"/>
      <c r="F69" s="1938"/>
      <c r="G69" s="92"/>
      <c r="H69" s="92"/>
      <c r="I69" s="831"/>
      <c r="J69" s="1277"/>
      <c r="K69" s="108"/>
      <c r="L69" s="831"/>
      <c r="M69" s="1672"/>
      <c r="N69" s="92"/>
      <c r="O69" s="270"/>
      <c r="P69" s="66"/>
      <c r="Q69" s="2107" t="s">
        <v>198</v>
      </c>
      <c r="R69" s="2117" t="s">
        <v>411</v>
      </c>
      <c r="S69" s="489">
        <v>100</v>
      </c>
      <c r="T69" s="1118"/>
      <c r="U69" s="2073"/>
    </row>
    <row r="70" spans="1:21" ht="19.5" customHeight="1" x14ac:dyDescent="0.2">
      <c r="A70" s="1037"/>
      <c r="B70" s="1049"/>
      <c r="C70" s="1042"/>
      <c r="D70" s="1828"/>
      <c r="E70" s="2101"/>
      <c r="F70" s="1938"/>
      <c r="G70" s="145"/>
      <c r="H70" s="95"/>
      <c r="I70" s="1225"/>
      <c r="J70" s="1285"/>
      <c r="K70" s="170"/>
      <c r="L70" s="1225"/>
      <c r="M70" s="1227"/>
      <c r="N70" s="95"/>
      <c r="O70" s="45"/>
      <c r="P70" s="202"/>
      <c r="Q70" s="2108"/>
      <c r="R70" s="2118"/>
      <c r="S70" s="48"/>
      <c r="T70" s="1112"/>
      <c r="U70" s="2116"/>
    </row>
    <row r="71" spans="1:21" ht="15" customHeight="1" x14ac:dyDescent="0.2">
      <c r="A71" s="1037"/>
      <c r="B71" s="1049"/>
      <c r="C71" s="1042"/>
      <c r="D71" s="1826" t="s">
        <v>60</v>
      </c>
      <c r="E71" s="2102" t="s">
        <v>47</v>
      </c>
      <c r="F71" s="1938"/>
      <c r="G71" s="96"/>
      <c r="H71" s="96"/>
      <c r="I71" s="53"/>
      <c r="J71" s="230"/>
      <c r="K71" s="141"/>
      <c r="L71" s="53"/>
      <c r="M71" s="141"/>
      <c r="N71" s="96"/>
      <c r="O71" s="53"/>
      <c r="P71" s="230"/>
      <c r="Q71" s="1546" t="s">
        <v>46</v>
      </c>
      <c r="R71" s="1074"/>
      <c r="S71" s="1074"/>
      <c r="T71" s="1111">
        <v>1</v>
      </c>
      <c r="U71" s="1545"/>
    </row>
    <row r="72" spans="1:21" ht="12.75" customHeight="1" x14ac:dyDescent="0.2">
      <c r="A72" s="1037"/>
      <c r="B72" s="1049"/>
      <c r="C72" s="1042"/>
      <c r="D72" s="1828"/>
      <c r="E72" s="2103"/>
      <c r="F72" s="1938"/>
      <c r="G72" s="418"/>
      <c r="H72" s="92"/>
      <c r="I72" s="270"/>
      <c r="J72" s="66"/>
      <c r="K72" s="108"/>
      <c r="L72" s="270"/>
      <c r="M72" s="108"/>
      <c r="N72" s="92"/>
      <c r="O72" s="270"/>
      <c r="P72" s="66"/>
      <c r="Q72" s="1165"/>
      <c r="R72" s="7"/>
      <c r="S72" s="7"/>
      <c r="T72" s="1557"/>
      <c r="U72" s="1550"/>
    </row>
    <row r="73" spans="1:21" ht="19.5" customHeight="1" x14ac:dyDescent="0.2">
      <c r="A73" s="1037"/>
      <c r="B73" s="1049"/>
      <c r="C73" s="1042"/>
      <c r="D73" s="1883" t="s">
        <v>335</v>
      </c>
      <c r="E73" s="1053" t="s">
        <v>47</v>
      </c>
      <c r="F73" s="1941"/>
      <c r="G73" s="92"/>
      <c r="H73" s="92"/>
      <c r="I73" s="270"/>
      <c r="J73" s="66"/>
      <c r="K73" s="108"/>
      <c r="L73" s="270"/>
      <c r="M73" s="108"/>
      <c r="N73" s="92"/>
      <c r="O73" s="270"/>
      <c r="P73" s="66"/>
      <c r="Q73" s="1549" t="s">
        <v>46</v>
      </c>
      <c r="R73" s="594">
        <v>1</v>
      </c>
      <c r="S73" s="594"/>
      <c r="T73" s="1104"/>
      <c r="U73" s="914"/>
    </row>
    <row r="74" spans="1:21" ht="27" customHeight="1" x14ac:dyDescent="0.2">
      <c r="A74" s="1037"/>
      <c r="B74" s="1049"/>
      <c r="C74" s="1042"/>
      <c r="D74" s="1932"/>
      <c r="E74" s="766"/>
      <c r="F74" s="1941"/>
      <c r="G74" s="145" t="s">
        <v>45</v>
      </c>
      <c r="H74" s="95">
        <v>40</v>
      </c>
      <c r="I74" s="45">
        <v>40</v>
      </c>
      <c r="J74" s="202"/>
      <c r="K74" s="170"/>
      <c r="L74" s="45"/>
      <c r="M74" s="170"/>
      <c r="N74" s="95"/>
      <c r="O74" s="45"/>
      <c r="P74" s="202"/>
      <c r="Q74" s="1161" t="s">
        <v>336</v>
      </c>
      <c r="R74" s="596"/>
      <c r="S74" s="596"/>
      <c r="T74" s="1106">
        <v>100</v>
      </c>
      <c r="U74" s="914"/>
    </row>
    <row r="75" spans="1:21" ht="15.75" customHeight="1" thickBot="1" x14ac:dyDescent="0.25">
      <c r="A75" s="75"/>
      <c r="B75" s="1081"/>
      <c r="C75" s="104"/>
      <c r="D75" s="899"/>
      <c r="E75" s="900"/>
      <c r="F75" s="901"/>
      <c r="G75" s="244" t="s">
        <v>6</v>
      </c>
      <c r="H75" s="244">
        <f t="shared" ref="H75:P75" si="2">SUM(H56:H74)</f>
        <v>2349.5</v>
      </c>
      <c r="I75" s="1733">
        <f t="shared" si="2"/>
        <v>2049.5</v>
      </c>
      <c r="J75" s="1667">
        <f t="shared" si="2"/>
        <v>-300</v>
      </c>
      <c r="K75" s="214">
        <f t="shared" si="2"/>
        <v>3756.6</v>
      </c>
      <c r="L75" s="1150">
        <f t="shared" si="2"/>
        <v>3756.6</v>
      </c>
      <c r="M75" s="453">
        <f t="shared" si="2"/>
        <v>0</v>
      </c>
      <c r="N75" s="244">
        <f t="shared" si="2"/>
        <v>2613.6999999999998</v>
      </c>
      <c r="O75" s="1150">
        <f t="shared" si="2"/>
        <v>2613.6999999999998</v>
      </c>
      <c r="P75" s="834">
        <f t="shared" si="2"/>
        <v>0</v>
      </c>
      <c r="Q75" s="1164"/>
      <c r="R75" s="1558"/>
      <c r="S75" s="904"/>
      <c r="T75" s="1107"/>
      <c r="U75" s="905"/>
    </row>
    <row r="76" spans="1:21" ht="33" customHeight="1" x14ac:dyDescent="0.2">
      <c r="A76" s="1078" t="s">
        <v>5</v>
      </c>
      <c r="B76" s="325" t="s">
        <v>5</v>
      </c>
      <c r="C76" s="1065" t="s">
        <v>33</v>
      </c>
      <c r="D76" s="119" t="s">
        <v>51</v>
      </c>
      <c r="E76" s="123" t="s">
        <v>92</v>
      </c>
      <c r="F76" s="783"/>
      <c r="G76" s="71"/>
      <c r="H76" s="430"/>
      <c r="I76" s="482"/>
      <c r="J76" s="430"/>
      <c r="K76" s="481"/>
      <c r="L76" s="482"/>
      <c r="M76" s="1151"/>
      <c r="N76" s="481"/>
      <c r="O76" s="482"/>
      <c r="P76" s="1151"/>
      <c r="Q76" s="1174"/>
      <c r="R76" s="31"/>
      <c r="S76" s="31"/>
      <c r="T76" s="1406"/>
      <c r="U76" s="1146"/>
    </row>
    <row r="77" spans="1:21" ht="15" customHeight="1" x14ac:dyDescent="0.2">
      <c r="A77" s="1037"/>
      <c r="B77" s="1049"/>
      <c r="C77" s="1040"/>
      <c r="D77" s="1827" t="s">
        <v>61</v>
      </c>
      <c r="E77" s="1895" t="s">
        <v>47</v>
      </c>
      <c r="F77" s="1931">
        <v>5</v>
      </c>
      <c r="G77" s="60" t="s">
        <v>106</v>
      </c>
      <c r="H77" s="53">
        <f>500+617.1</f>
        <v>1117.0999999999999</v>
      </c>
      <c r="I77" s="53">
        <f>500+617.1</f>
        <v>1117.0999999999999</v>
      </c>
      <c r="J77" s="141"/>
      <c r="K77" s="147">
        <v>200</v>
      </c>
      <c r="L77" s="53">
        <v>200</v>
      </c>
      <c r="M77" s="230"/>
      <c r="N77" s="53"/>
      <c r="O77" s="53"/>
      <c r="P77" s="230"/>
      <c r="Q77" s="2109" t="s">
        <v>337</v>
      </c>
      <c r="R77" s="2099">
        <v>80</v>
      </c>
      <c r="S77" s="2099">
        <v>100</v>
      </c>
      <c r="T77" s="1559"/>
      <c r="U77" s="1631"/>
    </row>
    <row r="78" spans="1:21" ht="14.25" customHeight="1" x14ac:dyDescent="0.2">
      <c r="A78" s="1037"/>
      <c r="B78" s="1049"/>
      <c r="C78" s="1040"/>
      <c r="D78" s="1827"/>
      <c r="E78" s="1895"/>
      <c r="F78" s="1931"/>
      <c r="G78" s="68" t="s">
        <v>25</v>
      </c>
      <c r="H78" s="270">
        <f>1508.2+400</f>
        <v>1908.2</v>
      </c>
      <c r="I78" s="270">
        <f>1508.2+400</f>
        <v>1908.2</v>
      </c>
      <c r="J78" s="108"/>
      <c r="K78" s="148">
        <f>1500+635.7-1000.1</f>
        <v>1135.5999999999999</v>
      </c>
      <c r="L78" s="270">
        <f>1500+635.7-1000.1</f>
        <v>1135.5999999999999</v>
      </c>
      <c r="M78" s="66"/>
      <c r="N78" s="270"/>
      <c r="O78" s="270"/>
      <c r="P78" s="66"/>
      <c r="Q78" s="2110"/>
      <c r="R78" s="2104"/>
      <c r="S78" s="2104"/>
      <c r="T78" s="1118"/>
      <c r="U78" s="1633"/>
    </row>
    <row r="79" spans="1:21" ht="14.25" customHeight="1" x14ac:dyDescent="0.2">
      <c r="A79" s="1618"/>
      <c r="B79" s="1621"/>
      <c r="C79" s="1619"/>
      <c r="D79" s="1827"/>
      <c r="E79" s="1895"/>
      <c r="F79" s="1931"/>
      <c r="G79" s="68" t="s">
        <v>45</v>
      </c>
      <c r="H79" s="270">
        <v>3.2</v>
      </c>
      <c r="I79" s="270">
        <f>3.2</f>
        <v>3.2</v>
      </c>
      <c r="J79" s="108"/>
      <c r="K79" s="92"/>
      <c r="L79" s="270"/>
      <c r="M79" s="66"/>
      <c r="N79" s="92"/>
      <c r="O79" s="270"/>
      <c r="P79" s="66"/>
      <c r="Q79" s="1635"/>
      <c r="R79" s="1639"/>
      <c r="S79" s="1639"/>
      <c r="T79" s="381"/>
      <c r="U79" s="1633"/>
    </row>
    <row r="80" spans="1:21" ht="14.25" customHeight="1" x14ac:dyDescent="0.2">
      <c r="A80" s="1037"/>
      <c r="B80" s="1049"/>
      <c r="C80" s="1040"/>
      <c r="D80" s="1827"/>
      <c r="E80" s="1895"/>
      <c r="F80" s="1931"/>
      <c r="G80" s="68" t="s">
        <v>48</v>
      </c>
      <c r="H80" s="270">
        <f>993.4+482.4</f>
        <v>1475.8</v>
      </c>
      <c r="I80" s="270">
        <f>993.4+482.4</f>
        <v>1475.8</v>
      </c>
      <c r="J80" s="108"/>
      <c r="K80" s="148"/>
      <c r="L80" s="270"/>
      <c r="M80" s="66"/>
      <c r="N80" s="92"/>
      <c r="O80" s="270"/>
      <c r="P80" s="66"/>
      <c r="Q80" s="2111"/>
      <c r="R80" s="1639"/>
      <c r="S80" s="1639"/>
      <c r="T80" s="381"/>
      <c r="U80" s="1633"/>
    </row>
    <row r="81" spans="1:23" ht="16.5" customHeight="1" x14ac:dyDescent="0.2">
      <c r="A81" s="1618"/>
      <c r="B81" s="1621"/>
      <c r="C81" s="1619"/>
      <c r="D81" s="1827"/>
      <c r="E81" s="1895"/>
      <c r="F81" s="1931"/>
      <c r="G81" s="68" t="s">
        <v>105</v>
      </c>
      <c r="H81" s="270">
        <v>198.4</v>
      </c>
      <c r="I81" s="270">
        <v>198.4</v>
      </c>
      <c r="J81" s="108"/>
      <c r="K81" s="92"/>
      <c r="L81" s="270"/>
      <c r="M81" s="66"/>
      <c r="N81" s="92"/>
      <c r="O81" s="270"/>
      <c r="P81" s="66"/>
      <c r="Q81" s="2111"/>
      <c r="R81" s="1639"/>
      <c r="S81" s="1639"/>
      <c r="T81" s="381"/>
      <c r="U81" s="2095"/>
    </row>
    <row r="82" spans="1:23" ht="16.5" customHeight="1" x14ac:dyDescent="0.2">
      <c r="A82" s="1618"/>
      <c r="B82" s="1621"/>
      <c r="C82" s="1619"/>
      <c r="D82" s="1827"/>
      <c r="E82" s="1895"/>
      <c r="F82" s="1931"/>
      <c r="G82" s="68" t="s">
        <v>62</v>
      </c>
      <c r="H82" s="270">
        <v>192.4</v>
      </c>
      <c r="I82" s="270">
        <v>192.4</v>
      </c>
      <c r="J82" s="108"/>
      <c r="K82" s="92"/>
      <c r="L82" s="270"/>
      <c r="M82" s="66"/>
      <c r="N82" s="92"/>
      <c r="O82" s="270"/>
      <c r="P82" s="66"/>
      <c r="Q82" s="2111"/>
      <c r="R82" s="1639"/>
      <c r="S82" s="1639"/>
      <c r="T82" s="381"/>
      <c r="U82" s="2095"/>
    </row>
    <row r="83" spans="1:23" ht="4.5" customHeight="1" x14ac:dyDescent="0.2">
      <c r="A83" s="1618"/>
      <c r="B83" s="1621"/>
      <c r="C83" s="1619"/>
      <c r="D83" s="1827"/>
      <c r="E83" s="1895"/>
      <c r="F83" s="1931"/>
      <c r="G83" s="67"/>
      <c r="H83" s="45"/>
      <c r="I83" s="45"/>
      <c r="J83" s="170"/>
      <c r="K83" s="95"/>
      <c r="L83" s="45"/>
      <c r="M83" s="202"/>
      <c r="N83" s="95"/>
      <c r="O83" s="45"/>
      <c r="P83" s="202"/>
      <c r="Q83" s="2112"/>
      <c r="R83" s="22"/>
      <c r="S83" s="22"/>
      <c r="T83" s="383"/>
      <c r="U83" s="2105"/>
    </row>
    <row r="84" spans="1:23" ht="18" customHeight="1" x14ac:dyDescent="0.2">
      <c r="A84" s="1837"/>
      <c r="B84" s="1888"/>
      <c r="C84" s="1833"/>
      <c r="D84" s="1826" t="s">
        <v>299</v>
      </c>
      <c r="E84" s="1922" t="s">
        <v>47</v>
      </c>
      <c r="F84" s="1889"/>
      <c r="G84" s="68" t="s">
        <v>106</v>
      </c>
      <c r="H84" s="108"/>
      <c r="I84" s="270"/>
      <c r="J84" s="42"/>
      <c r="K84" s="92"/>
      <c r="L84" s="270"/>
      <c r="M84" s="66"/>
      <c r="N84" s="92">
        <v>400</v>
      </c>
      <c r="O84" s="270">
        <v>400</v>
      </c>
      <c r="P84" s="66"/>
      <c r="Q84" s="2107" t="s">
        <v>338</v>
      </c>
      <c r="R84" s="327"/>
      <c r="S84" s="327"/>
      <c r="T84" s="381">
        <v>35</v>
      </c>
      <c r="U84" s="306"/>
    </row>
    <row r="85" spans="1:23" ht="13.5" customHeight="1" x14ac:dyDescent="0.2">
      <c r="A85" s="1837"/>
      <c r="B85" s="1888"/>
      <c r="C85" s="1833"/>
      <c r="D85" s="1827"/>
      <c r="E85" s="1772"/>
      <c r="F85" s="1930"/>
      <c r="G85" s="63"/>
      <c r="H85" s="170"/>
      <c r="I85" s="45"/>
      <c r="J85" s="170"/>
      <c r="K85" s="95"/>
      <c r="L85" s="45"/>
      <c r="M85" s="202"/>
      <c r="N85" s="95"/>
      <c r="O85" s="45"/>
      <c r="P85" s="202"/>
      <c r="Q85" s="2108"/>
      <c r="R85" s="327"/>
      <c r="S85" s="327"/>
      <c r="T85" s="381"/>
      <c r="U85" s="306"/>
    </row>
    <row r="86" spans="1:23" ht="14.25" customHeight="1" x14ac:dyDescent="0.2">
      <c r="A86" s="1837"/>
      <c r="B86" s="1888"/>
      <c r="C86" s="1833"/>
      <c r="D86" s="1826" t="s">
        <v>301</v>
      </c>
      <c r="E86" s="1922" t="s">
        <v>47</v>
      </c>
      <c r="F86" s="1923">
        <v>6</v>
      </c>
      <c r="G86" s="39" t="s">
        <v>25</v>
      </c>
      <c r="H86" s="108"/>
      <c r="I86" s="270"/>
      <c r="J86" s="108"/>
      <c r="K86" s="92">
        <v>10</v>
      </c>
      <c r="L86" s="270">
        <v>10</v>
      </c>
      <c r="M86" s="66"/>
      <c r="N86" s="92">
        <v>12</v>
      </c>
      <c r="O86" s="270">
        <v>12</v>
      </c>
      <c r="P86" s="66"/>
      <c r="Q86" s="1173" t="s">
        <v>46</v>
      </c>
      <c r="R86" s="1072"/>
      <c r="S86" s="1072">
        <v>1</v>
      </c>
      <c r="T86" s="1114"/>
      <c r="U86" s="306"/>
    </row>
    <row r="87" spans="1:23" ht="21" customHeight="1" x14ac:dyDescent="0.2">
      <c r="A87" s="1837"/>
      <c r="B87" s="1888"/>
      <c r="C87" s="1833"/>
      <c r="D87" s="1827"/>
      <c r="E87" s="1772"/>
      <c r="F87" s="1923"/>
      <c r="G87" s="68"/>
      <c r="H87" s="108"/>
      <c r="I87" s="270"/>
      <c r="J87" s="108"/>
      <c r="K87" s="92"/>
      <c r="L87" s="270"/>
      <c r="M87" s="66"/>
      <c r="N87" s="92"/>
      <c r="O87" s="270"/>
      <c r="P87" s="66"/>
      <c r="Q87" s="2052" t="s">
        <v>187</v>
      </c>
      <c r="R87" s="327"/>
      <c r="S87" s="327">
        <v>50</v>
      </c>
      <c r="T87" s="381">
        <v>100</v>
      </c>
      <c r="U87" s="306"/>
    </row>
    <row r="88" spans="1:23" ht="18.75" customHeight="1" x14ac:dyDescent="0.2">
      <c r="A88" s="1837"/>
      <c r="B88" s="1888"/>
      <c r="C88" s="1833"/>
      <c r="D88" s="1827"/>
      <c r="E88" s="1772"/>
      <c r="F88" s="1923"/>
      <c r="G88" s="63"/>
      <c r="H88" s="170"/>
      <c r="I88" s="45"/>
      <c r="J88" s="170"/>
      <c r="K88" s="95"/>
      <c r="L88" s="45"/>
      <c r="M88" s="202"/>
      <c r="N88" s="95"/>
      <c r="O88" s="45"/>
      <c r="P88" s="202"/>
      <c r="Q88" s="2053"/>
      <c r="R88" s="327"/>
      <c r="S88" s="327"/>
      <c r="T88" s="381"/>
      <c r="U88" s="306"/>
    </row>
    <row r="89" spans="1:23" ht="15.75" customHeight="1" thickBot="1" x14ac:dyDescent="0.25">
      <c r="A89" s="75"/>
      <c r="B89" s="1081"/>
      <c r="C89" s="104"/>
      <c r="D89" s="899"/>
      <c r="E89" s="900"/>
      <c r="F89" s="901"/>
      <c r="G89" s="156" t="s">
        <v>6</v>
      </c>
      <c r="H89" s="214">
        <f>SUM(H77:H88)</f>
        <v>4895.1000000000004</v>
      </c>
      <c r="I89" s="1150">
        <f>SUM(I77:I88)</f>
        <v>4895.1000000000004</v>
      </c>
      <c r="J89" s="1661"/>
      <c r="K89" s="244">
        <f>SUM(K77:K88)</f>
        <v>1345.6</v>
      </c>
      <c r="L89" s="1150">
        <f>SUM(L77:L88)</f>
        <v>1345.6</v>
      </c>
      <c r="M89" s="1667"/>
      <c r="N89" s="244">
        <f>SUM(N77:N88)</f>
        <v>412</v>
      </c>
      <c r="O89" s="1150">
        <f>SUM(O77:O88)</f>
        <v>412</v>
      </c>
      <c r="P89" s="834">
        <f>SUM(P77:P88)</f>
        <v>0</v>
      </c>
      <c r="Q89" s="1164"/>
      <c r="R89" s="903"/>
      <c r="S89" s="904"/>
      <c r="T89" s="1107"/>
      <c r="U89" s="905"/>
    </row>
    <row r="90" spans="1:23" ht="13.5" customHeight="1" x14ac:dyDescent="0.2">
      <c r="A90" s="1272" t="s">
        <v>5</v>
      </c>
      <c r="B90" s="325" t="s">
        <v>5</v>
      </c>
      <c r="C90" s="1274" t="s">
        <v>34</v>
      </c>
      <c r="D90" s="1789" t="s">
        <v>100</v>
      </c>
      <c r="E90" s="1924" t="s">
        <v>89</v>
      </c>
      <c r="F90" s="1538" t="s">
        <v>43</v>
      </c>
      <c r="G90" s="215" t="s">
        <v>25</v>
      </c>
      <c r="H90" s="261">
        <f>678.6+123.9-430</f>
        <v>372.5</v>
      </c>
      <c r="I90" s="212">
        <f>678.6+123.9-430</f>
        <v>372.5</v>
      </c>
      <c r="J90" s="261"/>
      <c r="K90" s="260">
        <f>3201.4+916.8+50+720-587.6</f>
        <v>4300.6000000000004</v>
      </c>
      <c r="L90" s="212">
        <f>3201.4+916.8+50+720-587.6</f>
        <v>4300.6000000000004</v>
      </c>
      <c r="M90" s="439"/>
      <c r="N90" s="260">
        <f>5442.8-798.1+65+470+82</f>
        <v>5261.7</v>
      </c>
      <c r="O90" s="212">
        <f>5442.8-798.1+65+470+82</f>
        <v>5261.7</v>
      </c>
      <c r="P90" s="439"/>
      <c r="Q90" s="1175"/>
      <c r="R90" s="426"/>
      <c r="S90" s="426"/>
      <c r="T90" s="1117"/>
      <c r="U90" s="2056"/>
    </row>
    <row r="91" spans="1:23" ht="13.5" customHeight="1" x14ac:dyDescent="0.2">
      <c r="A91" s="1268"/>
      <c r="B91" s="1271"/>
      <c r="C91" s="1269"/>
      <c r="D91" s="1921"/>
      <c r="E91" s="1925"/>
      <c r="F91" s="1539"/>
      <c r="G91" s="68" t="s">
        <v>62</v>
      </c>
      <c r="H91" s="1279">
        <v>1533.9</v>
      </c>
      <c r="I91" s="1565">
        <v>1533.9</v>
      </c>
      <c r="J91" s="108"/>
      <c r="K91" s="92"/>
      <c r="L91" s="270"/>
      <c r="M91" s="66"/>
      <c r="N91" s="92"/>
      <c r="O91" s="270"/>
      <c r="P91" s="66"/>
      <c r="Q91" s="1535"/>
      <c r="R91" s="489"/>
      <c r="S91" s="489"/>
      <c r="T91" s="1118"/>
      <c r="U91" s="2057"/>
    </row>
    <row r="92" spans="1:23" ht="15" customHeight="1" x14ac:dyDescent="0.2">
      <c r="A92" s="1268"/>
      <c r="B92" s="1271"/>
      <c r="C92" s="1269"/>
      <c r="D92" s="2097"/>
      <c r="E92" s="2098"/>
      <c r="F92" s="1539"/>
      <c r="G92" s="68" t="s">
        <v>106</v>
      </c>
      <c r="H92" s="270"/>
      <c r="I92" s="831"/>
      <c r="J92" s="1227"/>
      <c r="K92" s="92">
        <v>1900</v>
      </c>
      <c r="L92" s="270">
        <v>1900</v>
      </c>
      <c r="M92" s="66"/>
      <c r="N92" s="92">
        <v>2000</v>
      </c>
      <c r="O92" s="270">
        <v>2000</v>
      </c>
      <c r="P92" s="66"/>
      <c r="Q92" s="1535"/>
      <c r="R92" s="489"/>
      <c r="S92" s="489"/>
      <c r="T92" s="1118"/>
      <c r="U92" s="2057"/>
    </row>
    <row r="93" spans="1:23" ht="12.75" customHeight="1" x14ac:dyDescent="0.2">
      <c r="A93" s="1618"/>
      <c r="B93" s="1621"/>
      <c r="C93" s="1619"/>
      <c r="D93" s="1660"/>
      <c r="E93" s="2098"/>
      <c r="F93" s="1620"/>
      <c r="G93" s="68" t="s">
        <v>48</v>
      </c>
      <c r="H93" s="108"/>
      <c r="I93" s="270"/>
      <c r="J93" s="108"/>
      <c r="K93" s="92">
        <v>1317.6</v>
      </c>
      <c r="L93" s="270">
        <v>1317.6</v>
      </c>
      <c r="M93" s="66"/>
      <c r="N93" s="92">
        <v>1500</v>
      </c>
      <c r="O93" s="270">
        <v>1500</v>
      </c>
      <c r="P93" s="66">
        <f>O93-N93</f>
        <v>0</v>
      </c>
      <c r="Q93" s="1630"/>
      <c r="R93" s="1632"/>
      <c r="S93" s="1632"/>
      <c r="T93" s="1118"/>
      <c r="U93" s="2057"/>
    </row>
    <row r="94" spans="1:23" ht="15.75" customHeight="1" x14ac:dyDescent="0.2">
      <c r="A94" s="1268"/>
      <c r="B94" s="1271"/>
      <c r="C94" s="1269"/>
      <c r="D94" s="779"/>
      <c r="E94" s="2098"/>
      <c r="F94" s="1539"/>
      <c r="G94" s="67" t="s">
        <v>105</v>
      </c>
      <c r="H94" s="170">
        <v>403.6</v>
      </c>
      <c r="I94" s="45">
        <v>403.6</v>
      </c>
      <c r="J94" s="170"/>
      <c r="K94" s="95"/>
      <c r="L94" s="45"/>
      <c r="M94" s="202"/>
      <c r="N94" s="95"/>
      <c r="O94" s="45"/>
      <c r="P94" s="202"/>
      <c r="Q94" s="1163"/>
      <c r="R94" s="489"/>
      <c r="S94" s="489"/>
      <c r="T94" s="1118"/>
      <c r="U94" s="2057"/>
      <c r="W94" s="54"/>
    </row>
    <row r="95" spans="1:23" ht="18" customHeight="1" x14ac:dyDescent="0.2">
      <c r="A95" s="1268"/>
      <c r="B95" s="1271"/>
      <c r="C95" s="1269"/>
      <c r="D95" s="1826" t="s">
        <v>176</v>
      </c>
      <c r="E95" s="124" t="s">
        <v>47</v>
      </c>
      <c r="F95" s="1539"/>
      <c r="G95" s="60"/>
      <c r="H95" s="108"/>
      <c r="I95" s="831"/>
      <c r="J95" s="1282"/>
      <c r="K95" s="96"/>
      <c r="L95" s="1280"/>
      <c r="M95" s="1281"/>
      <c r="N95" s="96"/>
      <c r="O95" s="53"/>
      <c r="P95" s="230"/>
      <c r="Q95" s="1779" t="s">
        <v>157</v>
      </c>
      <c r="R95" s="1719">
        <v>10</v>
      </c>
      <c r="S95" s="1719">
        <v>40</v>
      </c>
      <c r="T95" s="1554">
        <v>100</v>
      </c>
      <c r="U95" s="2016"/>
      <c r="W95" s="54"/>
    </row>
    <row r="96" spans="1:23" ht="35.25" customHeight="1" x14ac:dyDescent="0.2">
      <c r="A96" s="1268"/>
      <c r="B96" s="1271"/>
      <c r="C96" s="1270"/>
      <c r="D96" s="1827"/>
      <c r="E96" s="1553"/>
      <c r="F96" s="1539"/>
      <c r="G96" s="67"/>
      <c r="H96" s="170"/>
      <c r="I96" s="1225"/>
      <c r="J96" s="1228"/>
      <c r="K96" s="149"/>
      <c r="L96" s="831"/>
      <c r="M96" s="1277"/>
      <c r="N96" s="92"/>
      <c r="O96" s="270"/>
      <c r="P96" s="66"/>
      <c r="Q96" s="2106"/>
      <c r="R96" s="22"/>
      <c r="S96" s="22"/>
      <c r="T96" s="1727"/>
      <c r="U96" s="2018"/>
      <c r="W96" s="54"/>
    </row>
    <row r="97" spans="1:21" ht="25.5" customHeight="1" x14ac:dyDescent="0.2">
      <c r="A97" s="1268"/>
      <c r="B97" s="1271"/>
      <c r="C97" s="1269"/>
      <c r="D97" s="1826" t="s">
        <v>385</v>
      </c>
      <c r="E97" s="124" t="s">
        <v>47</v>
      </c>
      <c r="F97" s="1539"/>
      <c r="G97" s="68" t="s">
        <v>106</v>
      </c>
      <c r="H97" s="270">
        <f>700-7.7+7.7</f>
        <v>700</v>
      </c>
      <c r="I97" s="831">
        <f>592.3+7.7+400</f>
        <v>1000</v>
      </c>
      <c r="J97" s="1227">
        <f>I97-H97</f>
        <v>300</v>
      </c>
      <c r="K97" s="92"/>
      <c r="L97" s="53"/>
      <c r="M97" s="230"/>
      <c r="N97" s="96"/>
      <c r="O97" s="53"/>
      <c r="P97" s="230"/>
      <c r="Q97" s="1547" t="s">
        <v>373</v>
      </c>
      <c r="R97" s="489">
        <v>60</v>
      </c>
      <c r="S97" s="489">
        <v>100</v>
      </c>
      <c r="T97" s="1118"/>
      <c r="U97" s="2121" t="s">
        <v>413</v>
      </c>
    </row>
    <row r="98" spans="1:21" ht="16.5" customHeight="1" x14ac:dyDescent="0.2">
      <c r="A98" s="1729"/>
      <c r="B98" s="1731"/>
      <c r="C98" s="1728"/>
      <c r="D98" s="1827"/>
      <c r="E98" s="1582"/>
      <c r="F98" s="1730"/>
      <c r="G98" s="68"/>
      <c r="H98" s="108"/>
      <c r="I98" s="1555"/>
      <c r="J98" s="1227"/>
      <c r="K98" s="92"/>
      <c r="L98" s="270"/>
      <c r="M98" s="66"/>
      <c r="N98" s="92"/>
      <c r="O98" s="270"/>
      <c r="P98" s="66"/>
      <c r="Q98" s="1732"/>
      <c r="R98" s="1652"/>
      <c r="S98" s="1652"/>
      <c r="T98" s="1118"/>
      <c r="U98" s="2122"/>
    </row>
    <row r="99" spans="1:21" ht="13.5" customHeight="1" x14ac:dyDescent="0.2">
      <c r="A99" s="1729"/>
      <c r="B99" s="1731"/>
      <c r="C99" s="1728"/>
      <c r="D99" s="1827"/>
      <c r="E99" s="1582"/>
      <c r="F99" s="1730"/>
      <c r="G99" s="68"/>
      <c r="H99" s="108"/>
      <c r="I99" s="1555"/>
      <c r="J99" s="1227"/>
      <c r="K99" s="92"/>
      <c r="L99" s="270"/>
      <c r="M99" s="66"/>
      <c r="N99" s="92"/>
      <c r="O99" s="270"/>
      <c r="P99" s="66"/>
      <c r="Q99" s="1732"/>
      <c r="R99" s="1652"/>
      <c r="S99" s="1652"/>
      <c r="T99" s="1118"/>
      <c r="U99" s="2122"/>
    </row>
    <row r="100" spans="1:21" ht="14.25" customHeight="1" x14ac:dyDescent="0.2">
      <c r="A100" s="1729"/>
      <c r="B100" s="1731"/>
      <c r="C100" s="1728"/>
      <c r="D100" s="1827"/>
      <c r="E100" s="1582"/>
      <c r="F100" s="1730"/>
      <c r="G100" s="68"/>
      <c r="H100" s="108"/>
      <c r="I100" s="1555"/>
      <c r="J100" s="1227"/>
      <c r="K100" s="92"/>
      <c r="L100" s="270"/>
      <c r="M100" s="66"/>
      <c r="N100" s="92"/>
      <c r="O100" s="270"/>
      <c r="P100" s="66"/>
      <c r="Q100" s="1732"/>
      <c r="R100" s="1652"/>
      <c r="S100" s="1652"/>
      <c r="T100" s="1118"/>
      <c r="U100" s="2122"/>
    </row>
    <row r="101" spans="1:21" ht="150.75" customHeight="1" x14ac:dyDescent="0.2">
      <c r="A101" s="1268"/>
      <c r="B101" s="1271"/>
      <c r="C101" s="1269"/>
      <c r="D101" s="1916"/>
      <c r="E101" s="1307"/>
      <c r="F101" s="1539"/>
      <c r="G101" s="63"/>
      <c r="H101" s="613"/>
      <c r="I101" s="1225"/>
      <c r="J101" s="613"/>
      <c r="K101" s="95"/>
      <c r="L101" s="45"/>
      <c r="M101" s="202"/>
      <c r="N101" s="95"/>
      <c r="O101" s="45"/>
      <c r="P101" s="202"/>
      <c r="Q101" s="1507"/>
      <c r="R101" s="22"/>
      <c r="S101" s="22"/>
      <c r="T101" s="51"/>
      <c r="U101" s="2018"/>
    </row>
    <row r="102" spans="1:21" ht="29.25" customHeight="1" x14ac:dyDescent="0.2">
      <c r="A102" s="1268"/>
      <c r="B102" s="1271"/>
      <c r="C102" s="1269"/>
      <c r="D102" s="1826" t="s">
        <v>302</v>
      </c>
      <c r="E102" s="124" t="s">
        <v>47</v>
      </c>
      <c r="F102" s="1540"/>
      <c r="G102" s="68"/>
      <c r="H102" s="424"/>
      <c r="I102" s="478"/>
      <c r="J102" s="424"/>
      <c r="K102" s="92"/>
      <c r="L102" s="270"/>
      <c r="M102" s="66"/>
      <c r="N102" s="92"/>
      <c r="O102" s="270"/>
      <c r="P102" s="66"/>
      <c r="Q102" s="2067" t="s">
        <v>269</v>
      </c>
      <c r="R102" s="1560"/>
      <c r="S102" s="489">
        <v>30</v>
      </c>
      <c r="T102" s="489">
        <v>60</v>
      </c>
      <c r="U102" s="2016"/>
    </row>
    <row r="103" spans="1:21" ht="9" customHeight="1" x14ac:dyDescent="0.2">
      <c r="A103" s="1478"/>
      <c r="B103" s="1484"/>
      <c r="C103" s="1480"/>
      <c r="D103" s="1827"/>
      <c r="E103" s="1553"/>
      <c r="F103" s="1540"/>
      <c r="G103" s="68"/>
      <c r="H103" s="424"/>
      <c r="I103" s="478"/>
      <c r="J103" s="424"/>
      <c r="K103" s="92"/>
      <c r="L103" s="270"/>
      <c r="M103" s="66"/>
      <c r="N103" s="92"/>
      <c r="O103" s="1561"/>
      <c r="P103" s="1562"/>
      <c r="Q103" s="2070"/>
      <c r="R103" s="1563"/>
      <c r="S103" s="489"/>
      <c r="T103" s="489"/>
      <c r="U103" s="2021"/>
    </row>
    <row r="104" spans="1:21" ht="9" customHeight="1" x14ac:dyDescent="0.2">
      <c r="A104" s="1268"/>
      <c r="B104" s="1271"/>
      <c r="C104" s="1269"/>
      <c r="D104" s="1916"/>
      <c r="E104" s="841"/>
      <c r="F104" s="1540"/>
      <c r="G104" s="63"/>
      <c r="H104" s="703"/>
      <c r="I104" s="1508"/>
      <c r="J104" s="703"/>
      <c r="K104" s="95"/>
      <c r="L104" s="45"/>
      <c r="M104" s="202"/>
      <c r="N104" s="95"/>
      <c r="O104" s="45"/>
      <c r="P104" s="202"/>
      <c r="Q104" s="2053"/>
      <c r="R104" s="489"/>
      <c r="S104" s="489"/>
      <c r="T104" s="1564"/>
      <c r="U104" s="2021"/>
    </row>
    <row r="105" spans="1:21" ht="17.25" customHeight="1" x14ac:dyDescent="0.2">
      <c r="A105" s="1302"/>
      <c r="B105" s="1304"/>
      <c r="C105" s="1303"/>
      <c r="D105" s="1826" t="s">
        <v>374</v>
      </c>
      <c r="E105" s="124" t="s">
        <v>47</v>
      </c>
      <c r="F105" s="1540"/>
      <c r="G105" s="68"/>
      <c r="H105" s="424"/>
      <c r="I105" s="478"/>
      <c r="J105" s="424"/>
      <c r="K105" s="92"/>
      <c r="L105" s="270"/>
      <c r="M105" s="66"/>
      <c r="N105" s="92"/>
      <c r="O105" s="270"/>
      <c r="P105" s="66"/>
      <c r="Q105" s="1544" t="s">
        <v>46</v>
      </c>
      <c r="R105" s="1074"/>
      <c r="S105" s="1074"/>
      <c r="T105" s="2099">
        <v>1</v>
      </c>
      <c r="U105" s="2021"/>
    </row>
    <row r="106" spans="1:21" ht="7.5" customHeight="1" x14ac:dyDescent="0.2">
      <c r="A106" s="1302"/>
      <c r="B106" s="1304"/>
      <c r="C106" s="1303"/>
      <c r="D106" s="1916"/>
      <c r="E106" s="841"/>
      <c r="F106" s="1540"/>
      <c r="G106" s="63"/>
      <c r="H106" s="703"/>
      <c r="I106" s="1508"/>
      <c r="J106" s="703"/>
      <c r="K106" s="95"/>
      <c r="L106" s="45"/>
      <c r="M106" s="202"/>
      <c r="N106" s="95"/>
      <c r="O106" s="45"/>
      <c r="P106" s="202"/>
      <c r="Q106" s="1158"/>
      <c r="R106" s="489"/>
      <c r="S106" s="489"/>
      <c r="T106" s="2100"/>
      <c r="U106" s="2096"/>
    </row>
    <row r="107" spans="1:21" ht="18" customHeight="1" x14ac:dyDescent="0.2">
      <c r="A107" s="1302"/>
      <c r="B107" s="1304"/>
      <c r="C107" s="1303"/>
      <c r="D107" s="1826" t="s">
        <v>375</v>
      </c>
      <c r="E107" s="1553" t="s">
        <v>47</v>
      </c>
      <c r="F107" s="1540"/>
      <c r="G107" s="96"/>
      <c r="H107" s="96"/>
      <c r="I107" s="53"/>
      <c r="J107" s="230"/>
      <c r="K107" s="96"/>
      <c r="L107" s="53"/>
      <c r="M107" s="230"/>
      <c r="N107" s="96"/>
      <c r="O107" s="53"/>
      <c r="P107" s="230"/>
      <c r="Q107" s="1544" t="s">
        <v>46</v>
      </c>
      <c r="R107" s="844"/>
      <c r="S107" s="844"/>
      <c r="T107" s="1407">
        <v>1</v>
      </c>
      <c r="U107" s="2094"/>
    </row>
    <row r="108" spans="1:21" ht="8.25" customHeight="1" x14ac:dyDescent="0.2">
      <c r="A108" s="1302"/>
      <c r="B108" s="1304"/>
      <c r="C108" s="1303"/>
      <c r="D108" s="1916"/>
      <c r="E108" s="1307"/>
      <c r="F108" s="1540"/>
      <c r="G108" s="95"/>
      <c r="H108" s="95"/>
      <c r="I108" s="45"/>
      <c r="J108" s="202"/>
      <c r="K108" s="95"/>
      <c r="L108" s="45"/>
      <c r="M108" s="202"/>
      <c r="N108" s="95"/>
      <c r="O108" s="45"/>
      <c r="P108" s="202"/>
      <c r="Q108" s="1199"/>
      <c r="R108" s="48"/>
      <c r="S108" s="48"/>
      <c r="T108" s="1112"/>
      <c r="U108" s="2095"/>
    </row>
    <row r="109" spans="1:21" ht="21.75" customHeight="1" thickBot="1" x14ac:dyDescent="0.25">
      <c r="A109" s="75"/>
      <c r="B109" s="1273"/>
      <c r="C109" s="104"/>
      <c r="D109" s="899"/>
      <c r="E109" s="900"/>
      <c r="F109" s="901"/>
      <c r="G109" s="156" t="s">
        <v>6</v>
      </c>
      <c r="H109" s="214">
        <f>SUM(H90:H104)</f>
        <v>3010</v>
      </c>
      <c r="I109" s="1150">
        <f>SUM(I90:I108)</f>
        <v>3310</v>
      </c>
      <c r="J109" s="453">
        <f>SUM(J90:J108)</f>
        <v>300</v>
      </c>
      <c r="K109" s="244">
        <f>SUM(K90:K104)</f>
        <v>7518.2</v>
      </c>
      <c r="L109" s="1150">
        <f>SUM(L90:L108)</f>
        <v>7518.2</v>
      </c>
      <c r="M109" s="440">
        <f>SUM(M90:M108)</f>
        <v>0</v>
      </c>
      <c r="N109" s="244">
        <f>SUM(N90:N104)</f>
        <v>8761.7000000000007</v>
      </c>
      <c r="O109" s="1150">
        <f>SUM(O90:O108)-O103</f>
        <v>8761.7000000000007</v>
      </c>
      <c r="P109" s="440">
        <f>SUM(P90:P108)-P103</f>
        <v>0</v>
      </c>
      <c r="Q109" s="1164"/>
      <c r="R109" s="903"/>
      <c r="S109" s="904"/>
      <c r="T109" s="1107"/>
      <c r="U109" s="905"/>
    </row>
    <row r="110" spans="1:21" ht="30" customHeight="1" x14ac:dyDescent="0.2">
      <c r="A110" s="1037" t="s">
        <v>5</v>
      </c>
      <c r="B110" s="1049" t="s">
        <v>5</v>
      </c>
      <c r="C110" s="1040" t="s">
        <v>35</v>
      </c>
      <c r="D110" s="249" t="s">
        <v>74</v>
      </c>
      <c r="E110" s="502" t="s">
        <v>94</v>
      </c>
      <c r="F110" s="1057" t="s">
        <v>43</v>
      </c>
      <c r="G110" s="76"/>
      <c r="H110" s="479"/>
      <c r="I110" s="480"/>
      <c r="J110" s="479"/>
      <c r="K110" s="481"/>
      <c r="L110" s="482"/>
      <c r="M110" s="1151"/>
      <c r="N110" s="481"/>
      <c r="O110" s="482"/>
      <c r="P110" s="1151"/>
      <c r="Q110" s="1176"/>
      <c r="R110" s="7"/>
      <c r="S110" s="57"/>
      <c r="T110" s="184"/>
      <c r="U110" s="1187"/>
    </row>
    <row r="111" spans="1:21" ht="15" customHeight="1" x14ac:dyDescent="0.2">
      <c r="A111" s="1037"/>
      <c r="B111" s="1049"/>
      <c r="C111" s="1040"/>
      <c r="D111" s="1826" t="s">
        <v>174</v>
      </c>
      <c r="E111" s="766" t="s">
        <v>47</v>
      </c>
      <c r="F111" s="1042"/>
      <c r="G111" s="312" t="s">
        <v>25</v>
      </c>
      <c r="H111" s="141">
        <v>50</v>
      </c>
      <c r="I111" s="53">
        <f>50</f>
        <v>50</v>
      </c>
      <c r="J111" s="141"/>
      <c r="K111" s="96"/>
      <c r="L111" s="53"/>
      <c r="M111" s="230"/>
      <c r="N111" s="96"/>
      <c r="O111" s="53"/>
      <c r="P111" s="230"/>
      <c r="Q111" s="1178" t="s">
        <v>46</v>
      </c>
      <c r="R111" s="569"/>
      <c r="S111" s="1113">
        <v>1</v>
      </c>
      <c r="T111" s="1682"/>
      <c r="U111" s="2016"/>
    </row>
    <row r="112" spans="1:21" ht="15" customHeight="1" x14ac:dyDescent="0.2">
      <c r="A112" s="1683"/>
      <c r="B112" s="1686"/>
      <c r="C112" s="1684"/>
      <c r="D112" s="1827"/>
      <c r="E112" s="766"/>
      <c r="F112" s="1685"/>
      <c r="G112" s="70" t="s">
        <v>106</v>
      </c>
      <c r="H112" s="108"/>
      <c r="I112" s="270"/>
      <c r="J112" s="108"/>
      <c r="K112" s="148">
        <f>780-536.9</f>
        <v>243.1</v>
      </c>
      <c r="L112" s="270">
        <f>780-536.9</f>
        <v>243.1</v>
      </c>
      <c r="M112" s="66"/>
      <c r="N112" s="92"/>
      <c r="O112" s="270"/>
      <c r="P112" s="66"/>
      <c r="Q112" s="1177"/>
      <c r="R112" s="591"/>
      <c r="S112" s="604"/>
      <c r="T112" s="1688"/>
      <c r="U112" s="2073"/>
    </row>
    <row r="113" spans="1:21" ht="15" customHeight="1" x14ac:dyDescent="0.2">
      <c r="A113" s="1683"/>
      <c r="B113" s="1686"/>
      <c r="C113" s="1684"/>
      <c r="D113" s="1827"/>
      <c r="E113" s="766"/>
      <c r="F113" s="1685"/>
      <c r="G113" s="70" t="s">
        <v>25</v>
      </c>
      <c r="H113" s="270">
        <v>20.5</v>
      </c>
      <c r="I113" s="270">
        <v>20.5</v>
      </c>
      <c r="J113" s="108"/>
      <c r="K113" s="92"/>
      <c r="L113" s="270"/>
      <c r="M113" s="66"/>
      <c r="N113" s="92"/>
      <c r="O113" s="270"/>
      <c r="P113" s="66"/>
      <c r="Q113" s="1177"/>
      <c r="R113" s="591"/>
      <c r="S113" s="604"/>
      <c r="T113" s="1688"/>
      <c r="U113" s="2073"/>
    </row>
    <row r="114" spans="1:21" ht="14.25" customHeight="1" x14ac:dyDescent="0.2">
      <c r="A114" s="1683"/>
      <c r="B114" s="1686"/>
      <c r="C114" s="1684"/>
      <c r="D114" s="1827"/>
      <c r="E114" s="766"/>
      <c r="F114" s="1685"/>
      <c r="G114" s="70" t="s">
        <v>62</v>
      </c>
      <c r="H114" s="270">
        <v>219.3</v>
      </c>
      <c r="I114" s="270">
        <v>219.3</v>
      </c>
      <c r="J114" s="108"/>
      <c r="K114" s="92"/>
      <c r="L114" s="270"/>
      <c r="M114" s="66"/>
      <c r="N114" s="92"/>
      <c r="O114" s="270"/>
      <c r="P114" s="66"/>
      <c r="Q114" s="1711"/>
      <c r="R114" s="1375"/>
      <c r="S114" s="1695"/>
      <c r="T114" s="1375"/>
      <c r="U114" s="2073"/>
    </row>
    <row r="115" spans="1:21" ht="18.75" customHeight="1" x14ac:dyDescent="0.2">
      <c r="A115" s="1683"/>
      <c r="B115" s="1686"/>
      <c r="C115" s="1684"/>
      <c r="D115" s="1827"/>
      <c r="E115" s="766"/>
      <c r="F115" s="1685"/>
      <c r="G115" s="63" t="s">
        <v>105</v>
      </c>
      <c r="H115" s="45">
        <v>1.1000000000000001</v>
      </c>
      <c r="I115" s="45">
        <v>1.1000000000000001</v>
      </c>
      <c r="J115" s="170"/>
      <c r="K115" s="95"/>
      <c r="L115" s="45"/>
      <c r="M115" s="202"/>
      <c r="N115" s="95"/>
      <c r="O115" s="45"/>
      <c r="P115" s="202"/>
      <c r="Q115" s="1712"/>
      <c r="R115" s="1696"/>
      <c r="S115" s="1697"/>
      <c r="T115" s="1696"/>
      <c r="U115" s="2116"/>
    </row>
    <row r="116" spans="1:21" ht="15" customHeight="1" x14ac:dyDescent="0.2">
      <c r="A116" s="1037"/>
      <c r="B116" s="1049"/>
      <c r="C116" s="1040"/>
      <c r="D116" s="1826" t="s">
        <v>310</v>
      </c>
      <c r="E116" s="766" t="s">
        <v>47</v>
      </c>
      <c r="F116" s="1685"/>
      <c r="G116" s="70" t="s">
        <v>45</v>
      </c>
      <c r="H116" s="108">
        <v>30</v>
      </c>
      <c r="I116" s="270">
        <v>30</v>
      </c>
      <c r="J116" s="108"/>
      <c r="K116" s="92">
        <v>72.5</v>
      </c>
      <c r="L116" s="270">
        <v>72.5</v>
      </c>
      <c r="M116" s="66"/>
      <c r="N116" s="92"/>
      <c r="O116" s="270"/>
      <c r="P116" s="66"/>
      <c r="Q116" s="1178" t="s">
        <v>164</v>
      </c>
      <c r="R116" s="569">
        <v>1</v>
      </c>
      <c r="S116" s="619"/>
      <c r="T116" s="1143"/>
      <c r="U116" s="621"/>
    </row>
    <row r="117" spans="1:21" ht="15" customHeight="1" x14ac:dyDescent="0.2">
      <c r="A117" s="1037"/>
      <c r="B117" s="1049"/>
      <c r="C117" s="1040"/>
      <c r="D117" s="1827"/>
      <c r="E117" s="766"/>
      <c r="F117" s="1685"/>
      <c r="G117" s="70"/>
      <c r="H117" s="108"/>
      <c r="I117" s="270"/>
      <c r="J117" s="108"/>
      <c r="K117" s="92"/>
      <c r="L117" s="270"/>
      <c r="M117" s="66"/>
      <c r="N117" s="92"/>
      <c r="O117" s="270"/>
      <c r="P117" s="66"/>
      <c r="Q117" s="1177" t="s">
        <v>46</v>
      </c>
      <c r="R117" s="591"/>
      <c r="S117" s="604">
        <v>1</v>
      </c>
      <c r="T117" s="1144"/>
      <c r="U117" s="621"/>
    </row>
    <row r="118" spans="1:21" ht="11.25" customHeight="1" x14ac:dyDescent="0.2">
      <c r="A118" s="1037"/>
      <c r="B118" s="1049"/>
      <c r="C118" s="1040"/>
      <c r="D118" s="1913"/>
      <c r="E118" s="766"/>
      <c r="F118" s="1685"/>
      <c r="G118" s="63"/>
      <c r="H118" s="170"/>
      <c r="I118" s="45"/>
      <c r="J118" s="170"/>
      <c r="K118" s="95"/>
      <c r="L118" s="45"/>
      <c r="M118" s="202"/>
      <c r="N118" s="95"/>
      <c r="O118" s="45"/>
      <c r="P118" s="202"/>
      <c r="Q118" s="1177"/>
      <c r="R118" s="591"/>
      <c r="S118" s="604"/>
      <c r="T118" s="593"/>
      <c r="U118" s="914"/>
    </row>
    <row r="119" spans="1:21" ht="15.75" customHeight="1" thickBot="1" x14ac:dyDescent="0.25">
      <c r="A119" s="75"/>
      <c r="B119" s="1081"/>
      <c r="C119" s="104"/>
      <c r="D119" s="899"/>
      <c r="E119" s="900"/>
      <c r="F119" s="1687"/>
      <c r="G119" s="156" t="s">
        <v>6</v>
      </c>
      <c r="H119" s="214">
        <f t="shared" ref="H119:P119" si="3">SUM(H111:H118)</f>
        <v>320.89999999999998</v>
      </c>
      <c r="I119" s="1150">
        <f t="shared" si="3"/>
        <v>320.89999999999998</v>
      </c>
      <c r="J119" s="453">
        <f t="shared" si="3"/>
        <v>0</v>
      </c>
      <c r="K119" s="244">
        <f t="shared" si="3"/>
        <v>315.60000000000002</v>
      </c>
      <c r="L119" s="1150">
        <f t="shared" si="3"/>
        <v>315.60000000000002</v>
      </c>
      <c r="M119" s="834">
        <f t="shared" si="3"/>
        <v>0</v>
      </c>
      <c r="N119" s="244">
        <f t="shared" si="3"/>
        <v>0</v>
      </c>
      <c r="O119" s="1150">
        <f t="shared" si="3"/>
        <v>0</v>
      </c>
      <c r="P119" s="834">
        <f t="shared" si="3"/>
        <v>0</v>
      </c>
      <c r="Q119" s="1164"/>
      <c r="R119" s="903"/>
      <c r="S119" s="904"/>
      <c r="T119" s="1107"/>
      <c r="U119" s="905"/>
    </row>
    <row r="120" spans="1:21" ht="16.5" customHeight="1" x14ac:dyDescent="0.2">
      <c r="A120" s="1037" t="s">
        <v>5</v>
      </c>
      <c r="B120" s="1049" t="s">
        <v>5</v>
      </c>
      <c r="C120" s="263" t="s">
        <v>36</v>
      </c>
      <c r="D120" s="1917" t="s">
        <v>314</v>
      </c>
      <c r="E120" s="442"/>
      <c r="F120" s="1082" t="s">
        <v>43</v>
      </c>
      <c r="G120" s="215" t="s">
        <v>25</v>
      </c>
      <c r="H120" s="108">
        <v>28</v>
      </c>
      <c r="I120" s="270">
        <v>28</v>
      </c>
      <c r="J120" s="108"/>
      <c r="K120" s="260">
        <v>28</v>
      </c>
      <c r="L120" s="212">
        <v>28</v>
      </c>
      <c r="M120" s="261"/>
      <c r="N120" s="260">
        <v>28</v>
      </c>
      <c r="O120" s="212">
        <v>28</v>
      </c>
      <c r="P120" s="439"/>
      <c r="Q120" s="1172"/>
      <c r="R120" s="328"/>
      <c r="S120" s="328"/>
      <c r="T120" s="978"/>
      <c r="U120" s="916"/>
    </row>
    <row r="121" spans="1:21" ht="19.5" customHeight="1" x14ac:dyDescent="0.2">
      <c r="A121" s="1037"/>
      <c r="B121" s="1049"/>
      <c r="C121" s="263"/>
      <c r="D121" s="1740"/>
      <c r="E121" s="1086"/>
      <c r="F121" s="1042"/>
      <c r="G121" s="67" t="s">
        <v>106</v>
      </c>
      <c r="H121" s="170"/>
      <c r="I121" s="1225"/>
      <c r="J121" s="1228"/>
      <c r="K121" s="95">
        <v>3</v>
      </c>
      <c r="L121" s="45">
        <v>3</v>
      </c>
      <c r="M121" s="170"/>
      <c r="N121" s="95">
        <v>3</v>
      </c>
      <c r="O121" s="270">
        <v>3</v>
      </c>
      <c r="P121" s="66"/>
      <c r="Q121" s="1165"/>
      <c r="R121" s="22"/>
      <c r="S121" s="22"/>
      <c r="T121" s="51"/>
      <c r="U121" s="23"/>
    </row>
    <row r="122" spans="1:21" ht="11.25" customHeight="1" x14ac:dyDescent="0.2">
      <c r="A122" s="1037"/>
      <c r="B122" s="1049"/>
      <c r="C122" s="102"/>
      <c r="D122" s="1839" t="s">
        <v>88</v>
      </c>
      <c r="E122" s="1086"/>
      <c r="F122" s="1042"/>
      <c r="G122" s="68"/>
      <c r="H122" s="108"/>
      <c r="I122" s="270"/>
      <c r="J122" s="108"/>
      <c r="K122" s="92"/>
      <c r="L122" s="270"/>
      <c r="M122" s="108"/>
      <c r="N122" s="92"/>
      <c r="O122" s="53"/>
      <c r="P122" s="230"/>
      <c r="Q122" s="2107" t="s">
        <v>182</v>
      </c>
      <c r="R122" s="591">
        <v>100</v>
      </c>
      <c r="S122" s="591">
        <v>100</v>
      </c>
      <c r="T122" s="604">
        <v>100</v>
      </c>
      <c r="U122" s="914"/>
    </row>
    <row r="123" spans="1:21" ht="15" customHeight="1" x14ac:dyDescent="0.2">
      <c r="A123" s="1037"/>
      <c r="B123" s="1049"/>
      <c r="C123" s="102"/>
      <c r="D123" s="1740"/>
      <c r="E123" s="1086"/>
      <c r="F123" s="1042"/>
      <c r="G123" s="68"/>
      <c r="H123" s="108"/>
      <c r="I123" s="270"/>
      <c r="J123" s="108"/>
      <c r="K123" s="92"/>
      <c r="L123" s="270"/>
      <c r="M123" s="108"/>
      <c r="N123" s="92"/>
      <c r="O123" s="270"/>
      <c r="P123" s="66"/>
      <c r="Q123" s="2107"/>
      <c r="R123" s="591"/>
      <c r="S123" s="591"/>
      <c r="T123" s="604"/>
      <c r="U123" s="914"/>
    </row>
    <row r="124" spans="1:21" s="9" customFormat="1" ht="51.75" customHeight="1" x14ac:dyDescent="0.2">
      <c r="A124" s="1037"/>
      <c r="B124" s="1049"/>
      <c r="C124" s="1040"/>
      <c r="D124" s="663" t="s">
        <v>80</v>
      </c>
      <c r="E124" s="298"/>
      <c r="F124" s="1057"/>
      <c r="G124" s="203"/>
      <c r="H124" s="431"/>
      <c r="I124" s="488"/>
      <c r="J124" s="431"/>
      <c r="K124" s="1156"/>
      <c r="L124" s="488"/>
      <c r="M124" s="431"/>
      <c r="N124" s="1156"/>
      <c r="O124" s="488"/>
      <c r="P124" s="487"/>
      <c r="Q124" s="2113"/>
      <c r="R124" s="571"/>
      <c r="S124" s="571"/>
      <c r="T124" s="1119"/>
      <c r="U124" s="1147"/>
    </row>
    <row r="125" spans="1:21" ht="15" customHeight="1" thickBot="1" x14ac:dyDescent="0.25">
      <c r="A125" s="1079"/>
      <c r="B125" s="324"/>
      <c r="C125" s="1083"/>
      <c r="D125" s="915"/>
      <c r="E125" s="900"/>
      <c r="F125" s="901"/>
      <c r="G125" s="98" t="s">
        <v>6</v>
      </c>
      <c r="H125" s="214">
        <f>SUM(H120:H124)</f>
        <v>28</v>
      </c>
      <c r="I125" s="1150">
        <f>SUM(I120:I124)</f>
        <v>28</v>
      </c>
      <c r="J125" s="1150">
        <f>SUM(J120:J124)</f>
        <v>0</v>
      </c>
      <c r="K125" s="244">
        <f t="shared" ref="K125:O125" si="4">SUM(K120:K124)</f>
        <v>31</v>
      </c>
      <c r="L125" s="1150">
        <f t="shared" ref="L125" si="5">SUM(L120:L124)</f>
        <v>31</v>
      </c>
      <c r="M125" s="214"/>
      <c r="N125" s="244">
        <f t="shared" ref="N125" si="6">SUM(N120:N124)</f>
        <v>31</v>
      </c>
      <c r="O125" s="1150">
        <f t="shared" si="4"/>
        <v>31</v>
      </c>
      <c r="P125" s="440"/>
      <c r="Q125" s="1164"/>
      <c r="R125" s="903"/>
      <c r="S125" s="904"/>
      <c r="T125" s="1107"/>
      <c r="U125" s="905"/>
    </row>
    <row r="126" spans="1:21" ht="14.25" customHeight="1" thickBot="1" x14ac:dyDescent="0.25">
      <c r="A126" s="85" t="s">
        <v>5</v>
      </c>
      <c r="B126" s="326" t="s">
        <v>5</v>
      </c>
      <c r="C126" s="1885" t="s">
        <v>8</v>
      </c>
      <c r="D126" s="1829"/>
      <c r="E126" s="1829"/>
      <c r="F126" s="1829"/>
      <c r="G126" s="1761"/>
      <c r="H126" s="433">
        <f t="shared" ref="H126:P126" si="7">H125+H119+H109+H89+H75+H55+H37</f>
        <v>12619.6</v>
      </c>
      <c r="I126" s="86">
        <f t="shared" si="7"/>
        <v>12619.6</v>
      </c>
      <c r="J126" s="86">
        <f t="shared" si="7"/>
        <v>0</v>
      </c>
      <c r="K126" s="433">
        <f t="shared" si="7"/>
        <v>19596</v>
      </c>
      <c r="L126" s="86">
        <f t="shared" si="7"/>
        <v>19596</v>
      </c>
      <c r="M126" s="86">
        <f t="shared" si="7"/>
        <v>0</v>
      </c>
      <c r="N126" s="433">
        <f t="shared" si="7"/>
        <v>16791.900000000001</v>
      </c>
      <c r="O126" s="86">
        <f t="shared" si="7"/>
        <v>16791.900000000001</v>
      </c>
      <c r="P126" s="86">
        <f t="shared" si="7"/>
        <v>0</v>
      </c>
      <c r="Q126" s="1069"/>
      <c r="R126" s="1101"/>
      <c r="S126" s="1101"/>
      <c r="T126" s="1101"/>
      <c r="U126" s="1070"/>
    </row>
    <row r="127" spans="1:21" ht="14.25" customHeight="1" thickBot="1" x14ac:dyDescent="0.25">
      <c r="A127" s="85" t="s">
        <v>5</v>
      </c>
      <c r="B127" s="326" t="s">
        <v>7</v>
      </c>
      <c r="C127" s="1908" t="s">
        <v>32</v>
      </c>
      <c r="D127" s="1908"/>
      <c r="E127" s="1908"/>
      <c r="F127" s="1908"/>
      <c r="G127" s="1908"/>
      <c r="H127" s="1909"/>
      <c r="I127" s="1909"/>
      <c r="J127" s="1909"/>
      <c r="K127" s="1909"/>
      <c r="L127" s="1909"/>
      <c r="M127" s="1909"/>
      <c r="N127" s="1909"/>
      <c r="O127" s="1909"/>
      <c r="P127" s="1909"/>
      <c r="Q127" s="1908"/>
      <c r="R127" s="1746"/>
      <c r="S127" s="1746"/>
      <c r="T127" s="1746"/>
      <c r="U127" s="1910"/>
    </row>
    <row r="128" spans="1:21" ht="12.75" customHeight="1" x14ac:dyDescent="0.2">
      <c r="A128" s="1078" t="s">
        <v>5</v>
      </c>
      <c r="B128" s="325" t="s">
        <v>7</v>
      </c>
      <c r="C128" s="1065" t="s">
        <v>5</v>
      </c>
      <c r="D128" s="264" t="s">
        <v>57</v>
      </c>
      <c r="E128" s="1912" t="s">
        <v>121</v>
      </c>
      <c r="F128" s="931">
        <v>6</v>
      </c>
      <c r="G128" s="260" t="s">
        <v>25</v>
      </c>
      <c r="H128" s="438">
        <v>2416.6999999999998</v>
      </c>
      <c r="I128" s="212">
        <v>2416.6999999999998</v>
      </c>
      <c r="J128" s="1278"/>
      <c r="K128" s="260">
        <v>5078.1000000000004</v>
      </c>
      <c r="L128" s="212">
        <v>5078.1000000000004</v>
      </c>
      <c r="M128" s="439"/>
      <c r="N128" s="261">
        <v>5079.6000000000004</v>
      </c>
      <c r="O128" s="212">
        <v>5079.6000000000004</v>
      </c>
      <c r="P128" s="261"/>
      <c r="Q128" s="786"/>
      <c r="R128" s="787"/>
      <c r="S128" s="787"/>
      <c r="T128" s="1120"/>
      <c r="U128" s="2056"/>
    </row>
    <row r="129" spans="1:23" ht="12.75" customHeight="1" x14ac:dyDescent="0.2">
      <c r="A129" s="1037"/>
      <c r="B129" s="1049"/>
      <c r="C129" s="1040"/>
      <c r="D129" s="443"/>
      <c r="E129" s="1787"/>
      <c r="F129" s="1042"/>
      <c r="G129" s="92" t="s">
        <v>70</v>
      </c>
      <c r="H129" s="148">
        <f>547.4</f>
        <v>547.4</v>
      </c>
      <c r="I129" s="270">
        <f>547.4</f>
        <v>547.4</v>
      </c>
      <c r="J129" s="1277"/>
      <c r="K129" s="92">
        <v>248.7</v>
      </c>
      <c r="L129" s="270">
        <v>248.7</v>
      </c>
      <c r="M129" s="66"/>
      <c r="N129" s="108">
        <v>248.7</v>
      </c>
      <c r="O129" s="270">
        <v>248.7</v>
      </c>
      <c r="P129" s="108"/>
      <c r="Q129" s="200"/>
      <c r="R129" s="198"/>
      <c r="S129" s="198"/>
      <c r="T129" s="714"/>
      <c r="U129" s="2057"/>
    </row>
    <row r="130" spans="1:23" ht="12.75" customHeight="1" x14ac:dyDescent="0.2">
      <c r="A130" s="1037"/>
      <c r="B130" s="1049"/>
      <c r="C130" s="1040"/>
      <c r="D130" s="443"/>
      <c r="E130" s="1787"/>
      <c r="F130" s="1042"/>
      <c r="G130" s="92" t="s">
        <v>77</v>
      </c>
      <c r="H130" s="148">
        <v>216.1</v>
      </c>
      <c r="I130" s="270">
        <v>216.1</v>
      </c>
      <c r="J130" s="1277"/>
      <c r="K130" s="92">
        <f t="shared" ref="K130:O130" si="8">K138+K149</f>
        <v>0</v>
      </c>
      <c r="L130" s="270">
        <f t="shared" ref="L130" si="9">L138+L149</f>
        <v>0</v>
      </c>
      <c r="M130" s="66"/>
      <c r="N130" s="108">
        <f t="shared" ref="N130" si="10">N138+N149</f>
        <v>0</v>
      </c>
      <c r="O130" s="270">
        <f t="shared" si="8"/>
        <v>0</v>
      </c>
      <c r="P130" s="108"/>
      <c r="Q130" s="200"/>
      <c r="R130" s="198"/>
      <c r="S130" s="198"/>
      <c r="T130" s="714"/>
      <c r="U130" s="2057"/>
    </row>
    <row r="131" spans="1:23" ht="12.75" customHeight="1" x14ac:dyDescent="0.2">
      <c r="A131" s="1037"/>
      <c r="B131" s="1049"/>
      <c r="C131" s="1040"/>
      <c r="D131" s="444"/>
      <c r="E131" s="789"/>
      <c r="F131" s="1098"/>
      <c r="G131" s="95" t="s">
        <v>62</v>
      </c>
      <c r="H131" s="149">
        <f>1150+1556.5</f>
        <v>2706.5</v>
      </c>
      <c r="I131" s="45">
        <f>1150+1556.5</f>
        <v>2706.5</v>
      </c>
      <c r="J131" s="1285"/>
      <c r="K131" s="239"/>
      <c r="L131" s="238"/>
      <c r="M131" s="240"/>
      <c r="N131" s="715"/>
      <c r="O131" s="238"/>
      <c r="P131" s="715"/>
      <c r="Q131" s="239"/>
      <c r="R131" s="238"/>
      <c r="S131" s="238"/>
      <c r="T131" s="715"/>
      <c r="U131" s="2057"/>
    </row>
    <row r="132" spans="1:23" ht="14.25" customHeight="1" x14ac:dyDescent="0.2">
      <c r="A132" s="1037"/>
      <c r="B132" s="1049"/>
      <c r="C132" s="1040"/>
      <c r="D132" s="1058" t="s">
        <v>52</v>
      </c>
      <c r="E132" s="1055"/>
      <c r="F132" s="1039"/>
      <c r="G132" s="91"/>
      <c r="H132" s="785"/>
      <c r="I132" s="1188"/>
      <c r="J132" s="1182"/>
      <c r="K132" s="785"/>
      <c r="L132" s="1188"/>
      <c r="M132" s="1182"/>
      <c r="N132" s="54"/>
      <c r="O132" s="1188"/>
      <c r="P132" s="54"/>
      <c r="Q132" s="937"/>
      <c r="R132" s="938"/>
      <c r="S132" s="938"/>
      <c r="T132" s="1121"/>
      <c r="U132" s="389"/>
    </row>
    <row r="133" spans="1:23" ht="15.75" customHeight="1" x14ac:dyDescent="0.2">
      <c r="A133" s="1037"/>
      <c r="B133" s="1049"/>
      <c r="C133" s="1040"/>
      <c r="D133" s="1911" t="s">
        <v>81</v>
      </c>
      <c r="E133" s="1055"/>
      <c r="F133" s="1040"/>
      <c r="G133" s="92"/>
      <c r="H133" s="92"/>
      <c r="I133" s="270"/>
      <c r="J133" s="66"/>
      <c r="K133" s="92"/>
      <c r="L133" s="270"/>
      <c r="M133" s="66"/>
      <c r="N133" s="108"/>
      <c r="O133" s="270"/>
      <c r="P133" s="138"/>
      <c r="Q133" s="1059" t="s">
        <v>41</v>
      </c>
      <c r="R133" s="270">
        <v>5.9</v>
      </c>
      <c r="S133" s="270">
        <v>5.9</v>
      </c>
      <c r="T133" s="108">
        <v>5.9</v>
      </c>
      <c r="U133" s="43"/>
    </row>
    <row r="134" spans="1:23" ht="10.5" customHeight="1" x14ac:dyDescent="0.2">
      <c r="A134" s="1037"/>
      <c r="B134" s="1049"/>
      <c r="C134" s="1040"/>
      <c r="D134" s="1911"/>
      <c r="E134" s="1051"/>
      <c r="F134" s="1040"/>
      <c r="G134" s="92"/>
      <c r="H134" s="92"/>
      <c r="I134" s="270"/>
      <c r="J134" s="66"/>
      <c r="K134" s="92"/>
      <c r="L134" s="270"/>
      <c r="M134" s="66"/>
      <c r="N134" s="108"/>
      <c r="O134" s="270"/>
      <c r="P134" s="138"/>
      <c r="Q134" s="1073"/>
      <c r="R134" s="254"/>
      <c r="S134" s="1100"/>
      <c r="T134" s="393"/>
      <c r="U134" s="306"/>
    </row>
    <row r="135" spans="1:23" ht="14.25" customHeight="1" x14ac:dyDescent="0.2">
      <c r="A135" s="1037"/>
      <c r="B135" s="1049"/>
      <c r="C135" s="1040"/>
      <c r="D135" s="266" t="s">
        <v>82</v>
      </c>
      <c r="E135" s="1051"/>
      <c r="F135" s="1040"/>
      <c r="G135" s="92"/>
      <c r="H135" s="92"/>
      <c r="I135" s="270"/>
      <c r="J135" s="66"/>
      <c r="K135" s="92"/>
      <c r="L135" s="270"/>
      <c r="M135" s="66"/>
      <c r="N135" s="108"/>
      <c r="O135" s="270"/>
      <c r="P135" s="108"/>
      <c r="Q135" s="94" t="s">
        <v>189</v>
      </c>
      <c r="R135" s="224">
        <v>3.7</v>
      </c>
      <c r="S135" s="36">
        <f>+R135</f>
        <v>3.7</v>
      </c>
      <c r="T135" s="1122">
        <f>+R135</f>
        <v>3.7</v>
      </c>
      <c r="U135" s="37"/>
    </row>
    <row r="136" spans="1:23" ht="26.25" customHeight="1" x14ac:dyDescent="0.2">
      <c r="A136" s="1037"/>
      <c r="B136" s="1049"/>
      <c r="C136" s="1040"/>
      <c r="D136" s="363" t="s">
        <v>83</v>
      </c>
      <c r="E136" s="1054"/>
      <c r="F136" s="1040"/>
      <c r="G136" s="91"/>
      <c r="H136" s="92"/>
      <c r="I136" s="270"/>
      <c r="J136" s="66"/>
      <c r="K136" s="92"/>
      <c r="L136" s="270"/>
      <c r="M136" s="66"/>
      <c r="N136" s="108"/>
      <c r="O136" s="270"/>
      <c r="P136" s="108"/>
      <c r="Q136" s="1073" t="s">
        <v>190</v>
      </c>
      <c r="R136" s="447">
        <v>26.7</v>
      </c>
      <c r="S136" s="224">
        <f>+R136</f>
        <v>26.7</v>
      </c>
      <c r="T136" s="554">
        <f>+R136</f>
        <v>26.7</v>
      </c>
      <c r="U136" s="43"/>
    </row>
    <row r="137" spans="1:23" ht="24.75" customHeight="1" x14ac:dyDescent="0.2">
      <c r="A137" s="1037"/>
      <c r="B137" s="1049"/>
      <c r="C137" s="1040"/>
      <c r="D137" s="1739" t="s">
        <v>175</v>
      </c>
      <c r="E137" s="1051"/>
      <c r="F137" s="1040"/>
      <c r="G137" s="1275"/>
      <c r="H137" s="91"/>
      <c r="I137" s="1276"/>
      <c r="J137" s="1566"/>
      <c r="K137" s="92"/>
      <c r="L137" s="270"/>
      <c r="M137" s="66"/>
      <c r="N137" s="108"/>
      <c r="O137" s="270"/>
      <c r="P137" s="108"/>
      <c r="Q137" s="1741" t="s">
        <v>389</v>
      </c>
      <c r="R137" s="475" t="s">
        <v>393</v>
      </c>
      <c r="S137" s="707">
        <v>3</v>
      </c>
      <c r="T137" s="707">
        <v>3</v>
      </c>
      <c r="U137" s="2021"/>
    </row>
    <row r="138" spans="1:23" ht="95.25" customHeight="1" x14ac:dyDescent="0.2">
      <c r="A138" s="1037"/>
      <c r="B138" s="1049"/>
      <c r="C138" s="1040"/>
      <c r="D138" s="1740"/>
      <c r="E138" s="1055"/>
      <c r="F138" s="1040"/>
      <c r="G138" s="92"/>
      <c r="H138" s="92"/>
      <c r="I138" s="270"/>
      <c r="J138" s="66"/>
      <c r="K138" s="92"/>
      <c r="L138" s="270"/>
      <c r="M138" s="66"/>
      <c r="N138" s="108"/>
      <c r="O138" s="270"/>
      <c r="P138" s="108"/>
      <c r="Q138" s="1742"/>
      <c r="R138" s="387"/>
      <c r="S138" s="51"/>
      <c r="T138" s="51"/>
      <c r="U138" s="2018"/>
      <c r="W138" s="54"/>
    </row>
    <row r="139" spans="1:23" ht="14.25" customHeight="1" x14ac:dyDescent="0.2">
      <c r="A139" s="1037"/>
      <c r="B139" s="1049"/>
      <c r="C139" s="1040"/>
      <c r="D139" s="343" t="s">
        <v>210</v>
      </c>
      <c r="E139" s="1055"/>
      <c r="F139" s="1040"/>
      <c r="G139" s="91"/>
      <c r="H139" s="785"/>
      <c r="I139" s="1188"/>
      <c r="J139" s="1182"/>
      <c r="K139" s="200"/>
      <c r="L139" s="198"/>
      <c r="M139" s="253"/>
      <c r="N139" s="714"/>
      <c r="O139" s="198"/>
      <c r="P139" s="714"/>
      <c r="Q139" s="1059"/>
      <c r="R139" s="40"/>
      <c r="S139" s="231"/>
      <c r="T139" s="676"/>
      <c r="U139" s="832"/>
    </row>
    <row r="140" spans="1:23" ht="52.5" customHeight="1" x14ac:dyDescent="0.2">
      <c r="A140" s="1037"/>
      <c r="B140" s="1049"/>
      <c r="C140" s="1040"/>
      <c r="D140" s="344" t="s">
        <v>211</v>
      </c>
      <c r="E140" s="1055"/>
      <c r="F140" s="1040"/>
      <c r="G140" s="92"/>
      <c r="H140" s="92"/>
      <c r="I140" s="270"/>
      <c r="J140" s="66"/>
      <c r="K140" s="92"/>
      <c r="L140" s="270"/>
      <c r="M140" s="66"/>
      <c r="N140" s="108"/>
      <c r="O140" s="270"/>
      <c r="P140" s="108"/>
      <c r="Q140" s="47" t="s">
        <v>205</v>
      </c>
      <c r="R140" s="391">
        <v>21</v>
      </c>
      <c r="S140" s="391">
        <v>21</v>
      </c>
      <c r="T140" s="441">
        <v>21</v>
      </c>
      <c r="U140" s="306"/>
    </row>
    <row r="141" spans="1:23" ht="22.5" customHeight="1" x14ac:dyDescent="0.2">
      <c r="A141" s="1037"/>
      <c r="B141" s="1049"/>
      <c r="C141" s="1040"/>
      <c r="D141" s="1890" t="s">
        <v>212</v>
      </c>
      <c r="E141" s="1055"/>
      <c r="F141" s="1040"/>
      <c r="G141" s="92"/>
      <c r="H141" s="92"/>
      <c r="I141" s="270"/>
      <c r="J141" s="66"/>
      <c r="K141" s="92"/>
      <c r="L141" s="270"/>
      <c r="M141" s="66"/>
      <c r="N141" s="108"/>
      <c r="O141" s="270"/>
      <c r="P141" s="108"/>
      <c r="Q141" s="1892" t="s">
        <v>315</v>
      </c>
      <c r="R141" s="390">
        <v>12</v>
      </c>
      <c r="S141" s="390">
        <v>12</v>
      </c>
      <c r="T141" s="182">
        <v>12</v>
      </c>
      <c r="U141" s="306"/>
    </row>
    <row r="142" spans="1:23" ht="21" customHeight="1" x14ac:dyDescent="0.2">
      <c r="A142" s="1037"/>
      <c r="B142" s="1049"/>
      <c r="C142" s="1040"/>
      <c r="D142" s="1891"/>
      <c r="E142" s="1055"/>
      <c r="F142" s="1040"/>
      <c r="G142" s="92"/>
      <c r="H142" s="92"/>
      <c r="I142" s="270"/>
      <c r="J142" s="66"/>
      <c r="K142" s="92"/>
      <c r="L142" s="270"/>
      <c r="M142" s="66"/>
      <c r="N142" s="108"/>
      <c r="O142" s="270"/>
      <c r="P142" s="108"/>
      <c r="Q142" s="1893"/>
      <c r="R142" s="387"/>
      <c r="S142" s="388"/>
      <c r="T142" s="51"/>
      <c r="U142" s="23"/>
    </row>
    <row r="143" spans="1:23" ht="18" customHeight="1" x14ac:dyDescent="0.2">
      <c r="A143" s="1837"/>
      <c r="B143" s="1832"/>
      <c r="C143" s="1833"/>
      <c r="D143" s="1854" t="s">
        <v>42</v>
      </c>
      <c r="E143" s="1772"/>
      <c r="F143" s="1889"/>
      <c r="G143" s="92"/>
      <c r="H143" s="92"/>
      <c r="I143" s="270"/>
      <c r="J143" s="66"/>
      <c r="K143" s="92"/>
      <c r="L143" s="270"/>
      <c r="M143" s="66"/>
      <c r="N143" s="108"/>
      <c r="O143" s="270"/>
      <c r="P143" s="108"/>
      <c r="Q143" s="1897" t="s">
        <v>54</v>
      </c>
      <c r="R143" s="1863">
        <v>7</v>
      </c>
      <c r="S143" s="1863">
        <v>7</v>
      </c>
      <c r="T143" s="2083">
        <v>7</v>
      </c>
      <c r="U143" s="1886"/>
    </row>
    <row r="144" spans="1:23" ht="12.75" customHeight="1" x14ac:dyDescent="0.2">
      <c r="A144" s="1837"/>
      <c r="B144" s="1832"/>
      <c r="C144" s="1833"/>
      <c r="D144" s="1894"/>
      <c r="E144" s="1772"/>
      <c r="F144" s="1889"/>
      <c r="G144" s="92"/>
      <c r="H144" s="92"/>
      <c r="I144" s="270"/>
      <c r="J144" s="66"/>
      <c r="K144" s="92"/>
      <c r="L144" s="270"/>
      <c r="M144" s="66"/>
      <c r="N144" s="108"/>
      <c r="O144" s="270"/>
      <c r="P144" s="108"/>
      <c r="Q144" s="1862"/>
      <c r="R144" s="1864"/>
      <c r="S144" s="1864"/>
      <c r="T144" s="2084"/>
      <c r="U144" s="2119"/>
    </row>
    <row r="145" spans="1:21" ht="18" customHeight="1" x14ac:dyDescent="0.2">
      <c r="A145" s="1837"/>
      <c r="B145" s="1888"/>
      <c r="C145" s="1833"/>
      <c r="D145" s="1848" t="s">
        <v>178</v>
      </c>
      <c r="E145" s="1896"/>
      <c r="F145" s="1889"/>
      <c r="G145" s="92"/>
      <c r="H145" s="92"/>
      <c r="I145" s="270"/>
      <c r="J145" s="66"/>
      <c r="K145" s="92"/>
      <c r="L145" s="270"/>
      <c r="M145" s="66"/>
      <c r="N145" s="108"/>
      <c r="O145" s="270"/>
      <c r="P145" s="108"/>
      <c r="Q145" s="282" t="s">
        <v>267</v>
      </c>
      <c r="R145" s="29"/>
      <c r="S145" s="394"/>
      <c r="T145" s="1183"/>
      <c r="U145" s="1264"/>
    </row>
    <row r="146" spans="1:21" ht="16.5" customHeight="1" x14ac:dyDescent="0.2">
      <c r="A146" s="1837"/>
      <c r="B146" s="1888"/>
      <c r="C146" s="1833"/>
      <c r="D146" s="1858"/>
      <c r="E146" s="1896"/>
      <c r="F146" s="1889"/>
      <c r="G146" s="92"/>
      <c r="H146" s="92"/>
      <c r="I146" s="270"/>
      <c r="J146" s="66"/>
      <c r="K146" s="92"/>
      <c r="L146" s="270"/>
      <c r="M146" s="66"/>
      <c r="N146" s="108"/>
      <c r="O146" s="270"/>
      <c r="P146" s="108"/>
      <c r="Q146" s="94" t="s">
        <v>308</v>
      </c>
      <c r="R146" s="34">
        <v>1</v>
      </c>
      <c r="S146" s="542">
        <v>1</v>
      </c>
      <c r="T146" s="567">
        <v>1</v>
      </c>
      <c r="U146" s="1264"/>
    </row>
    <row r="147" spans="1:21" ht="25.5" customHeight="1" x14ac:dyDescent="0.2">
      <c r="A147" s="1837"/>
      <c r="B147" s="1888"/>
      <c r="C147" s="1833"/>
      <c r="D147" s="1858"/>
      <c r="E147" s="1896"/>
      <c r="F147" s="1889"/>
      <c r="G147" s="92"/>
      <c r="H147" s="92"/>
      <c r="I147" s="270"/>
      <c r="J147" s="66"/>
      <c r="K147" s="92"/>
      <c r="L147" s="270"/>
      <c r="M147" s="66"/>
      <c r="N147" s="108"/>
      <c r="O147" s="270"/>
      <c r="P147" s="108"/>
      <c r="Q147" s="94" t="s">
        <v>204</v>
      </c>
      <c r="R147" s="34">
        <v>1</v>
      </c>
      <c r="S147" s="542">
        <v>1</v>
      </c>
      <c r="T147" s="567">
        <v>1</v>
      </c>
      <c r="U147" s="1265"/>
    </row>
    <row r="148" spans="1:21" ht="17.25" customHeight="1" x14ac:dyDescent="0.2">
      <c r="A148" s="1837"/>
      <c r="B148" s="1888"/>
      <c r="C148" s="1833"/>
      <c r="D148" s="1854" t="s">
        <v>173</v>
      </c>
      <c r="E148" s="1895" t="s">
        <v>47</v>
      </c>
      <c r="F148" s="1889"/>
      <c r="G148" s="92"/>
      <c r="H148" s="92"/>
      <c r="I148" s="270"/>
      <c r="J148" s="66"/>
      <c r="K148" s="92"/>
      <c r="L148" s="270"/>
      <c r="M148" s="66"/>
      <c r="N148" s="108"/>
      <c r="O148" s="270"/>
      <c r="P148" s="108"/>
      <c r="Q148" s="2115" t="s">
        <v>266</v>
      </c>
      <c r="R148" s="693">
        <v>125</v>
      </c>
      <c r="S148" s="694">
        <v>40</v>
      </c>
      <c r="T148" s="1184">
        <v>40</v>
      </c>
      <c r="U148" s="943"/>
    </row>
    <row r="149" spans="1:21" ht="21.75" customHeight="1" x14ac:dyDescent="0.2">
      <c r="A149" s="1837"/>
      <c r="B149" s="1888"/>
      <c r="C149" s="1833"/>
      <c r="D149" s="1894"/>
      <c r="E149" s="1895"/>
      <c r="F149" s="1889"/>
      <c r="G149" s="92"/>
      <c r="H149" s="92"/>
      <c r="I149" s="270"/>
      <c r="J149" s="66"/>
      <c r="K149" s="92"/>
      <c r="L149" s="270"/>
      <c r="M149" s="66"/>
      <c r="N149" s="108"/>
      <c r="O149" s="270"/>
      <c r="P149" s="108"/>
      <c r="Q149" s="2114"/>
      <c r="R149" s="695"/>
      <c r="S149" s="696"/>
      <c r="T149" s="1185"/>
      <c r="U149" s="1267"/>
    </row>
    <row r="150" spans="1:21" ht="19.5" customHeight="1" x14ac:dyDescent="0.2">
      <c r="A150" s="1046"/>
      <c r="B150" s="1049"/>
      <c r="C150" s="263"/>
      <c r="D150" s="1858" t="s">
        <v>289</v>
      </c>
      <c r="E150" s="1068"/>
      <c r="F150" s="1098"/>
      <c r="G150" s="92"/>
      <c r="H150" s="92"/>
      <c r="I150" s="270"/>
      <c r="J150" s="66"/>
      <c r="K150" s="92"/>
      <c r="L150" s="270"/>
      <c r="M150" s="66"/>
      <c r="N150" s="108"/>
      <c r="O150" s="270"/>
      <c r="P150" s="108"/>
      <c r="Q150" s="1977" t="s">
        <v>290</v>
      </c>
      <c r="R150" s="305">
        <v>1</v>
      </c>
      <c r="S150" s="305"/>
      <c r="T150" s="566"/>
      <c r="U150" s="1264"/>
    </row>
    <row r="151" spans="1:21" ht="12.75" customHeight="1" x14ac:dyDescent="0.2">
      <c r="A151" s="1046"/>
      <c r="B151" s="1049"/>
      <c r="C151" s="263"/>
      <c r="D151" s="1858"/>
      <c r="E151" s="1068"/>
      <c r="F151" s="1042"/>
      <c r="G151" s="92"/>
      <c r="H151" s="92"/>
      <c r="I151" s="270"/>
      <c r="J151" s="66"/>
      <c r="K151" s="92"/>
      <c r="L151" s="270"/>
      <c r="M151" s="66"/>
      <c r="N151" s="108"/>
      <c r="O151" s="270"/>
      <c r="P151" s="108"/>
      <c r="Q151" s="2114"/>
      <c r="R151" s="327"/>
      <c r="S151" s="403"/>
      <c r="T151" s="381"/>
      <c r="U151" s="1264"/>
    </row>
    <row r="152" spans="1:21" ht="27" customHeight="1" x14ac:dyDescent="0.2">
      <c r="A152" s="1046"/>
      <c r="B152" s="1049"/>
      <c r="C152" s="263"/>
      <c r="D152" s="1848" t="s">
        <v>160</v>
      </c>
      <c r="E152" s="227"/>
      <c r="F152" s="1042"/>
      <c r="G152" s="92"/>
      <c r="H152" s="92"/>
      <c r="I152" s="270"/>
      <c r="J152" s="66"/>
      <c r="K152" s="92"/>
      <c r="L152" s="270"/>
      <c r="M152" s="66"/>
      <c r="N152" s="108"/>
      <c r="O152" s="270"/>
      <c r="P152" s="66"/>
      <c r="Q152" s="678" t="s">
        <v>161</v>
      </c>
      <c r="R152" s="428"/>
      <c r="S152" s="428">
        <v>6</v>
      </c>
      <c r="T152" s="1123"/>
      <c r="U152" s="1264"/>
    </row>
    <row r="153" spans="1:21" ht="15.75" customHeight="1" x14ac:dyDescent="0.2">
      <c r="A153" s="1046"/>
      <c r="B153" s="1049"/>
      <c r="C153" s="263"/>
      <c r="D153" s="1858"/>
      <c r="E153" s="1068"/>
      <c r="F153" s="1042"/>
      <c r="G153" s="95"/>
      <c r="H153" s="95"/>
      <c r="I153" s="45"/>
      <c r="J153" s="202"/>
      <c r="K153" s="95"/>
      <c r="L153" s="45"/>
      <c r="M153" s="202"/>
      <c r="N153" s="170"/>
      <c r="O153" s="45"/>
      <c r="P153" s="202"/>
      <c r="Q153" s="201" t="s">
        <v>292</v>
      </c>
      <c r="R153" s="305">
        <v>6</v>
      </c>
      <c r="S153" s="677"/>
      <c r="T153" s="566">
        <v>6</v>
      </c>
      <c r="U153" s="1264"/>
    </row>
    <row r="154" spans="1:21" ht="18" customHeight="1" thickBot="1" x14ac:dyDescent="0.25">
      <c r="A154" s="1079"/>
      <c r="B154" s="324"/>
      <c r="C154" s="1066"/>
      <c r="D154" s="928"/>
      <c r="E154" s="900"/>
      <c r="F154" s="901"/>
      <c r="G154" s="244" t="s">
        <v>6</v>
      </c>
      <c r="H154" s="244">
        <f>SUM(H128:H153)</f>
        <v>5886.7</v>
      </c>
      <c r="I154" s="1150">
        <f>SUM(I128:I153)+I137</f>
        <v>5886.7</v>
      </c>
      <c r="J154" s="834">
        <f>SUM(J128:J153)</f>
        <v>0</v>
      </c>
      <c r="K154" s="244">
        <f>SUM(K128:K153)</f>
        <v>5326.8</v>
      </c>
      <c r="L154" s="1150">
        <f>SUM(L128:L153)</f>
        <v>5326.8</v>
      </c>
      <c r="M154" s="440"/>
      <c r="N154" s="214">
        <f>SUM(N128:N153)</f>
        <v>5328.3</v>
      </c>
      <c r="O154" s="1150">
        <f>SUM(O128:O153)</f>
        <v>5328.3</v>
      </c>
      <c r="P154" s="214"/>
      <c r="Q154" s="902"/>
      <c r="R154" s="903"/>
      <c r="S154" s="904"/>
      <c r="T154" s="1107"/>
      <c r="U154" s="905"/>
    </row>
    <row r="155" spans="1:21" ht="65.25" customHeight="1" x14ac:dyDescent="0.2">
      <c r="A155" s="1062" t="s">
        <v>5</v>
      </c>
      <c r="B155" s="1063" t="s">
        <v>7</v>
      </c>
      <c r="C155" s="1039" t="s">
        <v>7</v>
      </c>
      <c r="D155" s="1067" t="s">
        <v>321</v>
      </c>
      <c r="E155" s="1051" t="s">
        <v>47</v>
      </c>
      <c r="F155" s="1042" t="s">
        <v>43</v>
      </c>
      <c r="G155" s="421" t="s">
        <v>70</v>
      </c>
      <c r="H155" s="261">
        <v>150</v>
      </c>
      <c r="I155" s="212">
        <v>150</v>
      </c>
      <c r="J155" s="261"/>
      <c r="K155" s="260">
        <f>391.7+15</f>
        <v>406.7</v>
      </c>
      <c r="L155" s="212">
        <f>391.7+15</f>
        <v>406.7</v>
      </c>
      <c r="M155" s="439"/>
      <c r="N155" s="436">
        <v>558.6</v>
      </c>
      <c r="O155" s="1190">
        <v>558.6</v>
      </c>
      <c r="P155" s="436"/>
      <c r="Q155" s="690" t="s">
        <v>320</v>
      </c>
      <c r="R155" s="236">
        <v>4</v>
      </c>
      <c r="S155" s="630">
        <v>6</v>
      </c>
      <c r="T155" s="1186"/>
      <c r="U155" s="916"/>
    </row>
    <row r="156" spans="1:21" ht="26.25" customHeight="1" x14ac:dyDescent="0.2">
      <c r="A156" s="404"/>
      <c r="B156" s="1063"/>
      <c r="C156" s="1084"/>
      <c r="D156" s="1060"/>
      <c r="E156" s="1051"/>
      <c r="F156" s="1042"/>
      <c r="G156" s="280"/>
      <c r="H156" s="283"/>
      <c r="I156" s="700"/>
      <c r="J156" s="283"/>
      <c r="K156" s="962"/>
      <c r="L156" s="700"/>
      <c r="M156" s="339"/>
      <c r="N156" s="283"/>
      <c r="O156" s="700"/>
      <c r="P156" s="283"/>
      <c r="Q156" s="258" t="s">
        <v>322</v>
      </c>
      <c r="R156" s="225"/>
      <c r="S156" s="929" t="s">
        <v>56</v>
      </c>
      <c r="T156" s="712" t="s">
        <v>278</v>
      </c>
      <c r="U156" s="434"/>
    </row>
    <row r="157" spans="1:21" ht="36.75" customHeight="1" x14ac:dyDescent="0.2">
      <c r="A157" s="404"/>
      <c r="B157" s="1063"/>
      <c r="C157" s="1084"/>
      <c r="D157" s="1045"/>
      <c r="E157" s="1051"/>
      <c r="F157" s="1042"/>
      <c r="G157" s="80" t="s">
        <v>25</v>
      </c>
      <c r="H157" s="178">
        <v>40</v>
      </c>
      <c r="I157" s="181">
        <v>40</v>
      </c>
      <c r="J157" s="178"/>
      <c r="K157" s="144"/>
      <c r="L157" s="181"/>
      <c r="M157" s="208"/>
      <c r="N157" s="178"/>
      <c r="O157" s="181"/>
      <c r="P157" s="208"/>
      <c r="Q157" s="1056" t="s">
        <v>340</v>
      </c>
      <c r="R157" s="40">
        <v>1</v>
      </c>
      <c r="S157" s="698"/>
      <c r="T157" s="231"/>
      <c r="U157" s="434"/>
    </row>
    <row r="158" spans="1:21" ht="18" customHeight="1" thickBot="1" x14ac:dyDescent="0.25">
      <c r="A158" s="1079"/>
      <c r="B158" s="324"/>
      <c r="C158" s="1066"/>
      <c r="D158" s="928"/>
      <c r="E158" s="900"/>
      <c r="F158" s="901"/>
      <c r="G158" s="244" t="s">
        <v>6</v>
      </c>
      <c r="H158" s="244">
        <f>SUM(H155:H157)</f>
        <v>190</v>
      </c>
      <c r="I158" s="1150">
        <f>SUM(I155:I157)</f>
        <v>190</v>
      </c>
      <c r="J158" s="1150">
        <f>SUM(J155:J157)</f>
        <v>0</v>
      </c>
      <c r="K158" s="244">
        <f>SUM(K155:K157)</f>
        <v>406.7</v>
      </c>
      <c r="L158" s="1150">
        <f>SUM(L155:L157)</f>
        <v>406.7</v>
      </c>
      <c r="M158" s="440"/>
      <c r="N158" s="214">
        <f>SUM(N155:N157)</f>
        <v>558.6</v>
      </c>
      <c r="O158" s="1150">
        <f>SUM(O155:O157)</f>
        <v>558.6</v>
      </c>
      <c r="P158" s="214"/>
      <c r="Q158" s="902"/>
      <c r="R158" s="903"/>
      <c r="S158" s="904"/>
      <c r="T158" s="1107"/>
      <c r="U158" s="905"/>
    </row>
    <row r="159" spans="1:21" ht="15" customHeight="1" x14ac:dyDescent="0.2">
      <c r="A159" s="1900" t="s">
        <v>5</v>
      </c>
      <c r="B159" s="1902" t="s">
        <v>7</v>
      </c>
      <c r="C159" s="1869" t="s">
        <v>28</v>
      </c>
      <c r="D159" s="1769" t="s">
        <v>159</v>
      </c>
      <c r="E159" s="1873" t="s">
        <v>47</v>
      </c>
      <c r="F159" s="1869" t="s">
        <v>43</v>
      </c>
      <c r="G159" s="215" t="s">
        <v>25</v>
      </c>
      <c r="H159" s="108">
        <v>113</v>
      </c>
      <c r="I159" s="270">
        <v>113</v>
      </c>
      <c r="J159" s="108"/>
      <c r="K159" s="260">
        <v>639.6</v>
      </c>
      <c r="L159" s="212">
        <v>639.6</v>
      </c>
      <c r="M159" s="66"/>
      <c r="N159" s="108"/>
      <c r="O159" s="270"/>
      <c r="P159" s="138"/>
      <c r="Q159" s="1102" t="s">
        <v>323</v>
      </c>
      <c r="R159" s="328"/>
      <c r="S159" s="321">
        <v>17</v>
      </c>
      <c r="T159" s="1108"/>
      <c r="U159" s="1146"/>
    </row>
    <row r="160" spans="1:21" ht="14.25" customHeight="1" x14ac:dyDescent="0.2">
      <c r="A160" s="1734"/>
      <c r="B160" s="1903"/>
      <c r="C160" s="1736"/>
      <c r="D160" s="1770"/>
      <c r="E160" s="1874"/>
      <c r="F160" s="1736"/>
      <c r="G160" s="67" t="s">
        <v>376</v>
      </c>
      <c r="H160" s="170">
        <v>640</v>
      </c>
      <c r="I160" s="45">
        <v>640</v>
      </c>
      <c r="J160" s="170"/>
      <c r="K160" s="95">
        <v>3624.5</v>
      </c>
      <c r="L160" s="45">
        <v>3624.5</v>
      </c>
      <c r="M160" s="202"/>
      <c r="N160" s="170"/>
      <c r="O160" s="45"/>
      <c r="P160" s="202"/>
      <c r="Q160" s="1071"/>
      <c r="R160" s="327"/>
      <c r="S160" s="327"/>
      <c r="T160" s="381"/>
      <c r="U160" s="306"/>
    </row>
    <row r="161" spans="1:25" ht="15" customHeight="1" thickBot="1" x14ac:dyDescent="0.25">
      <c r="A161" s="1901"/>
      <c r="B161" s="1904"/>
      <c r="C161" s="1870"/>
      <c r="D161" s="1905"/>
      <c r="E161" s="1875"/>
      <c r="F161" s="1870"/>
      <c r="G161" s="98" t="s">
        <v>6</v>
      </c>
      <c r="H161" s="331">
        <f>SUM(H159:H160)</f>
        <v>753</v>
      </c>
      <c r="I161" s="213">
        <f>SUM(I159:I160)</f>
        <v>753</v>
      </c>
      <c r="J161" s="213">
        <f>SUM(J159:J160)</f>
        <v>0</v>
      </c>
      <c r="K161" s="211">
        <f t="shared" ref="K161:O161" si="11">SUM(K159:K160)</f>
        <v>4264.1000000000004</v>
      </c>
      <c r="L161" s="213">
        <f t="shared" ref="L161" si="12">SUM(L159:L160)</f>
        <v>4264.1000000000004</v>
      </c>
      <c r="M161" s="257"/>
      <c r="N161" s="331">
        <f t="shared" ref="N161" si="13">SUM(N159:N160)</f>
        <v>0</v>
      </c>
      <c r="O161" s="1150">
        <f t="shared" si="11"/>
        <v>0</v>
      </c>
      <c r="P161" s="1103"/>
      <c r="Q161" s="278"/>
      <c r="R161" s="219"/>
      <c r="S161" s="219"/>
      <c r="T161" s="1124"/>
      <c r="U161" s="799"/>
    </row>
    <row r="162" spans="1:25" ht="14.25" customHeight="1" thickBot="1" x14ac:dyDescent="0.25">
      <c r="A162" s="99" t="s">
        <v>5</v>
      </c>
      <c r="B162" s="326" t="s">
        <v>7</v>
      </c>
      <c r="C162" s="1885" t="s">
        <v>8</v>
      </c>
      <c r="D162" s="1829"/>
      <c r="E162" s="1829"/>
      <c r="F162" s="1829"/>
      <c r="G162" s="1761"/>
      <c r="H162" s="433">
        <f>H158+H154+H161</f>
        <v>6829.7</v>
      </c>
      <c r="I162" s="86">
        <f>I158+I154+I161</f>
        <v>6829.7</v>
      </c>
      <c r="J162" s="86">
        <f>J158+J154+J161</f>
        <v>0</v>
      </c>
      <c r="K162" s="433">
        <f t="shared" ref="K162:P162" si="14">K158+K154+K161</f>
        <v>9997.6</v>
      </c>
      <c r="L162" s="1152">
        <f t="shared" ref="L162:M162" si="15">L158+L154+L161</f>
        <v>9997.6</v>
      </c>
      <c r="M162" s="1152">
        <f t="shared" si="15"/>
        <v>0</v>
      </c>
      <c r="N162" s="433">
        <f t="shared" ref="N162" si="16">N158+N154+N161</f>
        <v>5886.9</v>
      </c>
      <c r="O162" s="86">
        <f>O158+O154+O161</f>
        <v>5886.9</v>
      </c>
      <c r="P162" s="1567">
        <f t="shared" si="14"/>
        <v>0</v>
      </c>
      <c r="Q162" s="1762"/>
      <c r="R162" s="1762"/>
      <c r="S162" s="1762"/>
      <c r="T162" s="1762"/>
      <c r="U162" s="1763"/>
    </row>
    <row r="163" spans="1:25" ht="18" customHeight="1" thickBot="1" x14ac:dyDescent="0.25">
      <c r="A163" s="85" t="s">
        <v>5</v>
      </c>
      <c r="B163" s="326" t="s">
        <v>28</v>
      </c>
      <c r="C163" s="1746" t="s">
        <v>119</v>
      </c>
      <c r="D163" s="1747"/>
      <c r="E163" s="1747"/>
      <c r="F163" s="1747"/>
      <c r="G163" s="1747"/>
      <c r="H163" s="1747"/>
      <c r="I163" s="1747"/>
      <c r="J163" s="1747"/>
      <c r="K163" s="1747"/>
      <c r="L163" s="1747"/>
      <c r="M163" s="1747"/>
      <c r="N163" s="1747"/>
      <c r="O163" s="1747"/>
      <c r="P163" s="1747"/>
      <c r="Q163" s="1747"/>
      <c r="R163" s="1747"/>
      <c r="S163" s="1747"/>
      <c r="T163" s="1747"/>
      <c r="U163" s="1748"/>
    </row>
    <row r="164" spans="1:25" ht="11.25" customHeight="1" x14ac:dyDescent="0.2">
      <c r="A164" s="1078" t="s">
        <v>5</v>
      </c>
      <c r="B164" s="325" t="s">
        <v>28</v>
      </c>
      <c r="C164" s="1065" t="s">
        <v>5</v>
      </c>
      <c r="D164" s="1845" t="s">
        <v>115</v>
      </c>
      <c r="E164" s="129" t="s">
        <v>79</v>
      </c>
      <c r="F164" s="931">
        <v>6</v>
      </c>
      <c r="G164" s="215" t="s">
        <v>25</v>
      </c>
      <c r="H164" s="212">
        <v>90.1</v>
      </c>
      <c r="I164" s="212">
        <v>90.1</v>
      </c>
      <c r="J164" s="1226"/>
      <c r="K164" s="260">
        <v>360.1</v>
      </c>
      <c r="L164" s="212">
        <v>360.1</v>
      </c>
      <c r="M164" s="1194"/>
      <c r="N164" s="260">
        <v>360.1</v>
      </c>
      <c r="O164" s="212">
        <v>360.1</v>
      </c>
      <c r="P164" s="439"/>
      <c r="Q164" s="1172"/>
      <c r="R164" s="212"/>
      <c r="S164" s="268"/>
      <c r="T164" s="268"/>
      <c r="U164" s="2056"/>
    </row>
    <row r="165" spans="1:25" ht="12.75" customHeight="1" x14ac:dyDescent="0.2">
      <c r="A165" s="1037"/>
      <c r="B165" s="1049"/>
      <c r="C165" s="1040"/>
      <c r="D165" s="1785"/>
      <c r="E165" s="672"/>
      <c r="F165" s="1042"/>
      <c r="G165" s="68" t="s">
        <v>70</v>
      </c>
      <c r="H165" s="270">
        <f>809</f>
        <v>809</v>
      </c>
      <c r="I165" s="270">
        <f>809</f>
        <v>809</v>
      </c>
      <c r="J165" s="108"/>
      <c r="K165" s="92">
        <v>505</v>
      </c>
      <c r="L165" s="270">
        <v>505</v>
      </c>
      <c r="M165" s="108"/>
      <c r="N165" s="92">
        <v>505</v>
      </c>
      <c r="O165" s="270">
        <v>505</v>
      </c>
      <c r="P165" s="66"/>
      <c r="Q165" s="763"/>
      <c r="R165" s="270"/>
      <c r="S165" s="42"/>
      <c r="T165" s="42"/>
      <c r="U165" s="2057"/>
    </row>
    <row r="166" spans="1:25" ht="12.75" customHeight="1" x14ac:dyDescent="0.2">
      <c r="A166" s="1037"/>
      <c r="B166" s="1049"/>
      <c r="C166" s="1040"/>
      <c r="D166" s="1785"/>
      <c r="E166" s="672"/>
      <c r="F166" s="1042"/>
      <c r="G166" s="68" t="s">
        <v>77</v>
      </c>
      <c r="H166" s="270">
        <v>224.6</v>
      </c>
      <c r="I166" s="270">
        <v>224.6</v>
      </c>
      <c r="J166" s="1227"/>
      <c r="K166" s="92"/>
      <c r="L166" s="270"/>
      <c r="M166" s="108"/>
      <c r="N166" s="92"/>
      <c r="O166" s="270"/>
      <c r="P166" s="66"/>
      <c r="Q166" s="763"/>
      <c r="R166" s="270"/>
      <c r="S166" s="42"/>
      <c r="T166" s="42"/>
      <c r="U166" s="2057"/>
    </row>
    <row r="167" spans="1:25" ht="12.75" customHeight="1" x14ac:dyDescent="0.2">
      <c r="A167" s="1037"/>
      <c r="B167" s="1049"/>
      <c r="C167" s="1040"/>
      <c r="D167" s="791"/>
      <c r="E167" s="672"/>
      <c r="F167" s="1042"/>
      <c r="G167" s="68" t="s">
        <v>62</v>
      </c>
      <c r="H167" s="270">
        <f>49+150-16.7</f>
        <v>182.3</v>
      </c>
      <c r="I167" s="270">
        <f>49+150-16.7</f>
        <v>182.3</v>
      </c>
      <c r="J167" s="108"/>
      <c r="K167" s="92"/>
      <c r="L167" s="270"/>
      <c r="M167" s="108"/>
      <c r="N167" s="92"/>
      <c r="O167" s="270"/>
      <c r="P167" s="66"/>
      <c r="Q167" s="763"/>
      <c r="R167" s="270"/>
      <c r="S167" s="42"/>
      <c r="T167" s="42"/>
      <c r="U167" s="2057"/>
    </row>
    <row r="168" spans="1:25" ht="15.75" customHeight="1" x14ac:dyDescent="0.2">
      <c r="A168" s="1037"/>
      <c r="B168" s="1049"/>
      <c r="C168" s="1040"/>
      <c r="D168" s="443"/>
      <c r="E168" s="672"/>
      <c r="F168" s="1042"/>
      <c r="G168" s="67" t="s">
        <v>106</v>
      </c>
      <c r="H168" s="45">
        <v>250</v>
      </c>
      <c r="I168" s="45">
        <v>250</v>
      </c>
      <c r="J168" s="170"/>
      <c r="K168" s="95">
        <v>250</v>
      </c>
      <c r="L168" s="45">
        <v>250</v>
      </c>
      <c r="M168" s="170"/>
      <c r="N168" s="95">
        <v>250</v>
      </c>
      <c r="O168" s="45">
        <v>250</v>
      </c>
      <c r="P168" s="202"/>
      <c r="Q168" s="1165"/>
      <c r="R168" s="45"/>
      <c r="S168" s="44"/>
      <c r="T168" s="44"/>
      <c r="U168" s="46"/>
    </row>
    <row r="169" spans="1:25" ht="13.5" customHeight="1" x14ac:dyDescent="0.2">
      <c r="A169" s="1037"/>
      <c r="B169" s="1049"/>
      <c r="C169" s="1040"/>
      <c r="D169" s="1883" t="s">
        <v>113</v>
      </c>
      <c r="E169" s="1851" t="s">
        <v>78</v>
      </c>
      <c r="F169" s="1098"/>
      <c r="G169" s="68"/>
      <c r="H169" s="92"/>
      <c r="I169" s="270"/>
      <c r="J169" s="108"/>
      <c r="K169" s="92"/>
      <c r="L169" s="270"/>
      <c r="M169" s="108"/>
      <c r="N169" s="92"/>
      <c r="O169" s="270"/>
      <c r="P169" s="66"/>
      <c r="Q169" s="1087" t="s">
        <v>120</v>
      </c>
      <c r="R169" s="270">
        <v>13.8</v>
      </c>
      <c r="S169" s="42">
        <v>13.8</v>
      </c>
      <c r="T169" s="42">
        <v>13.8</v>
      </c>
      <c r="U169" s="43"/>
    </row>
    <row r="170" spans="1:25" ht="14.25" customHeight="1" x14ac:dyDescent="0.2">
      <c r="A170" s="1037"/>
      <c r="B170" s="1049"/>
      <c r="C170" s="1040"/>
      <c r="D170" s="1770"/>
      <c r="E170" s="1884"/>
      <c r="F170" s="1098"/>
      <c r="G170" s="68"/>
      <c r="H170" s="92"/>
      <c r="I170" s="270"/>
      <c r="J170" s="108"/>
      <c r="K170" s="92"/>
      <c r="L170" s="270"/>
      <c r="M170" s="108"/>
      <c r="N170" s="92"/>
      <c r="O170" s="270"/>
      <c r="P170" s="66"/>
      <c r="Q170" s="1087" t="s">
        <v>38</v>
      </c>
      <c r="R170" s="327">
        <v>67</v>
      </c>
      <c r="S170" s="381">
        <v>67</v>
      </c>
      <c r="T170" s="182">
        <v>67</v>
      </c>
      <c r="U170" s="306"/>
    </row>
    <row r="171" spans="1:25" ht="15" customHeight="1" x14ac:dyDescent="0.2">
      <c r="A171" s="1037"/>
      <c r="B171" s="1049"/>
      <c r="C171" s="1040"/>
      <c r="D171" s="1770"/>
      <c r="E171" s="1787"/>
      <c r="F171" s="1098"/>
      <c r="G171" s="68"/>
      <c r="H171" s="92"/>
      <c r="I171" s="270"/>
      <c r="J171" s="108"/>
      <c r="K171" s="92"/>
      <c r="L171" s="270"/>
      <c r="M171" s="108"/>
      <c r="N171" s="92"/>
      <c r="O171" s="270"/>
      <c r="P171" s="66"/>
      <c r="Q171" s="1087" t="s">
        <v>84</v>
      </c>
      <c r="R171" s="933">
        <v>1.8</v>
      </c>
      <c r="S171" s="934">
        <v>1.8</v>
      </c>
      <c r="T171" s="42">
        <v>1.8</v>
      </c>
      <c r="U171" s="43"/>
    </row>
    <row r="172" spans="1:25" ht="15" customHeight="1" x14ac:dyDescent="0.2">
      <c r="A172" s="1037"/>
      <c r="B172" s="1049"/>
      <c r="C172" s="1040"/>
      <c r="D172" s="1770"/>
      <c r="E172" s="1068"/>
      <c r="F172" s="1098"/>
      <c r="G172" s="68"/>
      <c r="H172" s="92"/>
      <c r="I172" s="270"/>
      <c r="J172" s="138"/>
      <c r="K172" s="92"/>
      <c r="L172" s="270"/>
      <c r="M172" s="108"/>
      <c r="N172" s="92"/>
      <c r="O172" s="270"/>
      <c r="P172" s="66"/>
      <c r="Q172" s="1087" t="s">
        <v>311</v>
      </c>
      <c r="R172" s="327">
        <v>100</v>
      </c>
      <c r="S172" s="381"/>
      <c r="T172" s="1191"/>
      <c r="U172" s="936"/>
    </row>
    <row r="173" spans="1:25" ht="15" customHeight="1" x14ac:dyDescent="0.2">
      <c r="A173" s="1037"/>
      <c r="B173" s="1049"/>
      <c r="C173" s="1040"/>
      <c r="D173" s="1770"/>
      <c r="E173" s="1068"/>
      <c r="F173" s="1098"/>
      <c r="G173" s="68"/>
      <c r="H173" s="92"/>
      <c r="I173" s="270"/>
      <c r="J173" s="138"/>
      <c r="K173" s="92"/>
      <c r="L173" s="270"/>
      <c r="M173" s="108"/>
      <c r="N173" s="92"/>
      <c r="O173" s="270"/>
      <c r="P173" s="66"/>
      <c r="Q173" s="275" t="s">
        <v>183</v>
      </c>
      <c r="R173" s="1261">
        <v>165</v>
      </c>
      <c r="S173" s="393"/>
      <c r="T173" s="1605"/>
      <c r="U173" s="1034"/>
    </row>
    <row r="174" spans="1:25" ht="17.25" customHeight="1" x14ac:dyDescent="0.2">
      <c r="A174" s="1037"/>
      <c r="B174" s="1049"/>
      <c r="C174" s="1040"/>
      <c r="D174" s="1770"/>
      <c r="E174" s="1068"/>
      <c r="F174" s="1098"/>
      <c r="G174" s="68"/>
      <c r="H174" s="92"/>
      <c r="I174" s="831"/>
      <c r="J174" s="1681"/>
      <c r="K174" s="92"/>
      <c r="L174" s="270"/>
      <c r="M174" s="108"/>
      <c r="N174" s="92"/>
      <c r="O174" s="270"/>
      <c r="P174" s="66"/>
      <c r="Q174" s="1087" t="s">
        <v>359</v>
      </c>
      <c r="R174" s="327">
        <v>4</v>
      </c>
      <c r="S174" s="381"/>
      <c r="T174" s="1192"/>
      <c r="U174" s="1600"/>
    </row>
    <row r="175" spans="1:25" ht="17.25" customHeight="1" x14ac:dyDescent="0.2">
      <c r="A175" s="1037"/>
      <c r="B175" s="1049"/>
      <c r="C175" s="1040"/>
      <c r="D175" s="930" t="s">
        <v>66</v>
      </c>
      <c r="E175" s="1068"/>
      <c r="F175" s="1098"/>
      <c r="G175" s="64"/>
      <c r="H175" s="92"/>
      <c r="I175" s="270"/>
      <c r="J175" s="108"/>
      <c r="K175" s="92"/>
      <c r="L175" s="270"/>
      <c r="M175" s="108"/>
      <c r="N175" s="92"/>
      <c r="O175" s="270"/>
      <c r="P175" s="66"/>
      <c r="Q175" s="1195" t="s">
        <v>85</v>
      </c>
      <c r="R175" s="26">
        <v>1</v>
      </c>
      <c r="S175" s="26">
        <v>1</v>
      </c>
      <c r="T175" s="1125">
        <v>1</v>
      </c>
      <c r="U175" s="1601"/>
    </row>
    <row r="176" spans="1:25" ht="15.75" customHeight="1" x14ac:dyDescent="0.2">
      <c r="A176" s="1037"/>
      <c r="B176" s="1049"/>
      <c r="C176" s="1040"/>
      <c r="D176" s="1975" t="s">
        <v>122</v>
      </c>
      <c r="E176" s="158"/>
      <c r="F176" s="1042"/>
      <c r="G176" s="68"/>
      <c r="H176" s="92"/>
      <c r="I176" s="270"/>
      <c r="J176" s="108"/>
      <c r="K176" s="92"/>
      <c r="L176" s="270"/>
      <c r="M176" s="138"/>
      <c r="N176" s="92"/>
      <c r="O176" s="270"/>
      <c r="P176" s="66"/>
      <c r="Q176" s="2054" t="s">
        <v>330</v>
      </c>
      <c r="R176" s="1979">
        <v>14</v>
      </c>
      <c r="S176" s="1981"/>
      <c r="T176" s="2085"/>
      <c r="U176" s="2058"/>
      <c r="V176" s="1266"/>
      <c r="W176" s="1266"/>
      <c r="X176" s="1266"/>
      <c r="Y176" s="1266"/>
    </row>
    <row r="177" spans="1:26" ht="12.75" customHeight="1" x14ac:dyDescent="0.2">
      <c r="A177" s="1037"/>
      <c r="B177" s="1049"/>
      <c r="C177" s="1040"/>
      <c r="D177" s="1975"/>
      <c r="E177" s="1583"/>
      <c r="F177" s="1042"/>
      <c r="G177" s="68"/>
      <c r="H177" s="92"/>
      <c r="I177" s="270"/>
      <c r="J177" s="108"/>
      <c r="K177" s="92"/>
      <c r="L177" s="270"/>
      <c r="M177" s="108"/>
      <c r="N177" s="92"/>
      <c r="O177" s="270"/>
      <c r="P177" s="66"/>
      <c r="Q177" s="2055"/>
      <c r="R177" s="1980"/>
      <c r="S177" s="1982"/>
      <c r="T177" s="2086"/>
      <c r="U177" s="2059"/>
      <c r="V177" s="1266"/>
      <c r="W177" s="1266"/>
      <c r="X177" s="1266"/>
      <c r="Y177" s="1266"/>
      <c r="Z177" s="1266"/>
    </row>
    <row r="178" spans="1:26" ht="16.5" customHeight="1" x14ac:dyDescent="0.2">
      <c r="A178" s="1037"/>
      <c r="B178" s="1049"/>
      <c r="C178" s="1040"/>
      <c r="D178" s="1854" t="s">
        <v>114</v>
      </c>
      <c r="E178" s="1582" t="s">
        <v>47</v>
      </c>
      <c r="F178" s="932"/>
      <c r="G178" s="68"/>
      <c r="H178" s="91"/>
      <c r="I178" s="36"/>
      <c r="J178" s="111"/>
      <c r="K178" s="92"/>
      <c r="L178" s="270"/>
      <c r="M178" s="108"/>
      <c r="N178" s="92"/>
      <c r="O178" s="270"/>
      <c r="P178" s="66"/>
      <c r="Q178" s="1196" t="s">
        <v>184</v>
      </c>
      <c r="R178" s="967">
        <v>170</v>
      </c>
      <c r="S178" s="967">
        <v>170</v>
      </c>
      <c r="T178" s="967">
        <v>170</v>
      </c>
      <c r="U178" s="1608"/>
      <c r="V178" s="1266"/>
      <c r="W178" s="1266"/>
      <c r="X178" s="1266"/>
      <c r="Y178" s="1266"/>
      <c r="Z178" s="1266"/>
    </row>
    <row r="179" spans="1:26" ht="41.25" customHeight="1" x14ac:dyDescent="0.2">
      <c r="A179" s="1037"/>
      <c r="B179" s="1049"/>
      <c r="C179" s="1040"/>
      <c r="D179" s="1882"/>
      <c r="E179" s="1583"/>
      <c r="F179" s="932"/>
      <c r="G179" s="68"/>
      <c r="H179" s="92"/>
      <c r="I179" s="270"/>
      <c r="J179" s="108"/>
      <c r="K179" s="92"/>
      <c r="L179" s="270"/>
      <c r="M179" s="108"/>
      <c r="N179" s="92"/>
      <c r="O179" s="270"/>
      <c r="P179" s="66"/>
      <c r="Q179" s="1197" t="s">
        <v>179</v>
      </c>
      <c r="R179" s="1597"/>
      <c r="S179" s="1597"/>
      <c r="T179" s="1593"/>
      <c r="U179" s="1607"/>
      <c r="V179" s="1266"/>
      <c r="W179" s="1266"/>
      <c r="X179" s="1266"/>
      <c r="Y179" s="1266"/>
      <c r="Z179" s="1266"/>
    </row>
    <row r="180" spans="1:26" ht="20.25" customHeight="1" x14ac:dyDescent="0.2">
      <c r="A180" s="1046"/>
      <c r="B180" s="1049"/>
      <c r="C180" s="263"/>
      <c r="D180" s="1858" t="s">
        <v>202</v>
      </c>
      <c r="E180" s="1047" t="s">
        <v>47</v>
      </c>
      <c r="F180" s="1098"/>
      <c r="G180" s="67"/>
      <c r="H180" s="95"/>
      <c r="I180" s="45"/>
      <c r="J180" s="170"/>
      <c r="K180" s="95"/>
      <c r="L180" s="45"/>
      <c r="M180" s="170"/>
      <c r="N180" s="95"/>
      <c r="O180" s="45"/>
      <c r="P180" s="202"/>
      <c r="Q180" s="1758" t="s">
        <v>180</v>
      </c>
      <c r="R180" s="624">
        <v>33</v>
      </c>
      <c r="S180" s="624">
        <v>19</v>
      </c>
      <c r="T180" s="658">
        <v>19</v>
      </c>
      <c r="U180" s="2016"/>
      <c r="V180" s="1266"/>
      <c r="W180" s="1266"/>
      <c r="X180" s="1266"/>
      <c r="Y180" s="1266"/>
      <c r="Z180" s="1266"/>
    </row>
    <row r="181" spans="1:26" ht="15.75" customHeight="1" thickBot="1" x14ac:dyDescent="0.25">
      <c r="A181" s="75"/>
      <c r="B181" s="1081"/>
      <c r="C181" s="104"/>
      <c r="D181" s="1879"/>
      <c r="E181" s="900"/>
      <c r="F181" s="104"/>
      <c r="G181" s="156" t="s">
        <v>6</v>
      </c>
      <c r="H181" s="244">
        <f>SUM(H164:H180)</f>
        <v>1556</v>
      </c>
      <c r="I181" s="1150">
        <f>SUM(I164:I180)</f>
        <v>1556</v>
      </c>
      <c r="J181" s="1150">
        <f>SUM(J164:J180)</f>
        <v>0</v>
      </c>
      <c r="K181" s="244">
        <f>SUM(K164:K180)</f>
        <v>1115.0999999999999</v>
      </c>
      <c r="L181" s="1150">
        <f>SUM(L164:L180)</f>
        <v>1115.0999999999999</v>
      </c>
      <c r="M181" s="440"/>
      <c r="N181" s="244">
        <f>SUM(N164:N180)</f>
        <v>1115.0999999999999</v>
      </c>
      <c r="O181" s="1150">
        <f>SUM(O164:O180)</f>
        <v>1115.0999999999999</v>
      </c>
      <c r="P181" s="1200"/>
      <c r="Q181" s="2060"/>
      <c r="R181" s="903"/>
      <c r="S181" s="904"/>
      <c r="T181" s="1107"/>
      <c r="U181" s="2061"/>
    </row>
    <row r="182" spans="1:26" ht="15" customHeight="1" x14ac:dyDescent="0.2">
      <c r="A182" s="1865" t="s">
        <v>5</v>
      </c>
      <c r="B182" s="1867" t="s">
        <v>28</v>
      </c>
      <c r="C182" s="1869" t="s">
        <v>7</v>
      </c>
      <c r="D182" s="1871" t="s">
        <v>304</v>
      </c>
      <c r="E182" s="1873" t="s">
        <v>395</v>
      </c>
      <c r="F182" s="1876" t="s">
        <v>56</v>
      </c>
      <c r="G182" s="105" t="s">
        <v>25</v>
      </c>
      <c r="H182" s="260">
        <v>112.6</v>
      </c>
      <c r="I182" s="212">
        <v>112.6</v>
      </c>
      <c r="J182" s="261"/>
      <c r="K182" s="260">
        <v>112.6</v>
      </c>
      <c r="L182" s="212">
        <v>112.6</v>
      </c>
      <c r="M182" s="261"/>
      <c r="N182" s="260">
        <v>112.6</v>
      </c>
      <c r="O182" s="212">
        <v>112.6</v>
      </c>
      <c r="P182" s="439"/>
      <c r="Q182" s="1198" t="s">
        <v>69</v>
      </c>
      <c r="R182" s="321">
        <v>18</v>
      </c>
      <c r="S182" s="321">
        <v>18</v>
      </c>
      <c r="T182" s="1108">
        <v>18</v>
      </c>
      <c r="U182" s="1146"/>
    </row>
    <row r="183" spans="1:26" ht="16.5" customHeight="1" x14ac:dyDescent="0.2">
      <c r="A183" s="1837"/>
      <c r="B183" s="1832"/>
      <c r="C183" s="1736"/>
      <c r="D183" s="1858"/>
      <c r="E183" s="1874"/>
      <c r="F183" s="1877"/>
      <c r="G183" s="80" t="s">
        <v>62</v>
      </c>
      <c r="H183" s="166">
        <v>93</v>
      </c>
      <c r="I183" s="179">
        <v>93</v>
      </c>
      <c r="J183" s="143"/>
      <c r="K183" s="166"/>
      <c r="L183" s="179"/>
      <c r="M183" s="143"/>
      <c r="N183" s="166"/>
      <c r="O183" s="179"/>
      <c r="P183" s="486"/>
      <c r="Q183" s="1087" t="s">
        <v>86</v>
      </c>
      <c r="R183" s="327">
        <v>7</v>
      </c>
      <c r="S183" s="327">
        <v>7</v>
      </c>
      <c r="T183" s="381">
        <v>7</v>
      </c>
      <c r="U183" s="306"/>
    </row>
    <row r="184" spans="1:26" ht="15" customHeight="1" thickBot="1" x14ac:dyDescent="0.25">
      <c r="A184" s="1866"/>
      <c r="B184" s="1868"/>
      <c r="C184" s="1870"/>
      <c r="D184" s="1872"/>
      <c r="E184" s="1875"/>
      <c r="F184" s="1878"/>
      <c r="G184" s="98" t="s">
        <v>6</v>
      </c>
      <c r="H184" s="244">
        <f>SUM(H182:H183)</f>
        <v>205.6</v>
      </c>
      <c r="I184" s="1150">
        <f>SUM(I182:I183)</f>
        <v>205.6</v>
      </c>
      <c r="J184" s="1103"/>
      <c r="K184" s="244">
        <f t="shared" ref="K184:O184" si="17">SUM(K182:K183)</f>
        <v>112.6</v>
      </c>
      <c r="L184" s="1150">
        <f t="shared" ref="L184" si="18">SUM(L182:L183)</f>
        <v>112.6</v>
      </c>
      <c r="M184" s="214"/>
      <c r="N184" s="244">
        <f t="shared" ref="N184" si="19">SUM(N182:N183)</f>
        <v>112.6</v>
      </c>
      <c r="O184" s="1150">
        <f t="shared" si="17"/>
        <v>112.6</v>
      </c>
      <c r="P184" s="440"/>
      <c r="Q184" s="928"/>
      <c r="R184" s="219"/>
      <c r="S184" s="219"/>
      <c r="T184" s="1124"/>
      <c r="U184" s="799"/>
    </row>
    <row r="185" spans="1:26" ht="11.25" customHeight="1" x14ac:dyDescent="0.2">
      <c r="A185" s="1061" t="s">
        <v>5</v>
      </c>
      <c r="B185" s="945" t="s">
        <v>28</v>
      </c>
      <c r="C185" s="1064" t="s">
        <v>28</v>
      </c>
      <c r="D185" s="1845" t="s">
        <v>223</v>
      </c>
      <c r="E185" s="129" t="s">
        <v>47</v>
      </c>
      <c r="F185" s="931">
        <v>5</v>
      </c>
      <c r="G185" s="215" t="s">
        <v>25</v>
      </c>
      <c r="H185" s="260">
        <v>197.1</v>
      </c>
      <c r="I185" s="212">
        <v>197.1</v>
      </c>
      <c r="J185" s="261"/>
      <c r="K185" s="260">
        <v>412.5</v>
      </c>
      <c r="L185" s="212">
        <v>412.5</v>
      </c>
      <c r="M185" s="439"/>
      <c r="N185" s="260">
        <v>155</v>
      </c>
      <c r="O185" s="212">
        <v>155</v>
      </c>
      <c r="P185" s="439"/>
      <c r="Q185" s="952"/>
      <c r="R185" s="270"/>
      <c r="S185" s="270"/>
      <c r="T185" s="108"/>
      <c r="U185" s="43"/>
    </row>
    <row r="186" spans="1:26" ht="12" customHeight="1" x14ac:dyDescent="0.2">
      <c r="A186" s="1062"/>
      <c r="B186" s="1077"/>
      <c r="C186" s="1039"/>
      <c r="D186" s="1846"/>
      <c r="E186" s="672"/>
      <c r="F186" s="1042"/>
      <c r="G186" s="68" t="s">
        <v>62</v>
      </c>
      <c r="H186" s="92">
        <v>150</v>
      </c>
      <c r="I186" s="270">
        <v>150</v>
      </c>
      <c r="J186" s="108"/>
      <c r="K186" s="92"/>
      <c r="L186" s="270"/>
      <c r="M186" s="66"/>
      <c r="N186" s="92"/>
      <c r="O186" s="270"/>
      <c r="P186" s="66"/>
      <c r="Q186" s="952"/>
      <c r="R186" s="42"/>
      <c r="S186" s="270"/>
      <c r="T186" s="108"/>
      <c r="U186" s="43"/>
    </row>
    <row r="187" spans="1:26" ht="15" customHeight="1" x14ac:dyDescent="0.2">
      <c r="A187" s="1062"/>
      <c r="B187" s="1077"/>
      <c r="C187" s="1039"/>
      <c r="D187" s="1847"/>
      <c r="E187" s="667"/>
      <c r="F187" s="1098"/>
      <c r="G187" s="67" t="s">
        <v>44</v>
      </c>
      <c r="H187" s="95">
        <v>579.5</v>
      </c>
      <c r="I187" s="45">
        <v>579.5</v>
      </c>
      <c r="J187" s="170"/>
      <c r="K187" s="95">
        <v>634.1</v>
      </c>
      <c r="L187" s="45">
        <v>634.1</v>
      </c>
      <c r="M187" s="202"/>
      <c r="N187" s="95">
        <f>279+850</f>
        <v>1129</v>
      </c>
      <c r="O187" s="45">
        <f>279+850</f>
        <v>1129</v>
      </c>
      <c r="P187" s="202"/>
      <c r="Q187" s="953"/>
      <c r="R187" s="44"/>
      <c r="S187" s="45"/>
      <c r="T187" s="170"/>
      <c r="U187" s="43"/>
    </row>
    <row r="188" spans="1:26" ht="24.75" customHeight="1" x14ac:dyDescent="0.2">
      <c r="A188" s="1734"/>
      <c r="B188" s="1735"/>
      <c r="C188" s="1736"/>
      <c r="D188" s="1848" t="s">
        <v>342</v>
      </c>
      <c r="E188" s="1851" t="s">
        <v>96</v>
      </c>
      <c r="F188" s="1084"/>
      <c r="G188" s="228"/>
      <c r="H188" s="96"/>
      <c r="I188" s="53"/>
      <c r="J188" s="141"/>
      <c r="K188" s="96"/>
      <c r="L188" s="53"/>
      <c r="M188" s="230"/>
      <c r="N188" s="96"/>
      <c r="O188" s="53"/>
      <c r="P188" s="230"/>
      <c r="Q188" s="954" t="s">
        <v>170</v>
      </c>
      <c r="R188" s="793" t="s">
        <v>171</v>
      </c>
      <c r="S188" s="1099">
        <v>100</v>
      </c>
      <c r="T188" s="1126"/>
      <c r="U188" s="306"/>
    </row>
    <row r="189" spans="1:26" ht="26.25" customHeight="1" x14ac:dyDescent="0.2">
      <c r="A189" s="1734"/>
      <c r="B189" s="1735"/>
      <c r="C189" s="1736"/>
      <c r="D189" s="1849"/>
      <c r="E189" s="1852"/>
      <c r="F189" s="1042"/>
      <c r="G189" s="68"/>
      <c r="H189" s="108"/>
      <c r="I189" s="270"/>
      <c r="J189" s="108"/>
      <c r="K189" s="92"/>
      <c r="L189" s="270"/>
      <c r="M189" s="66"/>
      <c r="N189" s="92"/>
      <c r="O189" s="270"/>
      <c r="P189" s="66"/>
      <c r="Q189" s="955" t="s">
        <v>341</v>
      </c>
      <c r="R189" s="193">
        <v>1</v>
      </c>
      <c r="S189" s="34"/>
      <c r="T189" s="542"/>
      <c r="U189" s="306"/>
    </row>
    <row r="190" spans="1:26" ht="15.75" customHeight="1" x14ac:dyDescent="0.2">
      <c r="A190" s="1734"/>
      <c r="B190" s="1735"/>
      <c r="C190" s="1736"/>
      <c r="D190" s="1850"/>
      <c r="E190" s="1853"/>
      <c r="F190" s="1042"/>
      <c r="G190" s="68"/>
      <c r="H190" s="108"/>
      <c r="I190" s="270"/>
      <c r="J190" s="108"/>
      <c r="K190" s="92"/>
      <c r="L190" s="270"/>
      <c r="M190" s="66"/>
      <c r="N190" s="92"/>
      <c r="O190" s="270"/>
      <c r="P190" s="66"/>
      <c r="Q190" s="956" t="s">
        <v>162</v>
      </c>
      <c r="R190" s="794" t="s">
        <v>268</v>
      </c>
      <c r="S190" s="795">
        <v>2</v>
      </c>
      <c r="T190" s="795"/>
      <c r="U190" s="306"/>
    </row>
    <row r="191" spans="1:26" ht="15" customHeight="1" x14ac:dyDescent="0.2">
      <c r="A191" s="1734"/>
      <c r="B191" s="1735"/>
      <c r="C191" s="1736"/>
      <c r="D191" s="1737" t="s">
        <v>282</v>
      </c>
      <c r="E191" s="1834" t="s">
        <v>163</v>
      </c>
      <c r="F191" s="1084"/>
      <c r="G191" s="64"/>
      <c r="H191" s="92"/>
      <c r="I191" s="270"/>
      <c r="J191" s="108"/>
      <c r="K191" s="92"/>
      <c r="L191" s="270"/>
      <c r="M191" s="66"/>
      <c r="N191" s="92"/>
      <c r="O191" s="270"/>
      <c r="P191" s="66"/>
      <c r="Q191" s="955" t="s">
        <v>214</v>
      </c>
      <c r="R191" s="193">
        <v>1</v>
      </c>
      <c r="S191" s="193"/>
      <c r="T191" s="182"/>
      <c r="U191" s="306"/>
    </row>
    <row r="192" spans="1:26" ht="29.25" customHeight="1" x14ac:dyDescent="0.2">
      <c r="A192" s="1734"/>
      <c r="B192" s="1735"/>
      <c r="C192" s="1736"/>
      <c r="D192" s="1738"/>
      <c r="E192" s="1844"/>
      <c r="F192" s="1042"/>
      <c r="G192" s="68"/>
      <c r="H192" s="92"/>
      <c r="I192" s="270"/>
      <c r="J192" s="108"/>
      <c r="K192" s="92"/>
      <c r="L192" s="270"/>
      <c r="M192" s="66"/>
      <c r="N192" s="92"/>
      <c r="O192" s="270"/>
      <c r="P192" s="66"/>
      <c r="Q192" s="955" t="s">
        <v>283</v>
      </c>
      <c r="R192" s="193"/>
      <c r="S192" s="193">
        <v>1</v>
      </c>
      <c r="T192" s="193"/>
      <c r="U192" s="306"/>
    </row>
    <row r="193" spans="1:22" ht="14.25" customHeight="1" x14ac:dyDescent="0.2">
      <c r="A193" s="1837"/>
      <c r="B193" s="1832"/>
      <c r="C193" s="1736"/>
      <c r="D193" s="1854" t="s">
        <v>209</v>
      </c>
      <c r="E193" s="1834"/>
      <c r="F193" s="1843"/>
      <c r="G193" s="64"/>
      <c r="H193" s="92"/>
      <c r="I193" s="270"/>
      <c r="J193" s="108"/>
      <c r="K193" s="92"/>
      <c r="L193" s="270"/>
      <c r="M193" s="66"/>
      <c r="N193" s="92"/>
      <c r="O193" s="270"/>
      <c r="P193" s="66"/>
      <c r="Q193" s="957" t="s">
        <v>185</v>
      </c>
      <c r="R193" s="1074">
        <v>1</v>
      </c>
      <c r="S193" s="1076"/>
      <c r="T193" s="400"/>
      <c r="U193" s="306"/>
    </row>
    <row r="194" spans="1:22" ht="15" customHeight="1" x14ac:dyDescent="0.2">
      <c r="A194" s="1837"/>
      <c r="B194" s="1832"/>
      <c r="C194" s="1736"/>
      <c r="D194" s="1855"/>
      <c r="E194" s="1853"/>
      <c r="F194" s="1843"/>
      <c r="G194" s="68"/>
      <c r="H194" s="92"/>
      <c r="I194" s="270"/>
      <c r="J194" s="108"/>
      <c r="K194" s="92"/>
      <c r="L194" s="270"/>
      <c r="M194" s="66"/>
      <c r="N194" s="92"/>
      <c r="O194" s="270"/>
      <c r="P194" s="66"/>
      <c r="Q194" s="1199" t="s">
        <v>284</v>
      </c>
      <c r="R194" s="48">
        <v>6</v>
      </c>
      <c r="S194" s="183"/>
      <c r="T194" s="51"/>
      <c r="U194" s="23"/>
    </row>
    <row r="195" spans="1:22" ht="26.25" customHeight="1" x14ac:dyDescent="0.2">
      <c r="A195" s="1734"/>
      <c r="B195" s="1735"/>
      <c r="C195" s="1736"/>
      <c r="D195" s="1737" t="s">
        <v>327</v>
      </c>
      <c r="E195" s="1830" t="s">
        <v>362</v>
      </c>
      <c r="F195" s="1084"/>
      <c r="G195" s="60" t="s">
        <v>25</v>
      </c>
      <c r="H195" s="96"/>
      <c r="I195" s="53"/>
      <c r="J195" s="141"/>
      <c r="K195" s="96">
        <v>50</v>
      </c>
      <c r="L195" s="53">
        <v>50</v>
      </c>
      <c r="M195" s="1281"/>
      <c r="N195" s="96"/>
      <c r="O195" s="53"/>
      <c r="P195" s="230"/>
      <c r="Q195" s="1359" t="s">
        <v>329</v>
      </c>
      <c r="R195" s="1357">
        <v>1</v>
      </c>
      <c r="S195" s="1356"/>
      <c r="T195" s="1356"/>
      <c r="U195" s="2016"/>
      <c r="V195" s="1015"/>
    </row>
    <row r="196" spans="1:22" ht="15.75" customHeight="1" x14ac:dyDescent="0.2">
      <c r="A196" s="1734"/>
      <c r="B196" s="1735"/>
      <c r="C196" s="1736"/>
      <c r="D196" s="1737"/>
      <c r="E196" s="1831"/>
      <c r="F196" s="1084"/>
      <c r="G196" s="68"/>
      <c r="H196" s="108"/>
      <c r="I196" s="270"/>
      <c r="J196" s="108"/>
      <c r="K196" s="92"/>
      <c r="L196" s="270"/>
      <c r="M196" s="66"/>
      <c r="N196" s="92"/>
      <c r="O196" s="270"/>
      <c r="P196" s="66"/>
      <c r="Q196" s="258" t="s">
        <v>98</v>
      </c>
      <c r="R196" s="27"/>
      <c r="S196" s="193">
        <v>1</v>
      </c>
      <c r="T196" s="193"/>
      <c r="U196" s="2057"/>
      <c r="V196" s="1015"/>
    </row>
    <row r="197" spans="1:22" ht="26.25" customHeight="1" x14ac:dyDescent="0.2">
      <c r="A197" s="1734"/>
      <c r="B197" s="1735"/>
      <c r="C197" s="1736"/>
      <c r="D197" s="1738"/>
      <c r="E197" s="1013"/>
      <c r="F197" s="1084"/>
      <c r="G197" s="67"/>
      <c r="H197" s="170"/>
      <c r="I197" s="45"/>
      <c r="J197" s="170"/>
      <c r="K197" s="95"/>
      <c r="L197" s="45"/>
      <c r="M197" s="202"/>
      <c r="N197" s="95"/>
      <c r="O197" s="45"/>
      <c r="P197" s="202"/>
      <c r="Q197" s="250" t="s">
        <v>328</v>
      </c>
      <c r="R197" s="22"/>
      <c r="S197" s="51"/>
      <c r="T197" s="1358">
        <v>30</v>
      </c>
      <c r="U197" s="2062"/>
    </row>
    <row r="198" spans="1:22" ht="38.25" customHeight="1" x14ac:dyDescent="0.2">
      <c r="A198" s="1037"/>
      <c r="B198" s="1038"/>
      <c r="C198" s="1040"/>
      <c r="D198" s="985" t="s">
        <v>343</v>
      </c>
      <c r="E198" s="986" t="s">
        <v>219</v>
      </c>
      <c r="F198" s="987" t="s">
        <v>37</v>
      </c>
      <c r="G198" s="67" t="s">
        <v>77</v>
      </c>
      <c r="H198" s="95">
        <f>24.2+4</f>
        <v>28.2</v>
      </c>
      <c r="I198" s="45">
        <f>24.2+4</f>
        <v>28.2</v>
      </c>
      <c r="J198" s="170"/>
      <c r="K198" s="95"/>
      <c r="L198" s="45"/>
      <c r="M198" s="202"/>
      <c r="N198" s="95"/>
      <c r="O198" s="45"/>
      <c r="P198" s="202"/>
      <c r="Q198" s="1165" t="s">
        <v>87</v>
      </c>
      <c r="R198" s="1355">
        <v>1</v>
      </c>
      <c r="S198" s="1355"/>
      <c r="T198" s="1115"/>
      <c r="U198" s="23"/>
    </row>
    <row r="199" spans="1:22" ht="40.5" customHeight="1" x14ac:dyDescent="0.2">
      <c r="A199" s="1046"/>
      <c r="B199" s="1038"/>
      <c r="C199" s="97"/>
      <c r="D199" s="1058" t="s">
        <v>325</v>
      </c>
      <c r="E199" s="1085" t="s">
        <v>163</v>
      </c>
      <c r="F199" s="1042"/>
      <c r="G199" s="67" t="s">
        <v>25</v>
      </c>
      <c r="H199" s="95">
        <v>6</v>
      </c>
      <c r="I199" s="45">
        <v>6</v>
      </c>
      <c r="J199" s="170"/>
      <c r="K199" s="95">
        <v>6.2</v>
      </c>
      <c r="L199" s="45">
        <v>6.2</v>
      </c>
      <c r="M199" s="170"/>
      <c r="N199" s="95">
        <v>6.2</v>
      </c>
      <c r="O199" s="45">
        <v>6.2</v>
      </c>
      <c r="P199" s="1285"/>
      <c r="Q199" s="763" t="s">
        <v>387</v>
      </c>
      <c r="R199" s="1568" t="s">
        <v>37</v>
      </c>
      <c r="S199" s="305">
        <v>6</v>
      </c>
      <c r="T199" s="566">
        <v>6</v>
      </c>
      <c r="U199" s="1287"/>
    </row>
    <row r="200" spans="1:22" ht="14.25" customHeight="1" thickBot="1" x14ac:dyDescent="0.25">
      <c r="A200" s="75"/>
      <c r="B200" s="1081"/>
      <c r="C200" s="56"/>
      <c r="D200" s="764"/>
      <c r="E200" s="798"/>
      <c r="F200" s="951"/>
      <c r="G200" s="156" t="s">
        <v>6</v>
      </c>
      <c r="H200" s="244">
        <f t="shared" ref="H200:P200" si="20">SUM(H185:H199)</f>
        <v>960.8</v>
      </c>
      <c r="I200" s="1150">
        <f t="shared" si="20"/>
        <v>960.8</v>
      </c>
      <c r="J200" s="1150">
        <f t="shared" si="20"/>
        <v>0</v>
      </c>
      <c r="K200" s="244">
        <f t="shared" si="20"/>
        <v>1102.8</v>
      </c>
      <c r="L200" s="1150">
        <f t="shared" si="20"/>
        <v>1102.8</v>
      </c>
      <c r="M200" s="1150">
        <f t="shared" si="20"/>
        <v>0</v>
      </c>
      <c r="N200" s="244">
        <f t="shared" si="20"/>
        <v>1290.2</v>
      </c>
      <c r="O200" s="1150">
        <f t="shared" si="20"/>
        <v>1290.2</v>
      </c>
      <c r="P200" s="834">
        <f t="shared" si="20"/>
        <v>0</v>
      </c>
      <c r="Q200" s="928"/>
      <c r="R200" s="1286"/>
      <c r="S200" s="219"/>
      <c r="T200" s="216"/>
      <c r="U200" s="799"/>
    </row>
    <row r="201" spans="1:22" ht="14.25" customHeight="1" thickBot="1" x14ac:dyDescent="0.25">
      <c r="A201" s="99" t="s">
        <v>5</v>
      </c>
      <c r="B201" s="86" t="s">
        <v>28</v>
      </c>
      <c r="C201" s="1829" t="s">
        <v>8</v>
      </c>
      <c r="D201" s="1829"/>
      <c r="E201" s="1829"/>
      <c r="F201" s="1829"/>
      <c r="G201" s="1761"/>
      <c r="H201" s="1193">
        <f t="shared" ref="H201:P201" si="21">H200+H184+H181</f>
        <v>2722.4</v>
      </c>
      <c r="I201" s="1081">
        <f t="shared" si="21"/>
        <v>2722.4</v>
      </c>
      <c r="J201" s="1284">
        <f t="shared" si="21"/>
        <v>0</v>
      </c>
      <c r="K201" s="1193">
        <f t="shared" si="21"/>
        <v>2330.5</v>
      </c>
      <c r="L201" s="1081">
        <f t="shared" si="21"/>
        <v>2330.5</v>
      </c>
      <c r="M201" s="1283">
        <f t="shared" si="21"/>
        <v>0</v>
      </c>
      <c r="N201" s="1193">
        <f t="shared" si="21"/>
        <v>2517.9</v>
      </c>
      <c r="O201" s="1288">
        <f t="shared" si="21"/>
        <v>2517.9</v>
      </c>
      <c r="P201" s="1292">
        <f t="shared" si="21"/>
        <v>0</v>
      </c>
      <c r="Q201" s="1762"/>
      <c r="R201" s="1762"/>
      <c r="S201" s="1762"/>
      <c r="T201" s="1762"/>
      <c r="U201" s="1763"/>
    </row>
    <row r="202" spans="1:22" ht="14.25" customHeight="1" thickBot="1" x14ac:dyDescent="0.25">
      <c r="A202" s="85" t="s">
        <v>5</v>
      </c>
      <c r="B202" s="86" t="s">
        <v>33</v>
      </c>
      <c r="C202" s="1746" t="s">
        <v>222</v>
      </c>
      <c r="D202" s="1747"/>
      <c r="E202" s="1747"/>
      <c r="F202" s="1747"/>
      <c r="G202" s="1747"/>
      <c r="H202" s="1747"/>
      <c r="I202" s="1747"/>
      <c r="J202" s="1747"/>
      <c r="K202" s="1747"/>
      <c r="L202" s="1747"/>
      <c r="M202" s="1747"/>
      <c r="N202" s="1747"/>
      <c r="O202" s="1747"/>
      <c r="P202" s="1747"/>
      <c r="Q202" s="1747"/>
      <c r="R202" s="1747"/>
      <c r="S202" s="1747"/>
      <c r="T202" s="1747"/>
      <c r="U202" s="1748"/>
    </row>
    <row r="203" spans="1:22" ht="12" customHeight="1" x14ac:dyDescent="0.2">
      <c r="A203" s="1078" t="s">
        <v>5</v>
      </c>
      <c r="B203" s="1080" t="s">
        <v>33</v>
      </c>
      <c r="C203" s="299" t="s">
        <v>5</v>
      </c>
      <c r="D203" s="264" t="s">
        <v>112</v>
      </c>
      <c r="E203" s="442"/>
      <c r="F203" s="931">
        <v>6</v>
      </c>
      <c r="G203" s="68" t="s">
        <v>25</v>
      </c>
      <c r="H203" s="212">
        <f>4289.3+85.8</f>
        <v>4375.1000000000004</v>
      </c>
      <c r="I203" s="212">
        <f>4289.3+85.8</f>
        <v>4375.1000000000004</v>
      </c>
      <c r="J203" s="261"/>
      <c r="K203" s="260">
        <v>3279.6</v>
      </c>
      <c r="L203" s="212">
        <v>3279.6</v>
      </c>
      <c r="M203" s="439"/>
      <c r="N203" s="260">
        <v>3388</v>
      </c>
      <c r="O203" s="212">
        <v>3388</v>
      </c>
      <c r="P203" s="269"/>
      <c r="Q203" s="107"/>
      <c r="R203" s="6"/>
      <c r="S203" s="6"/>
      <c r="T203" s="1127"/>
      <c r="U203" s="2056"/>
    </row>
    <row r="204" spans="1:22" ht="12" customHeight="1" x14ac:dyDescent="0.2">
      <c r="A204" s="1037"/>
      <c r="B204" s="1038"/>
      <c r="C204" s="263"/>
      <c r="D204" s="443"/>
      <c r="E204" s="1086"/>
      <c r="F204" s="1042"/>
      <c r="G204" s="68" t="s">
        <v>77</v>
      </c>
      <c r="H204" s="270">
        <v>300</v>
      </c>
      <c r="I204" s="270">
        <v>300</v>
      </c>
      <c r="J204" s="108"/>
      <c r="K204" s="92"/>
      <c r="L204" s="270"/>
      <c r="M204" s="66"/>
      <c r="N204" s="92"/>
      <c r="O204" s="270"/>
      <c r="P204" s="43"/>
      <c r="Q204" s="763"/>
      <c r="R204" s="270"/>
      <c r="S204" s="270"/>
      <c r="T204" s="108"/>
      <c r="U204" s="2057"/>
    </row>
    <row r="205" spans="1:22" ht="12.75" customHeight="1" x14ac:dyDescent="0.2">
      <c r="A205" s="1037"/>
      <c r="B205" s="1038"/>
      <c r="C205" s="263"/>
      <c r="D205" s="443"/>
      <c r="E205" s="1086"/>
      <c r="F205" s="1042"/>
      <c r="G205" s="68" t="s">
        <v>106</v>
      </c>
      <c r="H205" s="270">
        <f>1271.8+0.2</f>
        <v>1272</v>
      </c>
      <c r="I205" s="270">
        <f>1271.8+0.2</f>
        <v>1272</v>
      </c>
      <c r="J205" s="108"/>
      <c r="K205" s="92">
        <v>1272</v>
      </c>
      <c r="L205" s="270">
        <v>1272</v>
      </c>
      <c r="M205" s="66"/>
      <c r="N205" s="92">
        <v>1272</v>
      </c>
      <c r="O205" s="270">
        <v>1272</v>
      </c>
      <c r="P205" s="43"/>
      <c r="Q205" s="763"/>
      <c r="R205" s="270"/>
      <c r="S205" s="270"/>
      <c r="T205" s="108"/>
      <c r="U205" s="2057"/>
    </row>
    <row r="206" spans="1:22" ht="13.5" customHeight="1" x14ac:dyDescent="0.2">
      <c r="A206" s="1037"/>
      <c r="B206" s="1038"/>
      <c r="C206" s="263"/>
      <c r="D206" s="444"/>
      <c r="E206" s="1086"/>
      <c r="F206" s="1042"/>
      <c r="G206" s="67" t="s">
        <v>62</v>
      </c>
      <c r="H206" s="45">
        <v>84.2</v>
      </c>
      <c r="I206" s="45">
        <v>84.2</v>
      </c>
      <c r="J206" s="1228"/>
      <c r="K206" s="95"/>
      <c r="L206" s="45"/>
      <c r="M206" s="202"/>
      <c r="N206" s="95"/>
      <c r="O206" s="45"/>
      <c r="P206" s="46"/>
      <c r="Q206" s="800"/>
      <c r="R206" s="784"/>
      <c r="S206" s="784"/>
      <c r="T206" s="1128"/>
      <c r="U206" s="2062"/>
    </row>
    <row r="207" spans="1:22" ht="15.75" customHeight="1" x14ac:dyDescent="0.2">
      <c r="A207" s="1037"/>
      <c r="B207" s="1038"/>
      <c r="C207" s="103"/>
      <c r="D207" s="1044" t="s">
        <v>109</v>
      </c>
      <c r="E207" s="1086"/>
      <c r="F207" s="1084"/>
      <c r="G207" s="68"/>
      <c r="H207" s="92"/>
      <c r="I207" s="831"/>
      <c r="J207" s="1227"/>
      <c r="K207" s="92"/>
      <c r="L207" s="270"/>
      <c r="M207" s="66"/>
      <c r="N207" s="92"/>
      <c r="O207" s="270"/>
      <c r="P207" s="43"/>
      <c r="Q207" s="763" t="s">
        <v>68</v>
      </c>
      <c r="R207" s="1584">
        <v>11</v>
      </c>
      <c r="S207" s="270"/>
      <c r="T207" s="108"/>
      <c r="U207" s="43"/>
    </row>
    <row r="208" spans="1:22" ht="26.25" customHeight="1" x14ac:dyDescent="0.2">
      <c r="A208" s="1037"/>
      <c r="B208" s="1038"/>
      <c r="C208" s="1749" t="s">
        <v>242</v>
      </c>
      <c r="D208" s="558" t="s">
        <v>243</v>
      </c>
      <c r="E208" s="1086"/>
      <c r="F208" s="1042"/>
      <c r="G208" s="68"/>
      <c r="H208" s="92"/>
      <c r="I208" s="270"/>
      <c r="J208" s="108"/>
      <c r="K208" s="92"/>
      <c r="L208" s="270"/>
      <c r="M208" s="66"/>
      <c r="N208" s="92"/>
      <c r="O208" s="270"/>
      <c r="P208" s="43"/>
      <c r="Q208" s="763"/>
      <c r="R208" s="270"/>
      <c r="S208" s="270"/>
      <c r="T208" s="108"/>
      <c r="U208" s="43"/>
    </row>
    <row r="209" spans="1:21" ht="27.75" customHeight="1" x14ac:dyDescent="0.2">
      <c r="A209" s="1037"/>
      <c r="B209" s="1038"/>
      <c r="C209" s="1749"/>
      <c r="D209" s="277" t="s">
        <v>344</v>
      </c>
      <c r="E209" s="1086"/>
      <c r="F209" s="1042"/>
      <c r="G209" s="68"/>
      <c r="H209" s="92"/>
      <c r="I209" s="270"/>
      <c r="J209" s="108"/>
      <c r="K209" s="92"/>
      <c r="L209" s="270"/>
      <c r="M209" s="66"/>
      <c r="N209" s="92"/>
      <c r="O209" s="270"/>
      <c r="P209" s="43"/>
      <c r="Q209" s="763"/>
      <c r="R209" s="270"/>
      <c r="S209" s="270"/>
      <c r="T209" s="108"/>
      <c r="U209" s="43"/>
    </row>
    <row r="210" spans="1:21" ht="24.75" customHeight="1" x14ac:dyDescent="0.2">
      <c r="A210" s="1037"/>
      <c r="B210" s="1038"/>
      <c r="C210" s="1749"/>
      <c r="D210" s="277" t="s">
        <v>345</v>
      </c>
      <c r="E210" s="1086"/>
      <c r="F210" s="1042"/>
      <c r="G210" s="68"/>
      <c r="H210" s="92"/>
      <c r="I210" s="270"/>
      <c r="J210" s="108"/>
      <c r="K210" s="92"/>
      <c r="L210" s="270"/>
      <c r="M210" s="66"/>
      <c r="N210" s="92"/>
      <c r="O210" s="270"/>
      <c r="P210" s="43"/>
      <c r="Q210" s="763"/>
      <c r="R210" s="270"/>
      <c r="S210" s="270"/>
      <c r="T210" s="108"/>
      <c r="U210" s="43"/>
    </row>
    <row r="211" spans="1:21" ht="12.75" customHeight="1" x14ac:dyDescent="0.2">
      <c r="A211" s="1037"/>
      <c r="B211" s="1038"/>
      <c r="C211" s="1749"/>
      <c r="D211" s="277" t="s">
        <v>247</v>
      </c>
      <c r="E211" s="1086"/>
      <c r="F211" s="1042"/>
      <c r="G211" s="68"/>
      <c r="H211" s="92"/>
      <c r="I211" s="270"/>
      <c r="J211" s="108"/>
      <c r="K211" s="92"/>
      <c r="L211" s="270"/>
      <c r="M211" s="66"/>
      <c r="N211" s="92"/>
      <c r="O211" s="270"/>
      <c r="P211" s="43"/>
      <c r="Q211" s="763"/>
      <c r="R211" s="270"/>
      <c r="S211" s="270"/>
      <c r="T211" s="108"/>
      <c r="U211" s="43"/>
    </row>
    <row r="212" spans="1:21" ht="13.5" customHeight="1" x14ac:dyDescent="0.2">
      <c r="A212" s="1037"/>
      <c r="B212" s="1038"/>
      <c r="C212" s="1749"/>
      <c r="D212" s="277" t="s">
        <v>346</v>
      </c>
      <c r="E212" s="1086"/>
      <c r="F212" s="1042"/>
      <c r="G212" s="68"/>
      <c r="H212" s="92"/>
      <c r="I212" s="270"/>
      <c r="J212" s="108"/>
      <c r="K212" s="92"/>
      <c r="L212" s="270"/>
      <c r="M212" s="66"/>
      <c r="N212" s="92"/>
      <c r="O212" s="270"/>
      <c r="P212" s="43"/>
      <c r="Q212" s="763"/>
      <c r="R212" s="270"/>
      <c r="S212" s="270"/>
      <c r="T212" s="108"/>
      <c r="U212" s="43"/>
    </row>
    <row r="213" spans="1:21" ht="13.5" customHeight="1" x14ac:dyDescent="0.2">
      <c r="A213" s="1037"/>
      <c r="B213" s="1038"/>
      <c r="C213" s="1749"/>
      <c r="D213" s="277" t="s">
        <v>251</v>
      </c>
      <c r="E213" s="1086"/>
      <c r="F213" s="1042"/>
      <c r="G213" s="68"/>
      <c r="H213" s="92"/>
      <c r="I213" s="270"/>
      <c r="J213" s="108"/>
      <c r="K213" s="92"/>
      <c r="L213" s="270"/>
      <c r="M213" s="66"/>
      <c r="N213" s="92"/>
      <c r="O213" s="270"/>
      <c r="P213" s="43"/>
      <c r="Q213" s="763"/>
      <c r="R213" s="270"/>
      <c r="S213" s="270"/>
      <c r="T213" s="108"/>
      <c r="U213" s="43"/>
    </row>
    <row r="214" spans="1:21" ht="25.5" customHeight="1" x14ac:dyDescent="0.2">
      <c r="A214" s="1037"/>
      <c r="B214" s="1038"/>
      <c r="C214" s="1749"/>
      <c r="D214" s="557" t="s">
        <v>252</v>
      </c>
      <c r="E214" s="1086"/>
      <c r="F214" s="1042"/>
      <c r="G214" s="68"/>
      <c r="H214" s="92"/>
      <c r="I214" s="270"/>
      <c r="J214" s="108"/>
      <c r="K214" s="92"/>
      <c r="L214" s="270"/>
      <c r="M214" s="66"/>
      <c r="N214" s="92"/>
      <c r="O214" s="270"/>
      <c r="P214" s="43"/>
      <c r="Q214" s="763"/>
      <c r="R214" s="270"/>
      <c r="S214" s="270"/>
      <c r="T214" s="108"/>
      <c r="U214" s="43"/>
    </row>
    <row r="215" spans="1:21" ht="25.5" customHeight="1" x14ac:dyDescent="0.2">
      <c r="A215" s="1037"/>
      <c r="B215" s="1038"/>
      <c r="C215" s="1750"/>
      <c r="D215" s="555" t="s">
        <v>347</v>
      </c>
      <c r="E215" s="1086"/>
      <c r="F215" s="1040"/>
      <c r="G215" s="68"/>
      <c r="H215" s="92"/>
      <c r="I215" s="270"/>
      <c r="J215" s="108"/>
      <c r="K215" s="92"/>
      <c r="L215" s="270"/>
      <c r="M215" s="66"/>
      <c r="N215" s="92"/>
      <c r="O215" s="270"/>
      <c r="P215" s="43"/>
      <c r="Q215" s="1165"/>
      <c r="R215" s="45"/>
      <c r="S215" s="45"/>
      <c r="T215" s="170"/>
      <c r="U215" s="43"/>
    </row>
    <row r="216" spans="1:21" ht="27.75" customHeight="1" x14ac:dyDescent="0.2">
      <c r="A216" s="1037"/>
      <c r="B216" s="1038"/>
      <c r="C216" s="1751" t="s">
        <v>248</v>
      </c>
      <c r="D216" s="1058" t="s">
        <v>348</v>
      </c>
      <c r="E216" s="1086"/>
      <c r="F216" s="1042"/>
      <c r="G216" s="68"/>
      <c r="H216" s="92"/>
      <c r="I216" s="270"/>
      <c r="J216" s="108"/>
      <c r="K216" s="92"/>
      <c r="L216" s="270"/>
      <c r="M216" s="66"/>
      <c r="N216" s="92"/>
      <c r="O216" s="270"/>
      <c r="P216" s="43"/>
      <c r="Q216" s="1173" t="s">
        <v>68</v>
      </c>
      <c r="R216" s="270"/>
      <c r="S216" s="270">
        <v>5.7</v>
      </c>
      <c r="T216" s="108"/>
      <c r="U216" s="43"/>
    </row>
    <row r="217" spans="1:21" ht="13.5" customHeight="1" x14ac:dyDescent="0.2">
      <c r="A217" s="1037"/>
      <c r="B217" s="1038"/>
      <c r="C217" s="1749"/>
      <c r="D217" s="277" t="s">
        <v>255</v>
      </c>
      <c r="E217" s="1086"/>
      <c r="F217" s="1042"/>
      <c r="G217" s="68"/>
      <c r="H217" s="92"/>
      <c r="I217" s="270"/>
      <c r="J217" s="108"/>
      <c r="K217" s="92"/>
      <c r="L217" s="270"/>
      <c r="M217" s="66"/>
      <c r="N217" s="92"/>
      <c r="O217" s="270"/>
      <c r="P217" s="43"/>
      <c r="Q217" s="763"/>
      <c r="R217" s="270"/>
      <c r="S217" s="270"/>
      <c r="T217" s="108"/>
      <c r="U217" s="43"/>
    </row>
    <row r="218" spans="1:21" ht="27.75" customHeight="1" x14ac:dyDescent="0.2">
      <c r="A218" s="1037"/>
      <c r="B218" s="1038"/>
      <c r="C218" s="1749"/>
      <c r="D218" s="277" t="s">
        <v>349</v>
      </c>
      <c r="E218" s="1086"/>
      <c r="F218" s="1042"/>
      <c r="G218" s="68"/>
      <c r="H218" s="92"/>
      <c r="I218" s="270"/>
      <c r="J218" s="108"/>
      <c r="K218" s="92"/>
      <c r="L218" s="270"/>
      <c r="M218" s="66"/>
      <c r="N218" s="92"/>
      <c r="O218" s="270"/>
      <c r="P218" s="43"/>
      <c r="Q218" s="763"/>
      <c r="R218" s="270"/>
      <c r="S218" s="270"/>
      <c r="T218" s="108"/>
      <c r="U218" s="43"/>
    </row>
    <row r="219" spans="1:21" ht="15.75" customHeight="1" x14ac:dyDescent="0.2">
      <c r="A219" s="1037"/>
      <c r="B219" s="1038"/>
      <c r="C219" s="1749"/>
      <c r="D219" s="559" t="s">
        <v>257</v>
      </c>
      <c r="E219" s="1086"/>
      <c r="F219" s="1042"/>
      <c r="G219" s="68"/>
      <c r="H219" s="92"/>
      <c r="I219" s="270"/>
      <c r="J219" s="108"/>
      <c r="K219" s="92"/>
      <c r="L219" s="270"/>
      <c r="M219" s="66"/>
      <c r="N219" s="92"/>
      <c r="O219" s="270"/>
      <c r="P219" s="43"/>
      <c r="Q219" s="763"/>
      <c r="R219" s="270"/>
      <c r="S219" s="270"/>
      <c r="T219" s="108"/>
      <c r="U219" s="43"/>
    </row>
    <row r="220" spans="1:21" ht="15" customHeight="1" x14ac:dyDescent="0.2">
      <c r="A220" s="1037"/>
      <c r="B220" s="1038"/>
      <c r="C220" s="1749"/>
      <c r="D220" s="559" t="s">
        <v>258</v>
      </c>
      <c r="E220" s="1086"/>
      <c r="F220" s="1042"/>
      <c r="G220" s="68"/>
      <c r="H220" s="92"/>
      <c r="I220" s="270"/>
      <c r="J220" s="108"/>
      <c r="K220" s="92"/>
      <c r="L220" s="270"/>
      <c r="M220" s="66"/>
      <c r="N220" s="92"/>
      <c r="O220" s="270"/>
      <c r="P220" s="43"/>
      <c r="Q220" s="763"/>
      <c r="R220" s="270"/>
      <c r="S220" s="270"/>
      <c r="T220" s="108"/>
      <c r="U220" s="43"/>
    </row>
    <row r="221" spans="1:21" ht="14.25" customHeight="1" x14ac:dyDescent="0.2">
      <c r="A221" s="1037"/>
      <c r="B221" s="1038"/>
      <c r="C221" s="1749"/>
      <c r="D221" s="559" t="s">
        <v>259</v>
      </c>
      <c r="E221" s="1086"/>
      <c r="F221" s="1042"/>
      <c r="G221" s="68"/>
      <c r="H221" s="92"/>
      <c r="I221" s="270"/>
      <c r="J221" s="108"/>
      <c r="K221" s="92"/>
      <c r="L221" s="270"/>
      <c r="M221" s="66"/>
      <c r="N221" s="92"/>
      <c r="O221" s="270"/>
      <c r="P221" s="43"/>
      <c r="Q221" s="763"/>
      <c r="R221" s="270"/>
      <c r="S221" s="270"/>
      <c r="T221" s="108"/>
      <c r="U221" s="43"/>
    </row>
    <row r="222" spans="1:21" ht="12.75" customHeight="1" x14ac:dyDescent="0.2">
      <c r="A222" s="1037"/>
      <c r="B222" s="1038"/>
      <c r="C222" s="1749"/>
      <c r="D222" s="1058" t="s">
        <v>244</v>
      </c>
      <c r="E222" s="1086"/>
      <c r="F222" s="1042"/>
      <c r="G222" s="68"/>
      <c r="H222" s="92"/>
      <c r="I222" s="270"/>
      <c r="J222" s="108"/>
      <c r="K222" s="92"/>
      <c r="L222" s="270"/>
      <c r="M222" s="66"/>
      <c r="N222" s="92"/>
      <c r="O222" s="270"/>
      <c r="P222" s="43"/>
      <c r="Q222" s="763"/>
      <c r="R222" s="270"/>
      <c r="S222" s="270"/>
      <c r="T222" s="108"/>
      <c r="U222" s="43"/>
    </row>
    <row r="223" spans="1:21" ht="15.75" customHeight="1" x14ac:dyDescent="0.2">
      <c r="A223" s="1037"/>
      <c r="B223" s="1038"/>
      <c r="C223" s="1750"/>
      <c r="D223" s="1044" t="s">
        <v>260</v>
      </c>
      <c r="E223" s="1086"/>
      <c r="F223" s="1042"/>
      <c r="G223" s="68"/>
      <c r="H223" s="92"/>
      <c r="I223" s="270"/>
      <c r="J223" s="108"/>
      <c r="K223" s="92"/>
      <c r="L223" s="270"/>
      <c r="M223" s="66"/>
      <c r="N223" s="92"/>
      <c r="O223" s="270"/>
      <c r="P223" s="43"/>
      <c r="Q223" s="1165"/>
      <c r="R223" s="45"/>
      <c r="S223" s="45"/>
      <c r="T223" s="170"/>
      <c r="U223" s="43"/>
    </row>
    <row r="224" spans="1:21" ht="20.25" customHeight="1" x14ac:dyDescent="0.2">
      <c r="A224" s="1037"/>
      <c r="B224" s="1038"/>
      <c r="C224" s="1751" t="s">
        <v>249</v>
      </c>
      <c r="D224" s="1043" t="s">
        <v>350</v>
      </c>
      <c r="E224" s="1086"/>
      <c r="F224" s="1042"/>
      <c r="G224" s="68"/>
      <c r="H224" s="92"/>
      <c r="I224" s="270"/>
      <c r="J224" s="108"/>
      <c r="K224" s="92"/>
      <c r="L224" s="270"/>
      <c r="M224" s="66"/>
      <c r="N224" s="92"/>
      <c r="O224" s="270"/>
      <c r="P224" s="43"/>
      <c r="Q224" s="1173" t="s">
        <v>68</v>
      </c>
      <c r="R224" s="53"/>
      <c r="S224" s="53"/>
      <c r="T224" s="141">
        <v>6.5</v>
      </c>
      <c r="U224" s="43"/>
    </row>
    <row r="225" spans="1:26" ht="29.25" customHeight="1" x14ac:dyDescent="0.2">
      <c r="A225" s="1037"/>
      <c r="B225" s="1038"/>
      <c r="C225" s="1749"/>
      <c r="D225" s="277" t="s">
        <v>351</v>
      </c>
      <c r="E225" s="1086"/>
      <c r="F225" s="1042"/>
      <c r="G225" s="68"/>
      <c r="H225" s="92"/>
      <c r="I225" s="270"/>
      <c r="J225" s="108"/>
      <c r="K225" s="92"/>
      <c r="L225" s="270"/>
      <c r="M225" s="66"/>
      <c r="N225" s="92"/>
      <c r="O225" s="270"/>
      <c r="P225" s="43"/>
      <c r="Q225" s="763"/>
      <c r="R225" s="270"/>
      <c r="S225" s="270"/>
      <c r="T225" s="108"/>
      <c r="U225" s="43"/>
    </row>
    <row r="226" spans="1:26" ht="15.75" customHeight="1" x14ac:dyDescent="0.2">
      <c r="A226" s="1037"/>
      <c r="B226" s="1038"/>
      <c r="C226" s="1749"/>
      <c r="D226" s="277" t="s">
        <v>263</v>
      </c>
      <c r="E226" s="1086"/>
      <c r="F226" s="1042"/>
      <c r="G226" s="68"/>
      <c r="H226" s="92"/>
      <c r="I226" s="270"/>
      <c r="J226" s="108"/>
      <c r="K226" s="92"/>
      <c r="L226" s="270"/>
      <c r="M226" s="66"/>
      <c r="N226" s="92"/>
      <c r="O226" s="270"/>
      <c r="P226" s="43"/>
      <c r="Q226" s="763"/>
      <c r="R226" s="270"/>
      <c r="S226" s="270"/>
      <c r="T226" s="108"/>
      <c r="U226" s="43"/>
    </row>
    <row r="227" spans="1:26" ht="16.5" customHeight="1" x14ac:dyDescent="0.2">
      <c r="A227" s="1037"/>
      <c r="B227" s="1038"/>
      <c r="C227" s="1750"/>
      <c r="D227" s="1044" t="s">
        <v>352</v>
      </c>
      <c r="E227" s="1086"/>
      <c r="F227" s="1042"/>
      <c r="G227" s="68"/>
      <c r="H227" s="92"/>
      <c r="I227" s="270"/>
      <c r="J227" s="108"/>
      <c r="K227" s="92"/>
      <c r="L227" s="270"/>
      <c r="M227" s="66"/>
      <c r="N227" s="92"/>
      <c r="O227" s="270"/>
      <c r="P227" s="43"/>
      <c r="Q227" s="1165"/>
      <c r="R227" s="45"/>
      <c r="S227" s="45"/>
      <c r="T227" s="170"/>
      <c r="U227" s="43"/>
    </row>
    <row r="228" spans="1:26" ht="29.25" customHeight="1" x14ac:dyDescent="0.2">
      <c r="A228" s="1037"/>
      <c r="B228" s="1038"/>
      <c r="C228" s="263"/>
      <c r="D228" s="1826" t="s">
        <v>111</v>
      </c>
      <c r="E228" s="1086"/>
      <c r="F228" s="1042"/>
      <c r="G228" s="68"/>
      <c r="H228" s="92"/>
      <c r="I228" s="270"/>
      <c r="J228" s="108"/>
      <c r="K228" s="92"/>
      <c r="L228" s="270"/>
      <c r="M228" s="66"/>
      <c r="N228" s="92"/>
      <c r="O228" s="270"/>
      <c r="P228" s="43"/>
      <c r="Q228" s="1204" t="s">
        <v>213</v>
      </c>
      <c r="R228" s="402">
        <v>0.2</v>
      </c>
      <c r="S228" s="402">
        <v>0.2</v>
      </c>
      <c r="T228" s="1129">
        <v>0.2</v>
      </c>
      <c r="U228" s="43"/>
    </row>
    <row r="229" spans="1:26" ht="26.25" customHeight="1" x14ac:dyDescent="0.2">
      <c r="A229" s="1037"/>
      <c r="B229" s="1038"/>
      <c r="C229" s="263"/>
      <c r="D229" s="1827"/>
      <c r="E229" s="1086"/>
      <c r="F229" s="1042"/>
      <c r="G229" s="68"/>
      <c r="H229" s="92"/>
      <c r="I229" s="270"/>
      <c r="J229" s="108"/>
      <c r="K229" s="92"/>
      <c r="L229" s="270"/>
      <c r="M229" s="66"/>
      <c r="N229" s="92"/>
      <c r="O229" s="270"/>
      <c r="P229" s="43"/>
      <c r="Q229" s="1205" t="s">
        <v>40</v>
      </c>
      <c r="R229" s="341">
        <v>4</v>
      </c>
      <c r="S229" s="341">
        <v>4</v>
      </c>
      <c r="T229" s="1130">
        <v>4</v>
      </c>
      <c r="U229" s="434"/>
    </row>
    <row r="230" spans="1:26" ht="17.25" customHeight="1" x14ac:dyDescent="0.2">
      <c r="A230" s="1037"/>
      <c r="B230" s="1038"/>
      <c r="C230" s="263"/>
      <c r="D230" s="1828"/>
      <c r="E230" s="1086"/>
      <c r="F230" s="1042"/>
      <c r="G230" s="280"/>
      <c r="H230" s="962"/>
      <c r="I230" s="700"/>
      <c r="J230" s="283"/>
      <c r="K230" s="962"/>
      <c r="L230" s="700"/>
      <c r="M230" s="339"/>
      <c r="N230" s="962"/>
      <c r="O230" s="700"/>
      <c r="P230" s="1189"/>
      <c r="Q230" s="800" t="s">
        <v>67</v>
      </c>
      <c r="R230" s="300">
        <v>54.6</v>
      </c>
      <c r="S230" s="300">
        <v>54.6</v>
      </c>
      <c r="T230" s="1131">
        <v>54.6</v>
      </c>
      <c r="U230" s="43"/>
    </row>
    <row r="231" spans="1:26" ht="15.75" customHeight="1" x14ac:dyDescent="0.2">
      <c r="A231" s="1837"/>
      <c r="B231" s="1832"/>
      <c r="C231" s="1833"/>
      <c r="D231" s="1883" t="s">
        <v>53</v>
      </c>
      <c r="E231" s="1086"/>
      <c r="F231" s="1042"/>
      <c r="G231" s="68"/>
      <c r="H231" s="92"/>
      <c r="I231" s="270"/>
      <c r="J231" s="108"/>
      <c r="K231" s="92"/>
      <c r="L231" s="270"/>
      <c r="M231" s="66"/>
      <c r="N231" s="92"/>
      <c r="O231" s="270"/>
      <c r="P231" s="43"/>
      <c r="Q231" s="2065" t="s">
        <v>396</v>
      </c>
      <c r="R231" s="40" t="s">
        <v>168</v>
      </c>
      <c r="S231" s="40" t="s">
        <v>168</v>
      </c>
      <c r="T231" s="698" t="s">
        <v>169</v>
      </c>
      <c r="U231" s="434"/>
    </row>
    <row r="232" spans="1:26" ht="11.25" customHeight="1" x14ac:dyDescent="0.2">
      <c r="A232" s="1837"/>
      <c r="B232" s="1832"/>
      <c r="C232" s="1833"/>
      <c r="D232" s="1838"/>
      <c r="E232" s="1086"/>
      <c r="F232" s="1042"/>
      <c r="G232" s="68"/>
      <c r="H232" s="92"/>
      <c r="I232" s="270"/>
      <c r="J232" s="108"/>
      <c r="K232" s="92"/>
      <c r="L232" s="270"/>
      <c r="M232" s="66"/>
      <c r="N232" s="92"/>
      <c r="O232" s="270"/>
      <c r="P232" s="43"/>
      <c r="Q232" s="2066"/>
      <c r="R232" s="45"/>
      <c r="S232" s="45"/>
      <c r="T232" s="170"/>
      <c r="U232" s="43"/>
    </row>
    <row r="233" spans="1:26" ht="14.25" customHeight="1" x14ac:dyDescent="0.2">
      <c r="A233" s="1837"/>
      <c r="B233" s="1832"/>
      <c r="C233" s="1833"/>
      <c r="D233" s="1839" t="s">
        <v>265</v>
      </c>
      <c r="E233" s="1834"/>
      <c r="F233" s="1833"/>
      <c r="G233" s="68"/>
      <c r="H233" s="92"/>
      <c r="I233" s="609"/>
      <c r="J233" s="610"/>
      <c r="K233" s="92"/>
      <c r="L233" s="270"/>
      <c r="M233" s="66"/>
      <c r="N233" s="92"/>
      <c r="O233" s="270"/>
      <c r="P233" s="43"/>
      <c r="Q233" s="2067" t="s">
        <v>372</v>
      </c>
      <c r="R233" s="53">
        <v>44.6</v>
      </c>
      <c r="S233" s="53">
        <v>44.6</v>
      </c>
      <c r="T233" s="477">
        <v>44.6</v>
      </c>
      <c r="U233" s="43"/>
      <c r="V233" s="1266"/>
      <c r="W233" s="1266"/>
      <c r="X233" s="1266"/>
      <c r="Y233" s="1266"/>
      <c r="Z233" s="1266"/>
    </row>
    <row r="234" spans="1:26" ht="15" customHeight="1" x14ac:dyDescent="0.2">
      <c r="A234" s="1837"/>
      <c r="B234" s="1832"/>
      <c r="C234" s="1833"/>
      <c r="D234" s="1785"/>
      <c r="E234" s="1834"/>
      <c r="F234" s="1833"/>
      <c r="G234" s="68"/>
      <c r="H234" s="92"/>
      <c r="I234" s="609"/>
      <c r="J234" s="610"/>
      <c r="K234" s="92"/>
      <c r="L234" s="270"/>
      <c r="M234" s="66"/>
      <c r="N234" s="92"/>
      <c r="O234" s="270"/>
      <c r="P234" s="43"/>
      <c r="Q234" s="2068"/>
      <c r="R234" s="180"/>
      <c r="S234" s="180"/>
      <c r="T234" s="180"/>
      <c r="U234" s="43"/>
      <c r="V234" s="1266"/>
      <c r="W234" s="1266"/>
      <c r="X234" s="1266"/>
      <c r="Y234" s="1266"/>
      <c r="Z234" s="1266"/>
    </row>
    <row r="235" spans="1:26" ht="21.75" customHeight="1" x14ac:dyDescent="0.2">
      <c r="A235" s="1837"/>
      <c r="B235" s="1832"/>
      <c r="C235" s="1833"/>
      <c r="D235" s="524"/>
      <c r="E235" s="1834"/>
      <c r="F235" s="1833"/>
      <c r="G235" s="68"/>
      <c r="H235" s="92"/>
      <c r="I235" s="609"/>
      <c r="J235" s="610"/>
      <c r="K235" s="92"/>
      <c r="L235" s="270"/>
      <c r="M235" s="66"/>
      <c r="N235" s="92"/>
      <c r="O235" s="270"/>
      <c r="P235" s="43"/>
      <c r="Q235" s="2063" t="s">
        <v>208</v>
      </c>
      <c r="R235" s="1777">
        <v>100</v>
      </c>
      <c r="S235" s="1781"/>
      <c r="T235" s="2087"/>
      <c r="U235" s="1856"/>
      <c r="V235" s="1266"/>
      <c r="W235" s="1266"/>
      <c r="X235" s="1266"/>
      <c r="Y235" s="1266"/>
      <c r="Z235" s="1266"/>
    </row>
    <row r="236" spans="1:26" ht="19.5" customHeight="1" x14ac:dyDescent="0.2">
      <c r="A236" s="1837"/>
      <c r="B236" s="1832"/>
      <c r="C236" s="1833"/>
      <c r="D236" s="448"/>
      <c r="E236" s="1834"/>
      <c r="F236" s="1833"/>
      <c r="G236" s="68"/>
      <c r="H236" s="92"/>
      <c r="I236" s="609"/>
      <c r="J236" s="610"/>
      <c r="K236" s="92"/>
      <c r="L236" s="270"/>
      <c r="M236" s="66"/>
      <c r="N236" s="92"/>
      <c r="O236" s="270"/>
      <c r="P236" s="43"/>
      <c r="Q236" s="2064"/>
      <c r="R236" s="1778"/>
      <c r="S236" s="1778"/>
      <c r="T236" s="2088"/>
      <c r="U236" s="2069"/>
      <c r="V236" s="1266"/>
      <c r="W236" s="1266"/>
      <c r="X236" s="1266"/>
      <c r="Y236" s="1266"/>
      <c r="Z236" s="1266"/>
    </row>
    <row r="237" spans="1:26" ht="27" customHeight="1" x14ac:dyDescent="0.2">
      <c r="A237" s="1037"/>
      <c r="B237" s="1038"/>
      <c r="C237" s="1040"/>
      <c r="D237" s="1858" t="s">
        <v>110</v>
      </c>
      <c r="E237" s="1086"/>
      <c r="F237" s="1042"/>
      <c r="G237" s="68"/>
      <c r="H237" s="92"/>
      <c r="I237" s="831"/>
      <c r="J237" s="1227"/>
      <c r="K237" s="92"/>
      <c r="L237" s="270"/>
      <c r="M237" s="66"/>
      <c r="N237" s="92"/>
      <c r="O237" s="270"/>
      <c r="P237" s="43"/>
      <c r="Q237" s="2070" t="s">
        <v>199</v>
      </c>
      <c r="R237" s="403">
        <v>20</v>
      </c>
      <c r="S237" s="327">
        <v>15</v>
      </c>
      <c r="T237" s="381">
        <v>15</v>
      </c>
      <c r="U237" s="2021"/>
      <c r="V237" s="1718"/>
      <c r="W237" s="1266"/>
      <c r="X237" s="1266"/>
      <c r="Y237" s="1266"/>
      <c r="Z237" s="1266"/>
    </row>
    <row r="238" spans="1:26" ht="40.5" customHeight="1" x14ac:dyDescent="0.2">
      <c r="A238" s="1037"/>
      <c r="B238" s="1038"/>
      <c r="C238" s="1040"/>
      <c r="D238" s="1859"/>
      <c r="E238" s="1086"/>
      <c r="F238" s="1042"/>
      <c r="G238" s="68"/>
      <c r="H238" s="92"/>
      <c r="I238" s="270"/>
      <c r="J238" s="108"/>
      <c r="K238" s="92"/>
      <c r="L238" s="270"/>
      <c r="M238" s="66"/>
      <c r="N238" s="92"/>
      <c r="O238" s="270"/>
      <c r="P238" s="43"/>
      <c r="Q238" s="2071"/>
      <c r="R238" s="22"/>
      <c r="S238" s="22"/>
      <c r="T238" s="383"/>
      <c r="U238" s="2073"/>
      <c r="V238" s="1718"/>
      <c r="W238" s="1266"/>
      <c r="X238" s="1266"/>
      <c r="Y238" s="1266"/>
      <c r="Z238" s="1266"/>
    </row>
    <row r="239" spans="1:26" ht="22.5" customHeight="1" x14ac:dyDescent="0.2">
      <c r="A239" s="1046"/>
      <c r="B239" s="1038"/>
      <c r="C239" s="1042"/>
      <c r="D239" s="1041" t="s">
        <v>39</v>
      </c>
      <c r="E239" s="1086"/>
      <c r="F239" s="1042"/>
      <c r="G239" s="62"/>
      <c r="H239" s="95"/>
      <c r="I239" s="45"/>
      <c r="J239" s="170"/>
      <c r="K239" s="95"/>
      <c r="L239" s="45"/>
      <c r="M239" s="202"/>
      <c r="N239" s="95"/>
      <c r="O239" s="45"/>
      <c r="P239" s="46"/>
      <c r="Q239" s="1173" t="s">
        <v>55</v>
      </c>
      <c r="R239" s="446" t="s">
        <v>394</v>
      </c>
      <c r="S239" s="1072">
        <v>15</v>
      </c>
      <c r="T239" s="1114">
        <v>15</v>
      </c>
      <c r="U239" s="1289"/>
      <c r="V239" s="1266"/>
      <c r="W239" s="1266"/>
      <c r="X239" s="1266"/>
      <c r="Y239" s="1266"/>
      <c r="Z239" s="1266"/>
    </row>
    <row r="240" spans="1:26" ht="14.25" customHeight="1" thickBot="1" x14ac:dyDescent="0.25">
      <c r="A240" s="75"/>
      <c r="B240" s="1081"/>
      <c r="C240" s="104"/>
      <c r="D240" s="764"/>
      <c r="E240" s="798"/>
      <c r="F240" s="56"/>
      <c r="G240" s="156" t="s">
        <v>6</v>
      </c>
      <c r="H240" s="244">
        <f>SUM(H203:H239)</f>
        <v>6031.3</v>
      </c>
      <c r="I240" s="1150">
        <f t="shared" ref="I240:P240" si="22">SUM(I203:I239)</f>
        <v>6031.3</v>
      </c>
      <c r="J240" s="1150">
        <f t="shared" si="22"/>
        <v>0</v>
      </c>
      <c r="K240" s="244">
        <f t="shared" si="22"/>
        <v>4551.6000000000004</v>
      </c>
      <c r="L240" s="1150">
        <f t="shared" si="22"/>
        <v>4551.6000000000004</v>
      </c>
      <c r="M240" s="1150">
        <f t="shared" si="22"/>
        <v>0</v>
      </c>
      <c r="N240" s="244">
        <f t="shared" si="22"/>
        <v>4660</v>
      </c>
      <c r="O240" s="1150">
        <f t="shared" si="22"/>
        <v>4660</v>
      </c>
      <c r="P240" s="834">
        <f t="shared" si="22"/>
        <v>0</v>
      </c>
      <c r="Q240" s="1206"/>
      <c r="R240" s="219"/>
      <c r="S240" s="219"/>
      <c r="T240" s="216"/>
      <c r="U240" s="799"/>
      <c r="V240" s="1266"/>
      <c r="W240" s="1266"/>
      <c r="X240" s="1266"/>
      <c r="Y240" s="1266"/>
      <c r="Z240" s="1266"/>
    </row>
    <row r="241" spans="1:26" ht="28.5" customHeight="1" x14ac:dyDescent="0.2">
      <c r="A241" s="1046" t="s">
        <v>5</v>
      </c>
      <c r="B241" s="1038" t="s">
        <v>33</v>
      </c>
      <c r="C241" s="263" t="s">
        <v>7</v>
      </c>
      <c r="D241" s="1769" t="s">
        <v>181</v>
      </c>
      <c r="E241" s="1772" t="s">
        <v>47</v>
      </c>
      <c r="F241" s="1755" t="s">
        <v>43</v>
      </c>
      <c r="G241" s="68" t="s">
        <v>25</v>
      </c>
      <c r="H241" s="270">
        <f>100-30-34-10.2</f>
        <v>25.8</v>
      </c>
      <c r="I241" s="270">
        <f>100-30-34-10.2</f>
        <v>25.8</v>
      </c>
      <c r="J241" s="108"/>
      <c r="K241" s="438">
        <f>194.1+10.2</f>
        <v>204.3</v>
      </c>
      <c r="L241" s="212">
        <f>194.1+10.2</f>
        <v>204.3</v>
      </c>
      <c r="M241" s="1278"/>
      <c r="N241" s="92"/>
      <c r="O241" s="270"/>
      <c r="P241" s="42"/>
      <c r="Q241" s="690" t="s">
        <v>191</v>
      </c>
      <c r="R241" s="1679"/>
      <c r="S241" s="236">
        <v>1</v>
      </c>
      <c r="T241" s="630"/>
      <c r="U241" s="2074"/>
      <c r="V241" s="1266"/>
      <c r="W241" s="1266"/>
      <c r="X241" s="1266"/>
      <c r="Y241" s="1266"/>
      <c r="Z241" s="1266"/>
    </row>
    <row r="242" spans="1:26" ht="43.5" customHeight="1" x14ac:dyDescent="0.2">
      <c r="A242" s="1046"/>
      <c r="B242" s="1038"/>
      <c r="C242" s="263"/>
      <c r="D242" s="1770"/>
      <c r="E242" s="1772"/>
      <c r="F242" s="1755"/>
      <c r="G242" s="68" t="s">
        <v>62</v>
      </c>
      <c r="H242" s="92">
        <v>64</v>
      </c>
      <c r="I242" s="270">
        <v>64</v>
      </c>
      <c r="J242" s="108"/>
      <c r="K242" s="92"/>
      <c r="L242" s="270"/>
      <c r="M242" s="66"/>
      <c r="N242" s="92"/>
      <c r="O242" s="270"/>
      <c r="P242" s="42"/>
      <c r="Q242" s="94" t="s">
        <v>324</v>
      </c>
      <c r="R242" s="27">
        <v>100</v>
      </c>
      <c r="S242" s="27"/>
      <c r="T242" s="392"/>
      <c r="U242" s="2075"/>
    </row>
    <row r="243" spans="1:26" ht="29.25" customHeight="1" x14ac:dyDescent="0.2">
      <c r="A243" s="1046"/>
      <c r="B243" s="1038"/>
      <c r="C243" s="263"/>
      <c r="D243" s="1770"/>
      <c r="E243" s="1772"/>
      <c r="F243" s="1756"/>
      <c r="G243" s="67"/>
      <c r="H243" s="95"/>
      <c r="I243" s="45"/>
      <c r="J243" s="170"/>
      <c r="K243" s="95"/>
      <c r="L243" s="45"/>
      <c r="M243" s="202"/>
      <c r="N243" s="95"/>
      <c r="O243" s="45"/>
      <c r="P243" s="44"/>
      <c r="Q243" s="1880" t="s">
        <v>186</v>
      </c>
      <c r="R243" s="40"/>
      <c r="S243" s="40" t="s">
        <v>116</v>
      </c>
      <c r="T243" s="698"/>
      <c r="U243" s="2075"/>
    </row>
    <row r="244" spans="1:26" ht="17.25" customHeight="1" thickBot="1" x14ac:dyDescent="0.25">
      <c r="A244" s="75"/>
      <c r="B244" s="1081"/>
      <c r="C244" s="104"/>
      <c r="D244" s="1771"/>
      <c r="E244" s="1773"/>
      <c r="F244" s="1757"/>
      <c r="G244" s="156" t="s">
        <v>6</v>
      </c>
      <c r="H244" s="244">
        <f t="shared" ref="H244:M244" si="23">SUM(H241:H243)</f>
        <v>89.8</v>
      </c>
      <c r="I244" s="1150">
        <f t="shared" si="23"/>
        <v>89.8</v>
      </c>
      <c r="J244" s="453">
        <f t="shared" si="23"/>
        <v>0</v>
      </c>
      <c r="K244" s="244">
        <f t="shared" si="23"/>
        <v>204.3</v>
      </c>
      <c r="L244" s="1150">
        <f t="shared" si="23"/>
        <v>204.3</v>
      </c>
      <c r="M244" s="834">
        <f t="shared" si="23"/>
        <v>0</v>
      </c>
      <c r="N244" s="244">
        <f t="shared" ref="N244:O244" si="24">SUM(N241:N243)</f>
        <v>0</v>
      </c>
      <c r="O244" s="1150">
        <f t="shared" si="24"/>
        <v>0</v>
      </c>
      <c r="P244" s="453">
        <f t="shared" ref="P244" si="25">SUM(P241:P243)</f>
        <v>0</v>
      </c>
      <c r="Q244" s="2072"/>
      <c r="R244" s="235"/>
      <c r="S244" s="235"/>
      <c r="T244" s="1132"/>
      <c r="U244" s="1207"/>
    </row>
    <row r="245" spans="1:26" ht="14.25" customHeight="1" thickBot="1" x14ac:dyDescent="0.25">
      <c r="A245" s="75" t="s">
        <v>5</v>
      </c>
      <c r="B245" s="1081" t="s">
        <v>33</v>
      </c>
      <c r="C245" s="1760" t="s">
        <v>8</v>
      </c>
      <c r="D245" s="1760"/>
      <c r="E245" s="1760"/>
      <c r="F245" s="1760"/>
      <c r="G245" s="1761"/>
      <c r="H245" s="433">
        <f>H244+H240</f>
        <v>6121.1</v>
      </c>
      <c r="I245" s="86">
        <f t="shared" ref="I245" si="26">I244+I240</f>
        <v>6121.1</v>
      </c>
      <c r="J245" s="326">
        <f>J244+J240</f>
        <v>0</v>
      </c>
      <c r="K245" s="433">
        <f t="shared" ref="K245:O245" si="27">K244+K240</f>
        <v>4755.8999999999996</v>
      </c>
      <c r="L245" s="86">
        <f t="shared" ref="L245" si="28">L244+L240</f>
        <v>4755.8999999999996</v>
      </c>
      <c r="M245" s="1567">
        <f t="shared" ref="M245" si="29">M244+M240</f>
        <v>0</v>
      </c>
      <c r="N245" s="433">
        <f t="shared" ref="N245" si="30">N244+N240</f>
        <v>4660</v>
      </c>
      <c r="O245" s="86">
        <f t="shared" si="27"/>
        <v>4660</v>
      </c>
      <c r="P245" s="326">
        <f t="shared" ref="P245" si="31">P244+P240</f>
        <v>0</v>
      </c>
      <c r="Q245" s="2076"/>
      <c r="R245" s="1762"/>
      <c r="S245" s="1762"/>
      <c r="T245" s="1762"/>
      <c r="U245" s="1763"/>
    </row>
    <row r="246" spans="1:26" ht="14.25" customHeight="1" thickBot="1" x14ac:dyDescent="0.25">
      <c r="A246" s="99" t="s">
        <v>5</v>
      </c>
      <c r="B246" s="1764" t="s">
        <v>9</v>
      </c>
      <c r="C246" s="1765"/>
      <c r="D246" s="1765"/>
      <c r="E246" s="1765"/>
      <c r="F246" s="1765"/>
      <c r="G246" s="1766"/>
      <c r="H246" s="75">
        <f t="shared" ref="H246:P246" si="32">H245+H201+H162+H126</f>
        <v>28292.799999999999</v>
      </c>
      <c r="I246" s="1202">
        <f t="shared" si="32"/>
        <v>28292.799999999999</v>
      </c>
      <c r="J246" s="1290">
        <f t="shared" si="32"/>
        <v>0</v>
      </c>
      <c r="K246" s="75">
        <f t="shared" si="32"/>
        <v>36680</v>
      </c>
      <c r="L246" s="1202">
        <f t="shared" si="32"/>
        <v>36680</v>
      </c>
      <c r="M246" s="1722">
        <f t="shared" si="32"/>
        <v>0</v>
      </c>
      <c r="N246" s="75">
        <f t="shared" si="32"/>
        <v>29856.7</v>
      </c>
      <c r="O246" s="1202">
        <f t="shared" si="32"/>
        <v>29856.7</v>
      </c>
      <c r="P246" s="1290">
        <f t="shared" si="32"/>
        <v>0</v>
      </c>
      <c r="Q246" s="2077"/>
      <c r="R246" s="1767"/>
      <c r="S246" s="1767"/>
      <c r="T246" s="1767"/>
      <c r="U246" s="1768"/>
    </row>
    <row r="247" spans="1:26" ht="14.25" customHeight="1" thickBot="1" x14ac:dyDescent="0.25">
      <c r="A247" s="110" t="s">
        <v>35</v>
      </c>
      <c r="B247" s="1823" t="s">
        <v>58</v>
      </c>
      <c r="C247" s="1824"/>
      <c r="D247" s="1824"/>
      <c r="E247" s="1824"/>
      <c r="F247" s="1824"/>
      <c r="G247" s="1825"/>
      <c r="H247" s="1201">
        <f t="shared" ref="H247:O247" si="33">SUM(H246)</f>
        <v>28292.799999999999</v>
      </c>
      <c r="I247" s="1203">
        <f t="shared" ref="I247" si="34">SUM(I246)</f>
        <v>28292.799999999999</v>
      </c>
      <c r="J247" s="1291">
        <f t="shared" ref="J247" si="35">SUM(J246)</f>
        <v>0</v>
      </c>
      <c r="K247" s="1201">
        <f>SUM(K246)</f>
        <v>36680</v>
      </c>
      <c r="L247" s="1203">
        <f>SUM(L246)</f>
        <v>36680</v>
      </c>
      <c r="M247" s="1723">
        <f>SUM(M246)</f>
        <v>0</v>
      </c>
      <c r="N247" s="1201">
        <f t="shared" ref="N247" si="36">SUM(N246)</f>
        <v>29856.7</v>
      </c>
      <c r="O247" s="1203">
        <f t="shared" si="33"/>
        <v>29856.7</v>
      </c>
      <c r="P247" s="1291">
        <f t="shared" ref="P247" si="37">SUM(P246)</f>
        <v>0</v>
      </c>
      <c r="Q247" s="2078"/>
      <c r="R247" s="1840"/>
      <c r="S247" s="1840"/>
      <c r="T247" s="1840"/>
      <c r="U247" s="1841"/>
    </row>
    <row r="248" spans="1:26" s="5" customFormat="1" ht="15" customHeight="1" x14ac:dyDescent="0.2">
      <c r="A248" s="816"/>
      <c r="B248" s="1090"/>
      <c r="C248" s="1090"/>
      <c r="D248" s="1090"/>
      <c r="E248" s="1090"/>
      <c r="F248" s="1090"/>
      <c r="G248" s="1090"/>
      <c r="H248" s="1090"/>
      <c r="I248" s="1090"/>
      <c r="J248" s="1090"/>
      <c r="K248" s="1090"/>
      <c r="L248" s="1090"/>
      <c r="M248" s="1090"/>
      <c r="N248" s="1090"/>
      <c r="O248" s="1090"/>
      <c r="P248" s="1090"/>
      <c r="Q248" s="1090"/>
      <c r="R248" s="1090"/>
      <c r="S248" s="1090"/>
      <c r="T248" s="1090"/>
      <c r="U248" s="1090"/>
    </row>
    <row r="249" spans="1:26" s="4" customFormat="1" ht="17.25" customHeight="1" x14ac:dyDescent="0.2">
      <c r="A249" s="1091"/>
      <c r="B249" s="1092"/>
      <c r="C249" s="1092"/>
      <c r="D249" s="1092"/>
      <c r="E249" s="1092"/>
      <c r="F249" s="1092"/>
      <c r="G249" s="1092"/>
      <c r="H249" s="1340"/>
      <c r="I249" s="1343"/>
      <c r="J249" s="1341"/>
      <c r="K249" s="1341"/>
      <c r="L249" s="1341"/>
      <c r="M249" s="1341"/>
      <c r="N249" s="1341"/>
      <c r="O249" s="1338"/>
      <c r="P249" s="1092"/>
      <c r="Q249" s="1092"/>
      <c r="R249" s="1091"/>
      <c r="S249" s="1091"/>
      <c r="T249" s="1091"/>
      <c r="U249" s="1091"/>
    </row>
    <row r="250" spans="1:26" s="5" customFormat="1" ht="15" customHeight="1" thickBot="1" x14ac:dyDescent="0.25">
      <c r="A250" s="1842" t="s">
        <v>13</v>
      </c>
      <c r="B250" s="1842"/>
      <c r="C250" s="1842"/>
      <c r="D250" s="1842"/>
      <c r="E250" s="1842"/>
      <c r="F250" s="1842"/>
      <c r="G250" s="1842"/>
      <c r="H250" s="171"/>
      <c r="I250" s="171"/>
      <c r="J250" s="171"/>
      <c r="K250" s="171"/>
      <c r="L250" s="171"/>
      <c r="M250" s="171"/>
      <c r="N250" s="171"/>
      <c r="O250" s="171"/>
      <c r="P250" s="171"/>
      <c r="Q250" s="111"/>
      <c r="R250" s="111"/>
      <c r="S250" s="111"/>
      <c r="T250" s="111"/>
      <c r="U250" s="111"/>
    </row>
    <row r="251" spans="1:26" ht="70.5" customHeight="1" thickBot="1" x14ac:dyDescent="0.25">
      <c r="A251" s="2089" t="s">
        <v>10</v>
      </c>
      <c r="B251" s="2090"/>
      <c r="C251" s="2090"/>
      <c r="D251" s="2090"/>
      <c r="E251" s="2090"/>
      <c r="F251" s="2090"/>
      <c r="G251" s="2091"/>
      <c r="H251" s="1576" t="s">
        <v>365</v>
      </c>
      <c r="I251" s="1577" t="s">
        <v>370</v>
      </c>
      <c r="J251" s="1578" t="s">
        <v>367</v>
      </c>
      <c r="K251" s="1579" t="s">
        <v>155</v>
      </c>
      <c r="L251" s="1577" t="s">
        <v>368</v>
      </c>
      <c r="M251" s="1578" t="s">
        <v>367</v>
      </c>
      <c r="N251" s="1579" t="s">
        <v>215</v>
      </c>
      <c r="O251" s="1577" t="s">
        <v>369</v>
      </c>
      <c r="P251" s="1578" t="s">
        <v>367</v>
      </c>
      <c r="Q251" s="14"/>
      <c r="R251" s="14"/>
      <c r="S251" s="14"/>
      <c r="T251" s="14"/>
      <c r="U251" s="14"/>
    </row>
    <row r="252" spans="1:26" ht="14.25" customHeight="1" x14ac:dyDescent="0.2">
      <c r="A252" s="1814" t="s">
        <v>14</v>
      </c>
      <c r="B252" s="1815"/>
      <c r="C252" s="1815"/>
      <c r="D252" s="1815"/>
      <c r="E252" s="1815"/>
      <c r="F252" s="1815"/>
      <c r="G252" s="1816"/>
      <c r="H252" s="1569">
        <f>H253+H259+H260+H261</f>
        <v>26015.5</v>
      </c>
      <c r="I252" s="1570">
        <f>I253+I259+I260+I261</f>
        <v>26015.5</v>
      </c>
      <c r="J252" s="1570">
        <f>J253+J259+J260+J261</f>
        <v>0</v>
      </c>
      <c r="K252" s="1571">
        <f>K253+K259+K260+K261</f>
        <v>34323.4</v>
      </c>
      <c r="L252" s="1572">
        <f>L253+L259+L260+L261</f>
        <v>34323.4</v>
      </c>
      <c r="M252" s="1573">
        <f>L252-K252</f>
        <v>0</v>
      </c>
      <c r="N252" s="1574">
        <f>N253+N259+N260+N261</f>
        <v>27132.7</v>
      </c>
      <c r="O252" s="1572">
        <f>O253+O259+O260+O261</f>
        <v>27132.7</v>
      </c>
      <c r="P252" s="1575">
        <f>P253+P259+P260+P261</f>
        <v>0</v>
      </c>
      <c r="Q252" s="14"/>
      <c r="R252" s="14"/>
      <c r="S252" s="14"/>
      <c r="T252" s="14"/>
      <c r="U252" s="14"/>
    </row>
    <row r="253" spans="1:26" ht="14.25" customHeight="1" x14ac:dyDescent="0.2">
      <c r="A253" s="1817" t="s">
        <v>97</v>
      </c>
      <c r="B253" s="1818"/>
      <c r="C253" s="1818"/>
      <c r="D253" s="1818"/>
      <c r="E253" s="1818"/>
      <c r="F253" s="1818"/>
      <c r="G253" s="1819"/>
      <c r="H253" s="1088">
        <f>SUM(H254:H258)</f>
        <v>18063.2</v>
      </c>
      <c r="I253" s="1208">
        <f>SUM(I254:I258)</f>
        <v>18063.2</v>
      </c>
      <c r="J253" s="1208">
        <f>SUM(J254:J258)</f>
        <v>0</v>
      </c>
      <c r="K253" s="1215">
        <f>SUM(K254:K258)</f>
        <v>34093</v>
      </c>
      <c r="L253" s="1216">
        <f>SUM(L254:L258)</f>
        <v>34093</v>
      </c>
      <c r="M253" s="1217">
        <f t="shared" ref="M253:M267" si="38">L253-K253</f>
        <v>0</v>
      </c>
      <c r="N253" s="1332">
        <f>SUM(N254:N258)</f>
        <v>27131.7</v>
      </c>
      <c r="O253" s="1216">
        <f>O254+O255+O256+O257+O258</f>
        <v>27131.7</v>
      </c>
      <c r="P253" s="1337">
        <f>SUM(P254:P258)</f>
        <v>0</v>
      </c>
      <c r="Q253" s="14"/>
      <c r="R253" s="14"/>
      <c r="S253" s="14"/>
      <c r="T253" s="14"/>
      <c r="U253" s="14"/>
    </row>
    <row r="254" spans="1:26" ht="14.25" customHeight="1" x14ac:dyDescent="0.2">
      <c r="A254" s="1820" t="s">
        <v>19</v>
      </c>
      <c r="B254" s="1821"/>
      <c r="C254" s="1821"/>
      <c r="D254" s="1821"/>
      <c r="E254" s="1821"/>
      <c r="F254" s="1821"/>
      <c r="G254" s="1822"/>
      <c r="H254" s="1089">
        <f>SUMIF(G11:G247,"SB",H11:H247)</f>
        <v>10933.2</v>
      </c>
      <c r="I254" s="1209">
        <f>SUMIF(G11:G247,"SB",I11:I247)</f>
        <v>10933.2</v>
      </c>
      <c r="J254" s="1209">
        <f>SUMIF(G11:G247,"SB",J11:J247)</f>
        <v>0</v>
      </c>
      <c r="K254" s="990">
        <f>SUMIF(G11:G247,"SB",K11:K247)</f>
        <v>20443.8</v>
      </c>
      <c r="L254" s="991">
        <f>SUMIF(G11:G247,"SB",L11:L247)</f>
        <v>20443.8</v>
      </c>
      <c r="M254" s="1239">
        <f t="shared" si="38"/>
        <v>0</v>
      </c>
      <c r="N254" s="1333">
        <f>SUMIF(G11:G247,"SB",N11:N247)</f>
        <v>19294.5</v>
      </c>
      <c r="O254" s="991">
        <f>SUMIF(G11:G247,"SB",O11:O247)</f>
        <v>19294.5</v>
      </c>
      <c r="P254" s="1334">
        <f>O254-N254</f>
        <v>0</v>
      </c>
      <c r="Q254" s="14"/>
      <c r="R254" s="14"/>
      <c r="S254" s="14"/>
      <c r="T254" s="14"/>
      <c r="U254" s="14"/>
    </row>
    <row r="255" spans="1:26" ht="14.25" customHeight="1" x14ac:dyDescent="0.2">
      <c r="A255" s="1774" t="s">
        <v>20</v>
      </c>
      <c r="B255" s="1775"/>
      <c r="C255" s="1775"/>
      <c r="D255" s="1775"/>
      <c r="E255" s="1775"/>
      <c r="F255" s="1775"/>
      <c r="G255" s="1776"/>
      <c r="H255" s="1093">
        <f>SUMIF(G18:G247,"SB(P)",H18:H247)</f>
        <v>0</v>
      </c>
      <c r="I255" s="1209">
        <f>SUMIF(G18:G247,"SB(P)",I18:I247)</f>
        <v>0</v>
      </c>
      <c r="J255" s="1233">
        <f t="shared" ref="J255:J266" si="39">I255-H255</f>
        <v>0</v>
      </c>
      <c r="K255" s="990">
        <f>SUMIF(G18:G247,"SB(P)",K18:K247)</f>
        <v>0</v>
      </c>
      <c r="L255" s="991">
        <f>SUMIF(G18:G247,"SB(P)",L18:L247)</f>
        <v>0</v>
      </c>
      <c r="M255" s="1239">
        <f t="shared" si="38"/>
        <v>0</v>
      </c>
      <c r="N255" s="1333">
        <f>SUMIF(G18:G247,"SB(P)",N18:N247)</f>
        <v>0</v>
      </c>
      <c r="O255" s="991">
        <f>SUMIF(G18:G247,"SB(P)",O18:O247)</f>
        <v>0</v>
      </c>
      <c r="P255" s="1239">
        <f t="shared" ref="P255:P267" si="40">O255-N255</f>
        <v>0</v>
      </c>
      <c r="Q255" s="14"/>
      <c r="R255" s="14"/>
      <c r="S255" s="14"/>
      <c r="T255" s="14"/>
      <c r="U255" s="14"/>
    </row>
    <row r="256" spans="1:26" ht="14.25" customHeight="1" x14ac:dyDescent="0.2">
      <c r="A256" s="1774" t="s">
        <v>71</v>
      </c>
      <c r="B256" s="1775"/>
      <c r="C256" s="1775"/>
      <c r="D256" s="1775"/>
      <c r="E256" s="1775"/>
      <c r="F256" s="1775"/>
      <c r="G256" s="1776"/>
      <c r="H256" s="1089">
        <f>SUMIF(G18:G247,"SB(VR)",H18:H247)</f>
        <v>1506.4</v>
      </c>
      <c r="I256" s="1209">
        <f>SUMIF(G18:G247,"SB(VR)",I18:I247)</f>
        <v>1506.4</v>
      </c>
      <c r="J256" s="1233">
        <f t="shared" si="39"/>
        <v>0</v>
      </c>
      <c r="K256" s="990">
        <f>SUMIF(G18:G247,"SB(VR)",K18:K247)</f>
        <v>1160.4000000000001</v>
      </c>
      <c r="L256" s="991">
        <f>SUMIF(G18:G247,"SB(VR)",L18:L247)</f>
        <v>1160.4000000000001</v>
      </c>
      <c r="M256" s="1239">
        <f t="shared" si="38"/>
        <v>0</v>
      </c>
      <c r="N256" s="1333">
        <f>SUMIF(G18:G247,"SB(VR)",N18:N247)</f>
        <v>1312.3</v>
      </c>
      <c r="O256" s="991">
        <f>SUMIF(G18:G247,"SB(VR)",O18:O247)</f>
        <v>1312.3</v>
      </c>
      <c r="P256" s="1239">
        <f t="shared" si="40"/>
        <v>0</v>
      </c>
      <c r="Q256" s="14"/>
      <c r="R256" s="14"/>
      <c r="S256" s="14"/>
      <c r="T256" s="14"/>
      <c r="U256" s="14"/>
    </row>
    <row r="257" spans="1:21" ht="28.5" customHeight="1" x14ac:dyDescent="0.2">
      <c r="A257" s="1804" t="s">
        <v>355</v>
      </c>
      <c r="B257" s="1805"/>
      <c r="C257" s="1805"/>
      <c r="D257" s="1805"/>
      <c r="E257" s="1805"/>
      <c r="F257" s="1805"/>
      <c r="G257" s="1806"/>
      <c r="H257" s="1234">
        <f>SUMIF(G12:G239,"SB(ES)",H12:H239)</f>
        <v>1624.5</v>
      </c>
      <c r="I257" s="1209">
        <f>SUMIF(G12:G239,"SB(ES)",I12:I239)</f>
        <v>1624.5</v>
      </c>
      <c r="J257" s="1233">
        <f t="shared" ref="J257" si="41">I257-H257</f>
        <v>0</v>
      </c>
      <c r="K257" s="990">
        <f>SUMIF(G12:G239,"SB(ES)",K12:K239)</f>
        <v>4470.7</v>
      </c>
      <c r="L257" s="991">
        <f>SUMIF(G12:G239,"SB(ES)",L12:L239)</f>
        <v>4470.7</v>
      </c>
      <c r="M257" s="1239">
        <f t="shared" ref="M257" si="42">L257-K257</f>
        <v>0</v>
      </c>
      <c r="N257" s="1333">
        <f>SUMIF(G12:G239,"SB(ES)",N12:N239)</f>
        <v>149.9</v>
      </c>
      <c r="O257" s="991">
        <f>SUMIF(G12:G239,"SB(ES)",O12:O239)</f>
        <v>149.9</v>
      </c>
      <c r="P257" s="1239">
        <f t="shared" ref="P257" si="43">O257-N257</f>
        <v>0</v>
      </c>
      <c r="Q257" s="14"/>
      <c r="R257" s="14"/>
      <c r="S257" s="14"/>
      <c r="T257" s="14"/>
      <c r="U257" s="14"/>
    </row>
    <row r="258" spans="1:21" ht="14.25" customHeight="1" x14ac:dyDescent="0.2">
      <c r="A258" s="1811" t="s">
        <v>104</v>
      </c>
      <c r="B258" s="1812"/>
      <c r="C258" s="1812"/>
      <c r="D258" s="1812"/>
      <c r="E258" s="1812"/>
      <c r="F258" s="1812"/>
      <c r="G258" s="1813"/>
      <c r="H258" s="1089">
        <f>SUMIF(G18:G246,"SB(KPP)",H18:H246)</f>
        <v>3999.1</v>
      </c>
      <c r="I258" s="1209">
        <f>SUMIF(G18:G246,"SB(KPP)",I18:I246)</f>
        <v>3999.1</v>
      </c>
      <c r="J258" s="1209">
        <f>SUMIF(G18:G246,"SB(KPP)",J18:J246)</f>
        <v>0</v>
      </c>
      <c r="K258" s="990">
        <f>SUMIF(G18:G246,"SB(KPP)",K18:K246)</f>
        <v>8018.1</v>
      </c>
      <c r="L258" s="991">
        <f>SUMIF(G14:G246,"SB(KPP)",L14:L246)</f>
        <v>8018.1</v>
      </c>
      <c r="M258" s="1239">
        <f t="shared" si="38"/>
        <v>0</v>
      </c>
      <c r="N258" s="1333">
        <f>SUMIF(G18:G246,"SB(KPP)",N18:N246)</f>
        <v>6375</v>
      </c>
      <c r="O258" s="991">
        <f>SUMIF(G18:G246,"SB(KPP)",O18:O246)</f>
        <v>6375</v>
      </c>
      <c r="P258" s="1334">
        <f>O258-N258</f>
        <v>0</v>
      </c>
      <c r="Q258" s="14"/>
      <c r="R258" s="14"/>
      <c r="S258" s="14"/>
      <c r="T258" s="14"/>
      <c r="U258" s="14"/>
    </row>
    <row r="259" spans="1:21" ht="14.25" customHeight="1" x14ac:dyDescent="0.2">
      <c r="A259" s="1807" t="s">
        <v>102</v>
      </c>
      <c r="B259" s="1808"/>
      <c r="C259" s="1808"/>
      <c r="D259" s="1808"/>
      <c r="E259" s="1808"/>
      <c r="F259" s="1808"/>
      <c r="G259" s="1809"/>
      <c r="H259" s="1094">
        <f>SUMIF(G18:G246,"SB(VRL)",H18:H246)</f>
        <v>768.9</v>
      </c>
      <c r="I259" s="1210">
        <f>SUMIF(G18:G246,"SB(VRL)",I18:I246)</f>
        <v>768.9</v>
      </c>
      <c r="J259" s="1235">
        <f t="shared" si="39"/>
        <v>0</v>
      </c>
      <c r="K259" s="1218">
        <f>SUMIF(G21:G246,"SB(VRL)",K21:K246)</f>
        <v>0</v>
      </c>
      <c r="L259" s="1219">
        <f>SUMIF(G21:G246,"SB(VRL)",L21:L246)</f>
        <v>0</v>
      </c>
      <c r="M259" s="1240">
        <f t="shared" si="38"/>
        <v>0</v>
      </c>
      <c r="N259" s="1335">
        <f>SUMIF(G18:G246,"SB(VRL)",N18:N246)</f>
        <v>0</v>
      </c>
      <c r="O259" s="1219">
        <f>SUMIF(G18:G246,"SB(VRL)",O18:O246)</f>
        <v>0</v>
      </c>
      <c r="P259" s="1240">
        <f t="shared" si="40"/>
        <v>0</v>
      </c>
      <c r="Q259" s="14"/>
      <c r="R259" s="14"/>
      <c r="S259" s="14"/>
      <c r="T259" s="14"/>
      <c r="U259" s="14"/>
    </row>
    <row r="260" spans="1:21" ht="14.25" customHeight="1" x14ac:dyDescent="0.2">
      <c r="A260" s="1810" t="s">
        <v>103</v>
      </c>
      <c r="B260" s="1808"/>
      <c r="C260" s="1808"/>
      <c r="D260" s="1808"/>
      <c r="E260" s="1808"/>
      <c r="F260" s="1808"/>
      <c r="G260" s="1809"/>
      <c r="H260" s="1094">
        <f>SUMIF(G14:G247,"SB(ŽPL)",H14:H247)</f>
        <v>1527.4</v>
      </c>
      <c r="I260" s="1210">
        <f>SUMIF(G14:G247,"SB(ŽPL)",I14:I247)</f>
        <v>1527.4</v>
      </c>
      <c r="J260" s="1210">
        <f>SUMIF(G14:G247,"SB(ŽPL)",J14:J247)</f>
        <v>0</v>
      </c>
      <c r="K260" s="1218">
        <f>SUMIF(G9:G247,"SB(ŽPL)",K9:K247)</f>
        <v>198.4</v>
      </c>
      <c r="L260" s="1219">
        <f>SUMIF(G9:G247,"SB(ŽPL)",L9:L247)</f>
        <v>198.4</v>
      </c>
      <c r="M260" s="1240">
        <f t="shared" si="38"/>
        <v>0</v>
      </c>
      <c r="N260" s="1335">
        <f>SUMIF(G18:G247,"SB(ŽPL)",N18:N247)</f>
        <v>0</v>
      </c>
      <c r="O260" s="1219">
        <f>SUMIF(G18:G247,"SB(ŽPL)",O18:O247)</f>
        <v>0</v>
      </c>
      <c r="P260" s="1240">
        <f t="shared" si="40"/>
        <v>0</v>
      </c>
      <c r="Q260" s="14"/>
      <c r="R260" s="14"/>
      <c r="S260" s="14"/>
      <c r="T260" s="14"/>
      <c r="U260" s="14"/>
    </row>
    <row r="261" spans="1:21" ht="14.25" customHeight="1" x14ac:dyDescent="0.2">
      <c r="A261" s="1798" t="s">
        <v>221</v>
      </c>
      <c r="B261" s="1799"/>
      <c r="C261" s="1799"/>
      <c r="D261" s="1799"/>
      <c r="E261" s="1799"/>
      <c r="F261" s="1799"/>
      <c r="G261" s="1800"/>
      <c r="H261" s="1094">
        <f>SUMIF(G14:G247,"SB(L)",H14:H247)</f>
        <v>5656</v>
      </c>
      <c r="I261" s="1210">
        <f>SUMIF(G14:G247,"SB(L)",I14:I247)</f>
        <v>5656</v>
      </c>
      <c r="J261" s="1210">
        <f>SUMIF(G14:G247,"SB(L)",J14:J247)</f>
        <v>0</v>
      </c>
      <c r="K261" s="1218">
        <f>SUMIF(G14:G247,"SB(L)",K14:K247)</f>
        <v>32</v>
      </c>
      <c r="L261" s="1219">
        <f>SUMIF(G21:G247,"SB(L)",L21:L247)</f>
        <v>32</v>
      </c>
      <c r="M261" s="1240">
        <f t="shared" si="38"/>
        <v>0</v>
      </c>
      <c r="N261" s="1335">
        <f>SUMIF(G14:G247,"SB(L)",N14:N247)</f>
        <v>1</v>
      </c>
      <c r="O261" s="1219">
        <f>SUMIF(G14:G245,"SB(L)",O14:O247)</f>
        <v>1</v>
      </c>
      <c r="P261" s="1240">
        <f t="shared" si="40"/>
        <v>0</v>
      </c>
      <c r="Q261" s="1354"/>
      <c r="R261" s="1354"/>
      <c r="S261" s="1354"/>
      <c r="T261" s="1354"/>
      <c r="U261" s="1354"/>
    </row>
    <row r="262" spans="1:21" ht="14.25" customHeight="1" x14ac:dyDescent="0.2">
      <c r="A262" s="1801" t="s">
        <v>15</v>
      </c>
      <c r="B262" s="1802"/>
      <c r="C262" s="1802"/>
      <c r="D262" s="1802"/>
      <c r="E262" s="1802"/>
      <c r="F262" s="1802"/>
      <c r="G262" s="1803"/>
      <c r="H262" s="1095">
        <f>SUM(H263:H266)</f>
        <v>2277.3000000000002</v>
      </c>
      <c r="I262" s="1211">
        <f>SUM(I263:I266)</f>
        <v>2277.3000000000002</v>
      </c>
      <c r="J262" s="1211">
        <f>SUM(J263:J266)</f>
        <v>0</v>
      </c>
      <c r="K262" s="1212">
        <f>K264+K265+K266+K263</f>
        <v>2356.6</v>
      </c>
      <c r="L262" s="1213">
        <f>L264+L265+L266+L263</f>
        <v>2356.6</v>
      </c>
      <c r="M262" s="1214">
        <f t="shared" si="38"/>
        <v>0</v>
      </c>
      <c r="N262" s="1331">
        <f>N264+N265+N266+N263</f>
        <v>2724</v>
      </c>
      <c r="O262" s="1213">
        <f>O264+O265+O266+O263</f>
        <v>2724</v>
      </c>
      <c r="P262" s="1214">
        <f t="shared" si="40"/>
        <v>0</v>
      </c>
      <c r="Q262" s="14"/>
      <c r="R262" s="14"/>
      <c r="S262" s="14"/>
      <c r="T262" s="14"/>
      <c r="U262" s="14"/>
    </row>
    <row r="263" spans="1:21" ht="14.25" customHeight="1" x14ac:dyDescent="0.2">
      <c r="A263" s="1804" t="s">
        <v>21</v>
      </c>
      <c r="B263" s="1805"/>
      <c r="C263" s="1805"/>
      <c r="D263" s="1805"/>
      <c r="E263" s="1805"/>
      <c r="F263" s="1805"/>
      <c r="G263" s="1806"/>
      <c r="H263" s="1089">
        <f>SUMIF(G14:G247,"ES",H14:H247)</f>
        <v>579.5</v>
      </c>
      <c r="I263" s="1209">
        <f>SUMIF(G14:G247,"ES",I14:I247)</f>
        <v>579.5</v>
      </c>
      <c r="J263" s="1233">
        <f>I263-H263</f>
        <v>0</v>
      </c>
      <c r="K263" s="990">
        <f>SUMIF(G14:G247,"ES",K14:K247)</f>
        <v>634.1</v>
      </c>
      <c r="L263" s="991">
        <f>SUMIF(G14:G247,"ES",L14:L247)</f>
        <v>634.1</v>
      </c>
      <c r="M263" s="1239">
        <f t="shared" si="38"/>
        <v>0</v>
      </c>
      <c r="N263" s="1333">
        <f>SUMIF(G14:G247,"ES",N14:N247)</f>
        <v>1129</v>
      </c>
      <c r="O263" s="991">
        <f>SUMIF(G14:G247,"ES",O14:O247)</f>
        <v>1129</v>
      </c>
      <c r="P263" s="1239">
        <f t="shared" si="40"/>
        <v>0</v>
      </c>
      <c r="Q263" s="14"/>
      <c r="R263" s="14"/>
      <c r="S263" s="14"/>
      <c r="T263" s="14"/>
      <c r="U263" s="14"/>
    </row>
    <row r="264" spans="1:21" ht="14.25" customHeight="1" x14ac:dyDescent="0.2">
      <c r="A264" s="1792" t="s">
        <v>22</v>
      </c>
      <c r="B264" s="1793"/>
      <c r="C264" s="1793"/>
      <c r="D264" s="1793"/>
      <c r="E264" s="1793"/>
      <c r="F264" s="1793"/>
      <c r="G264" s="1794"/>
      <c r="H264" s="1089">
        <f>SUMIF(G18:G247,"KVJUD",H18:H247)</f>
        <v>1593.4</v>
      </c>
      <c r="I264" s="1209">
        <f>SUMIF(G18:G247,"KVJUD",I18:I247)</f>
        <v>1593.4</v>
      </c>
      <c r="J264" s="1233">
        <f t="shared" si="39"/>
        <v>0</v>
      </c>
      <c r="K264" s="990">
        <f>SUMIF(G18:G247,"KVJUD",K18:K247)</f>
        <v>1500</v>
      </c>
      <c r="L264" s="991">
        <f>SUMIF(G18:G247,"KVJUD",L18:L247)</f>
        <v>1500</v>
      </c>
      <c r="M264" s="1239">
        <f>L264-K264</f>
        <v>0</v>
      </c>
      <c r="N264" s="1333">
        <f>SUMIF(G18:G247,"KVJUD",N18:N247)</f>
        <v>1500</v>
      </c>
      <c r="O264" s="991">
        <f>SUMIF(G18:G247,"KVJUD",O18:O247)</f>
        <v>1500</v>
      </c>
      <c r="P264" s="1334">
        <f>SUMIF(G18:G247,"KVJUD",P18:P247)</f>
        <v>0</v>
      </c>
      <c r="Q264" s="54"/>
      <c r="R264" s="54"/>
      <c r="S264" s="54"/>
      <c r="T264" s="54"/>
      <c r="U264" s="54"/>
    </row>
    <row r="265" spans="1:21" ht="14.25" customHeight="1" x14ac:dyDescent="0.2">
      <c r="A265" s="1774" t="s">
        <v>23</v>
      </c>
      <c r="B265" s="1775"/>
      <c r="C265" s="1775"/>
      <c r="D265" s="1775"/>
      <c r="E265" s="1775"/>
      <c r="F265" s="1775"/>
      <c r="G265" s="1776"/>
      <c r="H265" s="1089">
        <f>SUMIF(G18:G247,"LRVB",H18:H247)</f>
        <v>0</v>
      </c>
      <c r="I265" s="1209">
        <f>SUMIF(G18:G247,"LRVB",I18:I247)</f>
        <v>0</v>
      </c>
      <c r="J265" s="1233">
        <f t="shared" si="39"/>
        <v>0</v>
      </c>
      <c r="K265" s="990">
        <f>SUMIF(G18:G247,"LRVB",K18:K247)</f>
        <v>0</v>
      </c>
      <c r="L265" s="991">
        <f>SUMIF(G18:G247,"LRVB",L18:L247)</f>
        <v>0</v>
      </c>
      <c r="M265" s="1239">
        <f t="shared" si="38"/>
        <v>0</v>
      </c>
      <c r="N265" s="1333">
        <f>SUMIF(G18:G247,"LRVB",N18:N247)</f>
        <v>0</v>
      </c>
      <c r="O265" s="991">
        <f>SUMIF(G18:G247,"LRVB",O18:O247)</f>
        <v>0</v>
      </c>
      <c r="P265" s="1239">
        <f t="shared" si="40"/>
        <v>0</v>
      </c>
      <c r="Q265" s="54"/>
      <c r="R265" s="54"/>
      <c r="S265" s="54"/>
      <c r="T265" s="54"/>
      <c r="U265" s="54"/>
    </row>
    <row r="266" spans="1:21" ht="14.25" customHeight="1" x14ac:dyDescent="0.2">
      <c r="A266" s="1795" t="s">
        <v>24</v>
      </c>
      <c r="B266" s="1796"/>
      <c r="C266" s="1796"/>
      <c r="D266" s="1796"/>
      <c r="E266" s="1796"/>
      <c r="F266" s="1796"/>
      <c r="G266" s="1797"/>
      <c r="H266" s="1089">
        <f>SUMIF(G14:G247,"Kt",H14:H247)</f>
        <v>104.4</v>
      </c>
      <c r="I266" s="1209">
        <f>SUMIF(G14:G247,"Kt",I14:I247)</f>
        <v>104.4</v>
      </c>
      <c r="J266" s="1233">
        <f t="shared" si="39"/>
        <v>0</v>
      </c>
      <c r="K266" s="990">
        <f>SUMIF(G18:G247,"Kt",K18:K247)</f>
        <v>222.5</v>
      </c>
      <c r="L266" s="991">
        <f>SUMIF(G18:G247,"Kt",L18:L247)</f>
        <v>222.5</v>
      </c>
      <c r="M266" s="1239">
        <f t="shared" si="38"/>
        <v>0</v>
      </c>
      <c r="N266" s="1333">
        <f>SUMIF(G18:G247,"Kt",N18:N247)</f>
        <v>95</v>
      </c>
      <c r="O266" s="991">
        <f>SUMIF(G18:G247,"Kt",O18:O247)</f>
        <v>95</v>
      </c>
      <c r="P266" s="1239">
        <f>O266-N266</f>
        <v>0</v>
      </c>
      <c r="Q266" s="54"/>
      <c r="R266" s="54"/>
      <c r="S266" s="54"/>
      <c r="T266" s="54"/>
      <c r="U266" s="54"/>
    </row>
    <row r="267" spans="1:21" ht="14.25" customHeight="1" thickBot="1" x14ac:dyDescent="0.25">
      <c r="A267" s="1743" t="s">
        <v>16</v>
      </c>
      <c r="B267" s="1744"/>
      <c r="C267" s="1744"/>
      <c r="D267" s="1744"/>
      <c r="E267" s="1744"/>
      <c r="F267" s="1744"/>
      <c r="G267" s="1745"/>
      <c r="H267" s="1220">
        <f>SUM(H252,H262)</f>
        <v>28292.799999999999</v>
      </c>
      <c r="I267" s="1221">
        <f>SUM(I252,I262)</f>
        <v>28292.799999999999</v>
      </c>
      <c r="J267" s="1221">
        <f>SUM(J252,J262)</f>
        <v>0</v>
      </c>
      <c r="K267" s="1222">
        <f>SUM(K252,K262)</f>
        <v>36680</v>
      </c>
      <c r="L267" s="1223">
        <f>SUM(L252,L262)</f>
        <v>36680</v>
      </c>
      <c r="M267" s="1224">
        <f t="shared" si="38"/>
        <v>0</v>
      </c>
      <c r="N267" s="1336">
        <f>SUM(N252,N262)</f>
        <v>29856.7</v>
      </c>
      <c r="O267" s="1223">
        <f>SUM(O252,O262)</f>
        <v>29856.7</v>
      </c>
      <c r="P267" s="1224">
        <f t="shared" si="40"/>
        <v>0</v>
      </c>
      <c r="Q267" s="54"/>
      <c r="R267" s="54"/>
      <c r="S267" s="54"/>
      <c r="T267" s="54"/>
      <c r="U267" s="54"/>
    </row>
    <row r="268" spans="1:21" x14ac:dyDescent="0.2">
      <c r="F268" s="1236"/>
      <c r="G268" s="1237"/>
      <c r="H268" s="1238"/>
      <c r="I268" s="1238"/>
      <c r="J268" s="1238"/>
      <c r="K268" s="1238"/>
      <c r="L268" s="1238"/>
      <c r="M268" s="1238"/>
      <c r="N268" s="1238"/>
      <c r="O268" s="1238"/>
      <c r="P268" s="1238"/>
      <c r="Q268" s="4"/>
    </row>
    <row r="269" spans="1:21" x14ac:dyDescent="0.2">
      <c r="F269" s="2079" t="s">
        <v>356</v>
      </c>
      <c r="G269" s="2079"/>
      <c r="H269" s="2079"/>
      <c r="I269" s="2079"/>
      <c r="J269" s="2079"/>
      <c r="K269" s="2079"/>
      <c r="L269" s="1339"/>
      <c r="M269" s="1339"/>
      <c r="N269" s="4"/>
      <c r="O269" s="1353"/>
      <c r="P269" s="4"/>
      <c r="Q269" s="4"/>
    </row>
    <row r="270" spans="1:21" x14ac:dyDescent="0.2">
      <c r="F270" s="1236"/>
      <c r="G270" s="1237"/>
      <c r="H270" s="1353"/>
      <c r="I270" s="1353"/>
      <c r="J270" s="1353"/>
      <c r="K270" s="1353"/>
      <c r="L270" s="1353"/>
      <c r="M270" s="1353"/>
      <c r="N270" s="1353"/>
      <c r="O270" s="1353"/>
      <c r="P270" s="1353"/>
      <c r="Q270" s="4"/>
    </row>
    <row r="271" spans="1:21" x14ac:dyDescent="0.2">
      <c r="A271" s="1"/>
      <c r="B271" s="1"/>
      <c r="C271" s="435"/>
      <c r="D271" s="1"/>
      <c r="E271" s="1"/>
      <c r="F271" s="1"/>
      <c r="G271" s="1"/>
      <c r="H271" s="54"/>
      <c r="I271" s="54"/>
      <c r="J271" s="54"/>
      <c r="K271" s="54"/>
      <c r="L271" s="54"/>
      <c r="M271" s="54"/>
      <c r="N271" s="54"/>
      <c r="O271" s="54"/>
      <c r="P271" s="54"/>
      <c r="Q271" s="1"/>
      <c r="R271" s="1"/>
      <c r="S271" s="1"/>
      <c r="T271" s="1"/>
      <c r="U271" s="1"/>
    </row>
    <row r="272" spans="1:21" x14ac:dyDescent="0.2">
      <c r="A272" s="1"/>
      <c r="B272" s="1"/>
      <c r="C272" s="435"/>
      <c r="D272" s="1"/>
      <c r="E272" s="1"/>
      <c r="F272" s="1"/>
      <c r="G272" s="1"/>
      <c r="H272" s="54"/>
      <c r="I272" s="54"/>
      <c r="J272" s="54"/>
      <c r="K272" s="54"/>
      <c r="L272" s="54"/>
      <c r="M272" s="54"/>
      <c r="N272" s="54"/>
      <c r="O272" s="54"/>
      <c r="P272" s="54"/>
      <c r="Q272" s="1"/>
      <c r="R272" s="1"/>
      <c r="S272" s="1"/>
      <c r="T272" s="1"/>
      <c r="U272" s="1"/>
    </row>
  </sheetData>
  <mergeCells count="296">
    <mergeCell ref="Q150:Q151"/>
    <mergeCell ref="Q148:Q149"/>
    <mergeCell ref="Q141:Q142"/>
    <mergeCell ref="U111:U115"/>
    <mergeCell ref="U47:U48"/>
    <mergeCell ref="R69:R70"/>
    <mergeCell ref="R143:R144"/>
    <mergeCell ref="S143:S144"/>
    <mergeCell ref="U143:U144"/>
    <mergeCell ref="U49:U50"/>
    <mergeCell ref="Q62:Q64"/>
    <mergeCell ref="U137:U138"/>
    <mergeCell ref="U97:U101"/>
    <mergeCell ref="U62:U67"/>
    <mergeCell ref="U68:U70"/>
    <mergeCell ref="U90:U94"/>
    <mergeCell ref="Q69:Q70"/>
    <mergeCell ref="D122:D123"/>
    <mergeCell ref="U81:U83"/>
    <mergeCell ref="F73:F74"/>
    <mergeCell ref="Q102:Q104"/>
    <mergeCell ref="Q95:Q96"/>
    <mergeCell ref="Q84:Q85"/>
    <mergeCell ref="Q77:Q78"/>
    <mergeCell ref="Q80:Q83"/>
    <mergeCell ref="Q137:Q138"/>
    <mergeCell ref="Q122:Q124"/>
    <mergeCell ref="C127:U127"/>
    <mergeCell ref="U128:U131"/>
    <mergeCell ref="E148:E149"/>
    <mergeCell ref="F148:F149"/>
    <mergeCell ref="Q143:Q144"/>
    <mergeCell ref="D49:D50"/>
    <mergeCell ref="U102:U104"/>
    <mergeCell ref="T105:T106"/>
    <mergeCell ref="D120:D121"/>
    <mergeCell ref="D111:D115"/>
    <mergeCell ref="D116:D118"/>
    <mergeCell ref="D77:D83"/>
    <mergeCell ref="F71:F72"/>
    <mergeCell ref="E77:E83"/>
    <mergeCell ref="D68:D70"/>
    <mergeCell ref="E68:E70"/>
    <mergeCell ref="F68:F70"/>
    <mergeCell ref="E71:E72"/>
    <mergeCell ref="S77:S78"/>
    <mergeCell ref="R77:R78"/>
    <mergeCell ref="E128:E130"/>
    <mergeCell ref="D71:D72"/>
    <mergeCell ref="D133:D134"/>
    <mergeCell ref="D137:D138"/>
    <mergeCell ref="D141:D142"/>
    <mergeCell ref="C126:G126"/>
    <mergeCell ref="U31:U32"/>
    <mergeCell ref="Q31:Q32"/>
    <mergeCell ref="E49:E50"/>
    <mergeCell ref="F49:F50"/>
    <mergeCell ref="D105:D106"/>
    <mergeCell ref="D107:D108"/>
    <mergeCell ref="U107:U108"/>
    <mergeCell ref="U105:U106"/>
    <mergeCell ref="U95:U96"/>
    <mergeCell ref="D90:D92"/>
    <mergeCell ref="E90:E94"/>
    <mergeCell ref="D95:D96"/>
    <mergeCell ref="D97:D101"/>
    <mergeCell ref="D102:D104"/>
    <mergeCell ref="U33:U34"/>
    <mergeCell ref="D73:D74"/>
    <mergeCell ref="F77:F83"/>
    <mergeCell ref="F269:K269"/>
    <mergeCell ref="I7:I9"/>
    <mergeCell ref="L7:L9"/>
    <mergeCell ref="N7:N9"/>
    <mergeCell ref="T143:T144"/>
    <mergeCell ref="T176:T177"/>
    <mergeCell ref="T235:T236"/>
    <mergeCell ref="Q7:T7"/>
    <mergeCell ref="R8:T8"/>
    <mergeCell ref="J7:J9"/>
    <mergeCell ref="A262:G262"/>
    <mergeCell ref="A263:G263"/>
    <mergeCell ref="A264:G264"/>
    <mergeCell ref="A265:G265"/>
    <mergeCell ref="A266:G266"/>
    <mergeCell ref="A267:G267"/>
    <mergeCell ref="A256:G256"/>
    <mergeCell ref="A258:G258"/>
    <mergeCell ref="A259:G259"/>
    <mergeCell ref="A260:G260"/>
    <mergeCell ref="A261:G261"/>
    <mergeCell ref="A250:G250"/>
    <mergeCell ref="A251:G251"/>
    <mergeCell ref="A252:G252"/>
    <mergeCell ref="A253:G253"/>
    <mergeCell ref="A254:G254"/>
    <mergeCell ref="A255:G255"/>
    <mergeCell ref="A257:G257"/>
    <mergeCell ref="C245:G245"/>
    <mergeCell ref="Q245:U245"/>
    <mergeCell ref="B246:G246"/>
    <mergeCell ref="Q246:U246"/>
    <mergeCell ref="B247:G247"/>
    <mergeCell ref="Q247:U247"/>
    <mergeCell ref="R235:R236"/>
    <mergeCell ref="S235:S236"/>
    <mergeCell ref="U235:U236"/>
    <mergeCell ref="D237:D238"/>
    <mergeCell ref="Q237:Q238"/>
    <mergeCell ref="D241:D244"/>
    <mergeCell ref="E241:E244"/>
    <mergeCell ref="F241:F244"/>
    <mergeCell ref="Q243:Q244"/>
    <mergeCell ref="U237:U238"/>
    <mergeCell ref="U241:U243"/>
    <mergeCell ref="A233:A236"/>
    <mergeCell ref="B233:B236"/>
    <mergeCell ref="C233:C236"/>
    <mergeCell ref="E233:E236"/>
    <mergeCell ref="F233:F236"/>
    <mergeCell ref="Q235:Q236"/>
    <mergeCell ref="D228:D230"/>
    <mergeCell ref="A231:A232"/>
    <mergeCell ref="B231:B232"/>
    <mergeCell ref="C231:C232"/>
    <mergeCell ref="D231:D232"/>
    <mergeCell ref="Q231:Q232"/>
    <mergeCell ref="Q233:Q234"/>
    <mergeCell ref="D233:D234"/>
    <mergeCell ref="C201:G201"/>
    <mergeCell ref="Q201:U201"/>
    <mergeCell ref="C202:U202"/>
    <mergeCell ref="C208:C215"/>
    <mergeCell ref="C216:C223"/>
    <mergeCell ref="C224:C227"/>
    <mergeCell ref="F193:F194"/>
    <mergeCell ref="A195:A197"/>
    <mergeCell ref="B195:B197"/>
    <mergeCell ref="C195:C197"/>
    <mergeCell ref="D195:D197"/>
    <mergeCell ref="E195:E196"/>
    <mergeCell ref="U203:U206"/>
    <mergeCell ref="U195:U197"/>
    <mergeCell ref="A191:A192"/>
    <mergeCell ref="B191:B192"/>
    <mergeCell ref="C191:C192"/>
    <mergeCell ref="D191:D192"/>
    <mergeCell ref="E191:E192"/>
    <mergeCell ref="A193:A194"/>
    <mergeCell ref="B193:B194"/>
    <mergeCell ref="C193:C194"/>
    <mergeCell ref="D193:D194"/>
    <mergeCell ref="E193:E194"/>
    <mergeCell ref="D185:D187"/>
    <mergeCell ref="A188:A190"/>
    <mergeCell ref="B188:B190"/>
    <mergeCell ref="C188:C190"/>
    <mergeCell ref="D188:D190"/>
    <mergeCell ref="E188:E190"/>
    <mergeCell ref="U176:U177"/>
    <mergeCell ref="D178:D179"/>
    <mergeCell ref="D180:D181"/>
    <mergeCell ref="Q180:Q181"/>
    <mergeCell ref="A182:A184"/>
    <mergeCell ref="B182:B184"/>
    <mergeCell ref="C182:C184"/>
    <mergeCell ref="D182:D184"/>
    <mergeCell ref="E182:E184"/>
    <mergeCell ref="F182:F184"/>
    <mergeCell ref="U180:U181"/>
    <mergeCell ref="D169:D174"/>
    <mergeCell ref="E169:E171"/>
    <mergeCell ref="D176:D177"/>
    <mergeCell ref="Q176:Q177"/>
    <mergeCell ref="R176:R177"/>
    <mergeCell ref="S176:S177"/>
    <mergeCell ref="E159:E161"/>
    <mergeCell ref="F159:F161"/>
    <mergeCell ref="C162:G162"/>
    <mergeCell ref="Q162:U162"/>
    <mergeCell ref="C163:U163"/>
    <mergeCell ref="D164:D166"/>
    <mergeCell ref="U164:U167"/>
    <mergeCell ref="D152:D153"/>
    <mergeCell ref="A159:A161"/>
    <mergeCell ref="B159:B161"/>
    <mergeCell ref="C159:C161"/>
    <mergeCell ref="D159:D161"/>
    <mergeCell ref="A148:A149"/>
    <mergeCell ref="B148:B149"/>
    <mergeCell ref="C148:C149"/>
    <mergeCell ref="D148:D149"/>
    <mergeCell ref="D150:D151"/>
    <mergeCell ref="A145:A147"/>
    <mergeCell ref="B145:B147"/>
    <mergeCell ref="C145:C147"/>
    <mergeCell ref="D145:D147"/>
    <mergeCell ref="E145:E147"/>
    <mergeCell ref="F145:F147"/>
    <mergeCell ref="A143:A144"/>
    <mergeCell ref="B143:B144"/>
    <mergeCell ref="C143:C144"/>
    <mergeCell ref="D143:D144"/>
    <mergeCell ref="E143:E144"/>
    <mergeCell ref="F143:F144"/>
    <mergeCell ref="A86:A88"/>
    <mergeCell ref="B86:B88"/>
    <mergeCell ref="C86:C88"/>
    <mergeCell ref="D86:D88"/>
    <mergeCell ref="E86:E88"/>
    <mergeCell ref="F86:F88"/>
    <mergeCell ref="Q87:Q88"/>
    <mergeCell ref="A84:A85"/>
    <mergeCell ref="B84:B85"/>
    <mergeCell ref="C84:C85"/>
    <mergeCell ref="D84:D85"/>
    <mergeCell ref="E84:E85"/>
    <mergeCell ref="F84:F85"/>
    <mergeCell ref="A62:A67"/>
    <mergeCell ref="B62:B67"/>
    <mergeCell ref="C62:C67"/>
    <mergeCell ref="E62:E67"/>
    <mergeCell ref="F62:F67"/>
    <mergeCell ref="D51:D52"/>
    <mergeCell ref="D53:D54"/>
    <mergeCell ref="E53:E54"/>
    <mergeCell ref="F53:F54"/>
    <mergeCell ref="D56:D60"/>
    <mergeCell ref="E56:E60"/>
    <mergeCell ref="D62:D65"/>
    <mergeCell ref="F21:F22"/>
    <mergeCell ref="Q35:Q36"/>
    <mergeCell ref="D38:D39"/>
    <mergeCell ref="E38:E42"/>
    <mergeCell ref="A43:A46"/>
    <mergeCell ref="B43:B46"/>
    <mergeCell ref="C43:C46"/>
    <mergeCell ref="D43:D46"/>
    <mergeCell ref="F43:F46"/>
    <mergeCell ref="D31:D32"/>
    <mergeCell ref="D33:D34"/>
    <mergeCell ref="F33:F34"/>
    <mergeCell ref="D35:D36"/>
    <mergeCell ref="D21:D22"/>
    <mergeCell ref="Q23:Q24"/>
    <mergeCell ref="E24:E26"/>
    <mergeCell ref="D29:D30"/>
    <mergeCell ref="E29:E30"/>
    <mergeCell ref="D23:D26"/>
    <mergeCell ref="A3:U3"/>
    <mergeCell ref="A4:U4"/>
    <mergeCell ref="A5:U5"/>
    <mergeCell ref="Q6:U6"/>
    <mergeCell ref="A7:A9"/>
    <mergeCell ref="B7:B9"/>
    <mergeCell ref="C7:C9"/>
    <mergeCell ref="D7:D9"/>
    <mergeCell ref="E7:E9"/>
    <mergeCell ref="Q8:Q9"/>
    <mergeCell ref="M7:M9"/>
    <mergeCell ref="P7:P9"/>
    <mergeCell ref="D14:D15"/>
    <mergeCell ref="E14:E17"/>
    <mergeCell ref="F7:F9"/>
    <mergeCell ref="G7:G9"/>
    <mergeCell ref="H7:H9"/>
    <mergeCell ref="K7:K9"/>
    <mergeCell ref="O7:O9"/>
    <mergeCell ref="A10:U10"/>
    <mergeCell ref="A11:U11"/>
    <mergeCell ref="B12:U12"/>
    <mergeCell ref="C13:U13"/>
    <mergeCell ref="U27:U28"/>
    <mergeCell ref="U51:U52"/>
    <mergeCell ref="A27:A28"/>
    <mergeCell ref="B27:B28"/>
    <mergeCell ref="C27:C28"/>
    <mergeCell ref="D27:D28"/>
    <mergeCell ref="F27:F28"/>
    <mergeCell ref="Q19:Q20"/>
    <mergeCell ref="A21:A22"/>
    <mergeCell ref="B21:B22"/>
    <mergeCell ref="C21:C22"/>
    <mergeCell ref="A18:A20"/>
    <mergeCell ref="B18:B20"/>
    <mergeCell ref="C18:C20"/>
    <mergeCell ref="D18:D20"/>
    <mergeCell ref="F18:F20"/>
    <mergeCell ref="E19:E20"/>
    <mergeCell ref="U23:U25"/>
    <mergeCell ref="U21:U22"/>
    <mergeCell ref="A47:A48"/>
    <mergeCell ref="B47:B48"/>
    <mergeCell ref="C47:C48"/>
    <mergeCell ref="D47:D48"/>
    <mergeCell ref="F47:F48"/>
  </mergeCells>
  <printOptions horizontalCentered="1"/>
  <pageMargins left="0.19685039370078741" right="0.19685039370078741" top="0.59055118110236227" bottom="0" header="0" footer="0"/>
  <pageSetup paperSize="9" scale="68" orientation="landscape" r:id="rId1"/>
  <headerFooter alignWithMargins="0"/>
  <rowBreaks count="7" manualBreakCount="7">
    <brk id="37" max="20" man="1"/>
    <brk id="96" max="20" man="1"/>
    <brk id="126" max="20" man="1"/>
    <brk id="154" max="20" man="1"/>
    <brk id="190" max="20" man="1"/>
    <brk id="223" max="20" man="1"/>
    <brk id="249" max="2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76"/>
  <sheetViews>
    <sheetView view="pageBreakPreview" topLeftCell="A40" zoomScaleNormal="100" zoomScaleSheetLayoutView="100" workbookViewId="0">
      <selection activeCell="O261" sqref="O261"/>
    </sheetView>
  </sheetViews>
  <sheetFormatPr defaultRowHeight="12.75" x14ac:dyDescent="0.2"/>
  <cols>
    <col min="1" max="3" width="2.7109375" style="2" customWidth="1"/>
    <col min="4" max="4" width="3.140625" style="2" customWidth="1"/>
    <col min="5" max="5" width="36.28515625" style="2" customWidth="1"/>
    <col min="6" max="6" width="3.28515625" style="8" customWidth="1"/>
    <col min="7" max="7" width="0.140625" style="8" hidden="1" customWidth="1"/>
    <col min="8" max="8" width="3" style="11" customWidth="1"/>
    <col min="9" max="9" width="12.28515625" style="11" customWidth="1"/>
    <col min="10" max="10" width="7.85546875" style="3" customWidth="1"/>
    <col min="11" max="11" width="8.28515625" style="2" customWidth="1"/>
    <col min="12" max="12" width="8.85546875" style="2" customWidth="1"/>
    <col min="13" max="14" width="9" style="2" customWidth="1"/>
    <col min="15" max="15" width="38.7109375" style="2" customWidth="1"/>
    <col min="16" max="16" width="4" style="2" customWidth="1"/>
    <col min="17" max="19" width="3.85546875" style="2" customWidth="1"/>
    <col min="20" max="20" width="39" style="1" customWidth="1"/>
    <col min="21" max="16384" width="9.140625" style="1"/>
  </cols>
  <sheetData>
    <row r="1" spans="1:19" s="173" customFormat="1" ht="15.75" customHeight="1" x14ac:dyDescent="0.25">
      <c r="O1" s="2227" t="s">
        <v>154</v>
      </c>
      <c r="P1" s="2228"/>
      <c r="Q1" s="2228"/>
      <c r="R1" s="2228"/>
      <c r="S1" s="2228"/>
    </row>
    <row r="2" spans="1:19" s="41" customFormat="1" ht="15" x14ac:dyDescent="0.2">
      <c r="A2" s="1986" t="s">
        <v>378</v>
      </c>
      <c r="B2" s="1986"/>
      <c r="C2" s="1986"/>
      <c r="D2" s="1986"/>
      <c r="E2" s="1986"/>
      <c r="F2" s="1986"/>
      <c r="G2" s="1986"/>
      <c r="H2" s="1986"/>
      <c r="I2" s="1986"/>
      <c r="J2" s="1986"/>
      <c r="K2" s="1986"/>
      <c r="L2" s="1986"/>
      <c r="M2" s="1986"/>
      <c r="N2" s="1986"/>
      <c r="O2" s="1986"/>
      <c r="P2" s="1986"/>
      <c r="Q2" s="1986"/>
      <c r="R2" s="1986"/>
      <c r="S2" s="1986"/>
    </row>
    <row r="3" spans="1:19" ht="15.75" customHeight="1" x14ac:dyDescent="0.2">
      <c r="A3" s="1987" t="s">
        <v>29</v>
      </c>
      <c r="B3" s="1987"/>
      <c r="C3" s="1987"/>
      <c r="D3" s="1987"/>
      <c r="E3" s="1987"/>
      <c r="F3" s="1987"/>
      <c r="G3" s="1987"/>
      <c r="H3" s="1987"/>
      <c r="I3" s="1987"/>
      <c r="J3" s="1987"/>
      <c r="K3" s="1987"/>
      <c r="L3" s="1987"/>
      <c r="M3" s="1987"/>
      <c r="N3" s="1987"/>
      <c r="O3" s="1987"/>
      <c r="P3" s="1987"/>
      <c r="Q3" s="1987"/>
      <c r="R3" s="1987"/>
      <c r="S3" s="1987"/>
    </row>
    <row r="4" spans="1:19" ht="15" customHeight="1" x14ac:dyDescent="0.2">
      <c r="A4" s="1988" t="s">
        <v>17</v>
      </c>
      <c r="B4" s="1988"/>
      <c r="C4" s="1988"/>
      <c r="D4" s="1988"/>
      <c r="E4" s="1988"/>
      <c r="F4" s="1988"/>
      <c r="G4" s="1988"/>
      <c r="H4" s="1988"/>
      <c r="I4" s="1988"/>
      <c r="J4" s="1988"/>
      <c r="K4" s="1988"/>
      <c r="L4" s="1988"/>
      <c r="M4" s="1988"/>
      <c r="N4" s="1988"/>
      <c r="O4" s="1988"/>
      <c r="P4" s="1988"/>
      <c r="Q4" s="1988"/>
      <c r="R4" s="1988"/>
      <c r="S4" s="1988"/>
    </row>
    <row r="5" spans="1:19" ht="15" customHeight="1" thickBot="1" x14ac:dyDescent="0.25">
      <c r="A5" s="16"/>
      <c r="B5" s="16"/>
      <c r="C5" s="16"/>
      <c r="D5" s="16"/>
      <c r="E5" s="16"/>
      <c r="F5" s="17"/>
      <c r="G5" s="17"/>
      <c r="H5" s="18"/>
      <c r="I5" s="18"/>
      <c r="J5" s="288"/>
      <c r="K5" s="16"/>
      <c r="L5" s="16"/>
      <c r="M5" s="16"/>
      <c r="N5" s="16"/>
      <c r="O5" s="1989" t="s">
        <v>118</v>
      </c>
      <c r="P5" s="1989"/>
      <c r="Q5" s="1989"/>
      <c r="R5" s="1989"/>
      <c r="S5" s="1990"/>
    </row>
    <row r="6" spans="1:19" s="41" customFormat="1" ht="30" customHeight="1" x14ac:dyDescent="0.2">
      <c r="A6" s="1991" t="s">
        <v>18</v>
      </c>
      <c r="B6" s="1994" t="s">
        <v>0</v>
      </c>
      <c r="C6" s="1994" t="s">
        <v>1</v>
      </c>
      <c r="D6" s="1994" t="s">
        <v>27</v>
      </c>
      <c r="E6" s="2000" t="s">
        <v>12</v>
      </c>
      <c r="F6" s="1964" t="s">
        <v>2</v>
      </c>
      <c r="G6" s="2229" t="s">
        <v>124</v>
      </c>
      <c r="H6" s="1967" t="s">
        <v>3</v>
      </c>
      <c r="I6" s="2232" t="s">
        <v>64</v>
      </c>
      <c r="J6" s="1970" t="s">
        <v>4</v>
      </c>
      <c r="K6" s="2235" t="s">
        <v>365</v>
      </c>
      <c r="L6" s="2235" t="s">
        <v>397</v>
      </c>
      <c r="M6" s="2235" t="s">
        <v>215</v>
      </c>
      <c r="N6" s="2235" t="s">
        <v>379</v>
      </c>
      <c r="O6" s="1957" t="s">
        <v>11</v>
      </c>
      <c r="P6" s="1958"/>
      <c r="Q6" s="1958"/>
      <c r="R6" s="1958"/>
      <c r="S6" s="1959"/>
    </row>
    <row r="7" spans="1:19" s="41" customFormat="1" ht="18.75" customHeight="1" x14ac:dyDescent="0.2">
      <c r="A7" s="1992"/>
      <c r="B7" s="1995"/>
      <c r="C7" s="1995"/>
      <c r="D7" s="1995"/>
      <c r="E7" s="2001"/>
      <c r="F7" s="1965"/>
      <c r="G7" s="2230"/>
      <c r="H7" s="1968"/>
      <c r="I7" s="2233"/>
      <c r="J7" s="1971"/>
      <c r="K7" s="2236"/>
      <c r="L7" s="2236"/>
      <c r="M7" s="2236"/>
      <c r="N7" s="2236"/>
      <c r="O7" s="1960" t="s">
        <v>12</v>
      </c>
      <c r="P7" s="1962"/>
      <c r="Q7" s="1962"/>
      <c r="R7" s="1962"/>
      <c r="S7" s="1963"/>
    </row>
    <row r="8" spans="1:19" s="41" customFormat="1" ht="63" customHeight="1" thickBot="1" x14ac:dyDescent="0.25">
      <c r="A8" s="1993"/>
      <c r="B8" s="1996"/>
      <c r="C8" s="1996"/>
      <c r="D8" s="1996"/>
      <c r="E8" s="2002"/>
      <c r="F8" s="1966"/>
      <c r="G8" s="2231"/>
      <c r="H8" s="1969"/>
      <c r="I8" s="2234"/>
      <c r="J8" s="1972"/>
      <c r="K8" s="2237"/>
      <c r="L8" s="2237"/>
      <c r="M8" s="2237"/>
      <c r="N8" s="2237"/>
      <c r="O8" s="1961"/>
      <c r="P8" s="176" t="s">
        <v>107</v>
      </c>
      <c r="Q8" s="176" t="s">
        <v>156</v>
      </c>
      <c r="R8" s="176" t="s">
        <v>216</v>
      </c>
      <c r="S8" s="177" t="s">
        <v>380</v>
      </c>
    </row>
    <row r="9" spans="1:19" s="10" customFormat="1" ht="14.25" customHeight="1" x14ac:dyDescent="0.2">
      <c r="A9" s="2003" t="s">
        <v>63</v>
      </c>
      <c r="B9" s="2004"/>
      <c r="C9" s="2004"/>
      <c r="D9" s="2004"/>
      <c r="E9" s="2004"/>
      <c r="F9" s="2004"/>
      <c r="G9" s="2004"/>
      <c r="H9" s="2004"/>
      <c r="I9" s="2004"/>
      <c r="J9" s="2004"/>
      <c r="K9" s="2004"/>
      <c r="L9" s="2004"/>
      <c r="M9" s="2004"/>
      <c r="N9" s="2004"/>
      <c r="O9" s="2004"/>
      <c r="P9" s="2004"/>
      <c r="Q9" s="2004"/>
      <c r="R9" s="2004"/>
      <c r="S9" s="2005"/>
    </row>
    <row r="10" spans="1:19" s="10" customFormat="1" ht="14.25" customHeight="1" x14ac:dyDescent="0.2">
      <c r="A10" s="2006" t="s">
        <v>26</v>
      </c>
      <c r="B10" s="2007"/>
      <c r="C10" s="2007"/>
      <c r="D10" s="2007"/>
      <c r="E10" s="2007"/>
      <c r="F10" s="2007"/>
      <c r="G10" s="2007"/>
      <c r="H10" s="2007"/>
      <c r="I10" s="2007"/>
      <c r="J10" s="2007"/>
      <c r="K10" s="2007"/>
      <c r="L10" s="2007"/>
      <c r="M10" s="2007"/>
      <c r="N10" s="2007"/>
      <c r="O10" s="2007"/>
      <c r="P10" s="2007"/>
      <c r="Q10" s="2007"/>
      <c r="R10" s="2007"/>
      <c r="S10" s="2008"/>
    </row>
    <row r="11" spans="1:19" ht="16.5" customHeight="1" x14ac:dyDescent="0.2">
      <c r="A11" s="20" t="s">
        <v>5</v>
      </c>
      <c r="B11" s="2009" t="s">
        <v>30</v>
      </c>
      <c r="C11" s="2010"/>
      <c r="D11" s="2010"/>
      <c r="E11" s="2010"/>
      <c r="F11" s="2010"/>
      <c r="G11" s="2010"/>
      <c r="H11" s="2010"/>
      <c r="I11" s="2010"/>
      <c r="J11" s="2010"/>
      <c r="K11" s="2010"/>
      <c r="L11" s="2010"/>
      <c r="M11" s="2010"/>
      <c r="N11" s="2010"/>
      <c r="O11" s="2010"/>
      <c r="P11" s="2010"/>
      <c r="Q11" s="2010"/>
      <c r="R11" s="2010"/>
      <c r="S11" s="2011"/>
    </row>
    <row r="12" spans="1:19" ht="15" customHeight="1" x14ac:dyDescent="0.2">
      <c r="A12" s="287" t="s">
        <v>5</v>
      </c>
      <c r="B12" s="13" t="s">
        <v>5</v>
      </c>
      <c r="C12" s="2012" t="s">
        <v>31</v>
      </c>
      <c r="D12" s="2013"/>
      <c r="E12" s="2013"/>
      <c r="F12" s="2013"/>
      <c r="G12" s="2013"/>
      <c r="H12" s="2013"/>
      <c r="I12" s="2013"/>
      <c r="J12" s="2013"/>
      <c r="K12" s="2013"/>
      <c r="L12" s="2013"/>
      <c r="M12" s="2013"/>
      <c r="N12" s="2013"/>
      <c r="O12" s="2013"/>
      <c r="P12" s="2013"/>
      <c r="Q12" s="2013"/>
      <c r="R12" s="2013"/>
      <c r="S12" s="2014"/>
    </row>
    <row r="13" spans="1:19" ht="35.25" customHeight="1" x14ac:dyDescent="0.2">
      <c r="A13" s="284" t="s">
        <v>5</v>
      </c>
      <c r="B13" s="285" t="s">
        <v>5</v>
      </c>
      <c r="C13" s="454" t="s">
        <v>5</v>
      </c>
      <c r="D13" s="262"/>
      <c r="E13" s="59" t="s">
        <v>49</v>
      </c>
      <c r="F13" s="241" t="s">
        <v>90</v>
      </c>
      <c r="G13" s="242"/>
      <c r="H13" s="286" t="s">
        <v>43</v>
      </c>
      <c r="I13" s="38"/>
      <c r="J13" s="192"/>
      <c r="K13" s="606"/>
      <c r="L13" s="606"/>
      <c r="M13" s="607"/>
      <c r="N13" s="606"/>
      <c r="O13" s="24"/>
      <c r="P13" s="12"/>
      <c r="Q13" s="12"/>
      <c r="R13" s="1405"/>
      <c r="S13" s="1416"/>
    </row>
    <row r="14" spans="1:19" ht="27.75" customHeight="1" x14ac:dyDescent="0.2">
      <c r="A14" s="1837"/>
      <c r="B14" s="1832"/>
      <c r="C14" s="2165"/>
      <c r="D14" s="2169" t="s">
        <v>5</v>
      </c>
      <c r="E14" s="2015" t="s">
        <v>172</v>
      </c>
      <c r="F14" s="370" t="s">
        <v>47</v>
      </c>
      <c r="G14" s="2240" t="s">
        <v>145</v>
      </c>
      <c r="H14" s="1833"/>
      <c r="I14" s="2241" t="s">
        <v>73</v>
      </c>
      <c r="J14" s="376" t="s">
        <v>105</v>
      </c>
      <c r="K14" s="312">
        <v>557.70000000000005</v>
      </c>
      <c r="L14" s="312"/>
      <c r="M14" s="141"/>
      <c r="N14" s="60"/>
      <c r="O14" s="682" t="s">
        <v>188</v>
      </c>
      <c r="P14" s="446" t="s">
        <v>268</v>
      </c>
      <c r="Q14" s="805"/>
      <c r="R14" s="583"/>
      <c r="S14" s="584"/>
    </row>
    <row r="15" spans="1:19" ht="13.5" customHeight="1" x14ac:dyDescent="0.2">
      <c r="A15" s="1837"/>
      <c r="B15" s="1832"/>
      <c r="C15" s="2165"/>
      <c r="D15" s="1736"/>
      <c r="E15" s="1975"/>
      <c r="F15" s="1951" t="s">
        <v>117</v>
      </c>
      <c r="G15" s="2238"/>
      <c r="H15" s="1833"/>
      <c r="I15" s="2128"/>
      <c r="J15" s="50"/>
      <c r="K15" s="70"/>
      <c r="L15" s="70"/>
      <c r="M15" s="108"/>
      <c r="N15" s="68"/>
      <c r="O15" s="1953" t="s">
        <v>392</v>
      </c>
      <c r="P15" s="475" t="s">
        <v>56</v>
      </c>
      <c r="Q15" s="707"/>
      <c r="R15" s="585"/>
      <c r="S15" s="586"/>
    </row>
    <row r="16" spans="1:19" ht="19.5" customHeight="1" x14ac:dyDescent="0.2">
      <c r="A16" s="1837"/>
      <c r="B16" s="1832"/>
      <c r="C16" s="2165"/>
      <c r="D16" s="1736"/>
      <c r="E16" s="1932"/>
      <c r="F16" s="1952"/>
      <c r="G16" s="2238"/>
      <c r="H16" s="1833"/>
      <c r="I16" s="2129"/>
      <c r="J16" s="49"/>
      <c r="K16" s="63"/>
      <c r="L16" s="63"/>
      <c r="M16" s="170"/>
      <c r="N16" s="67"/>
      <c r="O16" s="1935"/>
      <c r="P16" s="387"/>
      <c r="Q16" s="51"/>
      <c r="R16" s="388"/>
      <c r="S16" s="587"/>
    </row>
    <row r="17" spans="1:20" ht="15" customHeight="1" x14ac:dyDescent="0.2">
      <c r="A17" s="1837"/>
      <c r="B17" s="1832"/>
      <c r="C17" s="2165"/>
      <c r="D17" s="2169" t="s">
        <v>7</v>
      </c>
      <c r="E17" s="1826" t="s">
        <v>200</v>
      </c>
      <c r="F17" s="370" t="s">
        <v>47</v>
      </c>
      <c r="G17" s="2208" t="s">
        <v>226</v>
      </c>
      <c r="H17" s="1877"/>
      <c r="I17" s="2128" t="s">
        <v>72</v>
      </c>
      <c r="J17" s="92" t="s">
        <v>25</v>
      </c>
      <c r="K17" s="680">
        <f>25-25</f>
        <v>0</v>
      </c>
      <c r="L17" s="68">
        <v>33</v>
      </c>
      <c r="M17" s="1227">
        <v>25</v>
      </c>
      <c r="N17" s="68">
        <v>300</v>
      </c>
      <c r="O17" s="810" t="s">
        <v>46</v>
      </c>
      <c r="P17" s="708"/>
      <c r="Q17" s="709"/>
      <c r="R17" s="1668">
        <v>1</v>
      </c>
      <c r="S17" s="710"/>
    </row>
    <row r="18" spans="1:20" ht="18.75" customHeight="1" x14ac:dyDescent="0.2">
      <c r="A18" s="1837"/>
      <c r="B18" s="1832"/>
      <c r="C18" s="2165"/>
      <c r="D18" s="1736"/>
      <c r="E18" s="1827"/>
      <c r="F18" s="1951" t="s">
        <v>117</v>
      </c>
      <c r="G18" s="2208"/>
      <c r="H18" s="1877"/>
      <c r="I18" s="2128"/>
      <c r="J18" s="92"/>
      <c r="K18" s="68"/>
      <c r="L18" s="68"/>
      <c r="M18" s="108"/>
      <c r="N18" s="68"/>
      <c r="O18" s="857"/>
      <c r="P18" s="906"/>
      <c r="Q18" s="907"/>
      <c r="R18" s="907"/>
      <c r="S18" s="908"/>
    </row>
    <row r="19" spans="1:20" ht="18" customHeight="1" x14ac:dyDescent="0.2">
      <c r="A19" s="1837"/>
      <c r="B19" s="1832"/>
      <c r="C19" s="2165"/>
      <c r="D19" s="2205"/>
      <c r="E19" s="1828"/>
      <c r="F19" s="1952"/>
      <c r="G19" s="2242"/>
      <c r="H19" s="1877"/>
      <c r="I19" s="2244"/>
      <c r="J19" s="95"/>
      <c r="K19" s="67"/>
      <c r="L19" s="611"/>
      <c r="M19" s="613"/>
      <c r="N19" s="611"/>
      <c r="O19" s="815"/>
      <c r="P19" s="22"/>
      <c r="Q19" s="51"/>
      <c r="R19" s="183"/>
      <c r="S19" s="33"/>
    </row>
    <row r="20" spans="1:20" ht="18.75" customHeight="1" x14ac:dyDescent="0.2">
      <c r="A20" s="289"/>
      <c r="B20" s="291"/>
      <c r="C20" s="465"/>
      <c r="D20" s="450" t="s">
        <v>28</v>
      </c>
      <c r="E20" s="1827" t="s">
        <v>295</v>
      </c>
      <c r="F20" s="370" t="s">
        <v>47</v>
      </c>
      <c r="G20" s="2238" t="s">
        <v>224</v>
      </c>
      <c r="H20" s="97"/>
      <c r="I20" s="2244"/>
      <c r="J20" s="92" t="s">
        <v>25</v>
      </c>
      <c r="K20" s="68">
        <v>1</v>
      </c>
      <c r="L20" s="68">
        <v>150</v>
      </c>
      <c r="M20" s="1227">
        <v>579.9</v>
      </c>
      <c r="N20" s="68"/>
      <c r="O20" s="1946" t="s">
        <v>192</v>
      </c>
      <c r="P20" s="591">
        <v>1</v>
      </c>
      <c r="Q20" s="182"/>
      <c r="R20" s="490"/>
      <c r="S20" s="408"/>
    </row>
    <row r="21" spans="1:20" ht="24" customHeight="1" x14ac:dyDescent="0.2">
      <c r="A21" s="289"/>
      <c r="B21" s="291"/>
      <c r="C21" s="465"/>
      <c r="D21" s="450"/>
      <c r="E21" s="1827"/>
      <c r="F21" s="1948" t="s">
        <v>117</v>
      </c>
      <c r="G21" s="2238"/>
      <c r="H21" s="97"/>
      <c r="I21" s="803"/>
      <c r="J21" s="92" t="s">
        <v>62</v>
      </c>
      <c r="K21" s="680">
        <v>1.5</v>
      </c>
      <c r="L21" s="68"/>
      <c r="M21" s="108"/>
      <c r="N21" s="68"/>
      <c r="O21" s="1947"/>
      <c r="P21" s="591"/>
      <c r="Q21" s="182"/>
      <c r="R21" s="490"/>
      <c r="S21" s="408"/>
    </row>
    <row r="22" spans="1:20" ht="27.75" customHeight="1" x14ac:dyDescent="0.2">
      <c r="A22" s="289"/>
      <c r="B22" s="291"/>
      <c r="C22" s="465"/>
      <c r="D22" s="450"/>
      <c r="E22" s="1827"/>
      <c r="F22" s="1949"/>
      <c r="G22" s="2238"/>
      <c r="H22" s="97"/>
      <c r="I22" s="803"/>
      <c r="J22" s="92"/>
      <c r="K22" s="68"/>
      <c r="L22" s="68"/>
      <c r="M22" s="108"/>
      <c r="N22" s="68"/>
      <c r="O22" s="589" t="s">
        <v>193</v>
      </c>
      <c r="P22" s="590"/>
      <c r="Q22" s="221">
        <v>1</v>
      </c>
      <c r="R22" s="221"/>
      <c r="S22" s="118"/>
    </row>
    <row r="23" spans="1:20" ht="20.25" customHeight="1" x14ac:dyDescent="0.2">
      <c r="A23" s="289"/>
      <c r="B23" s="291"/>
      <c r="C23" s="465"/>
      <c r="D23" s="369"/>
      <c r="E23" s="1828"/>
      <c r="F23" s="1950"/>
      <c r="G23" s="2239"/>
      <c r="H23" s="97"/>
      <c r="I23" s="803"/>
      <c r="J23" s="145"/>
      <c r="K23" s="67"/>
      <c r="L23" s="67"/>
      <c r="M23" s="170"/>
      <c r="N23" s="67"/>
      <c r="O23" s="683" t="s">
        <v>194</v>
      </c>
      <c r="P23" s="22"/>
      <c r="Q23" s="51">
        <v>20</v>
      </c>
      <c r="R23" s="1140">
        <v>100</v>
      </c>
      <c r="S23" s="378"/>
    </row>
    <row r="24" spans="1:20" ht="15" customHeight="1" x14ac:dyDescent="0.2">
      <c r="A24" s="1837"/>
      <c r="B24" s="1832"/>
      <c r="C24" s="2165"/>
      <c r="D24" s="2169" t="s">
        <v>33</v>
      </c>
      <c r="E24" s="1883" t="s">
        <v>296</v>
      </c>
      <c r="F24" s="806" t="s">
        <v>47</v>
      </c>
      <c r="G24" s="2243" t="s">
        <v>146</v>
      </c>
      <c r="H24" s="1877"/>
      <c r="I24" s="579"/>
      <c r="J24" s="96" t="s">
        <v>25</v>
      </c>
      <c r="K24" s="1423">
        <f>700-300-100</f>
        <v>300</v>
      </c>
      <c r="L24" s="1423">
        <f>1629.1+300+100</f>
        <v>2029.1</v>
      </c>
      <c r="M24" s="141"/>
      <c r="N24" s="60"/>
      <c r="O24" s="811" t="s">
        <v>217</v>
      </c>
      <c r="P24" s="624">
        <v>20</v>
      </c>
      <c r="Q24" s="658">
        <v>100</v>
      </c>
      <c r="R24" s="1141"/>
      <c r="S24" s="659"/>
    </row>
    <row r="25" spans="1:20" ht="8.25" customHeight="1" x14ac:dyDescent="0.2">
      <c r="A25" s="1837"/>
      <c r="B25" s="1832"/>
      <c r="C25" s="2165"/>
      <c r="D25" s="1736"/>
      <c r="E25" s="1770"/>
      <c r="F25" s="691"/>
      <c r="G25" s="2208"/>
      <c r="H25" s="1877"/>
      <c r="I25" s="579"/>
      <c r="J25" s="92"/>
      <c r="K25" s="68"/>
      <c r="L25" s="68"/>
      <c r="M25" s="108"/>
      <c r="N25" s="68"/>
      <c r="O25" s="811"/>
      <c r="P25" s="624"/>
      <c r="Q25" s="658"/>
      <c r="R25" s="226"/>
      <c r="S25" s="246"/>
    </row>
    <row r="26" spans="1:20" ht="17.25" customHeight="1" x14ac:dyDescent="0.2">
      <c r="A26" s="1837"/>
      <c r="B26" s="1832"/>
      <c r="C26" s="2165"/>
      <c r="D26" s="2205"/>
      <c r="E26" s="1838"/>
      <c r="F26" s="684"/>
      <c r="G26" s="2242"/>
      <c r="H26" s="1877"/>
      <c r="I26" s="579"/>
      <c r="J26" s="145"/>
      <c r="K26" s="67"/>
      <c r="L26" s="67"/>
      <c r="M26" s="170"/>
      <c r="N26" s="67"/>
      <c r="O26" s="599"/>
      <c r="P26" s="191"/>
      <c r="Q26" s="377"/>
      <c r="R26" s="1142"/>
      <c r="S26" s="379"/>
    </row>
    <row r="27" spans="1:20" ht="17.25" customHeight="1" x14ac:dyDescent="0.2">
      <c r="A27" s="289"/>
      <c r="B27" s="291"/>
      <c r="C27" s="465"/>
      <c r="D27" s="450" t="s">
        <v>34</v>
      </c>
      <c r="E27" s="1737" t="s">
        <v>306</v>
      </c>
      <c r="F27" s="1610" t="s">
        <v>47</v>
      </c>
      <c r="G27" s="2243" t="s">
        <v>227</v>
      </c>
      <c r="H27" s="808"/>
      <c r="I27" s="579"/>
      <c r="J27" s="92" t="s">
        <v>45</v>
      </c>
      <c r="K27" s="68">
        <v>31.2</v>
      </c>
      <c r="L27" s="197"/>
      <c r="M27" s="714"/>
      <c r="N27" s="197"/>
      <c r="O27" s="1373" t="s">
        <v>46</v>
      </c>
      <c r="P27" s="403"/>
      <c r="Q27" s="182">
        <v>1</v>
      </c>
      <c r="R27" s="182"/>
      <c r="S27" s="1376"/>
      <c r="T27" s="1613"/>
    </row>
    <row r="28" spans="1:20" ht="18" customHeight="1" x14ac:dyDescent="0.2">
      <c r="A28" s="289"/>
      <c r="B28" s="291"/>
      <c r="C28" s="464"/>
      <c r="D28" s="369"/>
      <c r="E28" s="1894"/>
      <c r="F28" s="1612" t="s">
        <v>403</v>
      </c>
      <c r="G28" s="2247"/>
      <c r="H28" s="808"/>
      <c r="I28" s="579"/>
      <c r="J28" s="95"/>
      <c r="K28" s="611"/>
      <c r="L28" s="55"/>
      <c r="M28" s="715"/>
      <c r="N28" s="55"/>
      <c r="O28" s="250"/>
      <c r="P28" s="22"/>
      <c r="Q28" s="51"/>
      <c r="R28" s="51"/>
      <c r="S28" s="23"/>
    </row>
    <row r="29" spans="1:20" ht="13.5" customHeight="1" x14ac:dyDescent="0.2">
      <c r="A29" s="289"/>
      <c r="B29" s="291"/>
      <c r="C29" s="465"/>
      <c r="D29" s="450" t="s">
        <v>35</v>
      </c>
      <c r="E29" s="1827" t="s">
        <v>207</v>
      </c>
      <c r="F29" s="809" t="s">
        <v>47</v>
      </c>
      <c r="G29" s="2238" t="s">
        <v>225</v>
      </c>
      <c r="H29" s="97"/>
      <c r="I29" s="301"/>
      <c r="J29" s="92" t="s">
        <v>25</v>
      </c>
      <c r="K29" s="608"/>
      <c r="L29" s="608"/>
      <c r="M29" s="610">
        <v>31</v>
      </c>
      <c r="N29" s="608"/>
      <c r="O29" s="810" t="s">
        <v>195</v>
      </c>
      <c r="P29" s="594"/>
      <c r="Q29" s="594"/>
      <c r="R29" s="1104">
        <v>1</v>
      </c>
      <c r="S29" s="1417"/>
    </row>
    <row r="30" spans="1:20" ht="23.25" customHeight="1" x14ac:dyDescent="0.2">
      <c r="A30" s="347"/>
      <c r="B30" s="348"/>
      <c r="C30" s="464"/>
      <c r="D30" s="369"/>
      <c r="E30" s="1828"/>
      <c r="F30" s="807"/>
      <c r="G30" s="2239"/>
      <c r="H30" s="97"/>
      <c r="I30" s="301"/>
      <c r="J30" s="145"/>
      <c r="K30" s="611"/>
      <c r="L30" s="611"/>
      <c r="M30" s="613"/>
      <c r="N30" s="611"/>
      <c r="O30" s="814"/>
      <c r="P30" s="598"/>
      <c r="Q30" s="598"/>
      <c r="R30" s="1105"/>
      <c r="S30" s="1418"/>
    </row>
    <row r="31" spans="1:20" ht="13.5" customHeight="1" x14ac:dyDescent="0.2">
      <c r="A31" s="289"/>
      <c r="B31" s="291"/>
      <c r="C31" s="458"/>
      <c r="D31" s="2169" t="s">
        <v>36</v>
      </c>
      <c r="E31" s="1854" t="s">
        <v>297</v>
      </c>
      <c r="F31" s="806" t="s">
        <v>47</v>
      </c>
      <c r="G31" s="2208" t="s">
        <v>125</v>
      </c>
      <c r="H31" s="1877"/>
      <c r="I31" s="579"/>
      <c r="J31" s="92" t="s">
        <v>25</v>
      </c>
      <c r="K31" s="608"/>
      <c r="L31" s="68">
        <v>25</v>
      </c>
      <c r="M31" s="108">
        <v>350</v>
      </c>
      <c r="N31" s="68"/>
      <c r="O31" s="804" t="s">
        <v>195</v>
      </c>
      <c r="P31" s="327"/>
      <c r="Q31" s="327">
        <v>1</v>
      </c>
      <c r="R31" s="381"/>
      <c r="S31" s="1376"/>
    </row>
    <row r="32" spans="1:20" ht="26.25" customHeight="1" x14ac:dyDescent="0.2">
      <c r="A32" s="289"/>
      <c r="B32" s="291"/>
      <c r="C32" s="458"/>
      <c r="D32" s="2205"/>
      <c r="E32" s="1894"/>
      <c r="F32" s="1602"/>
      <c r="G32" s="2250"/>
      <c r="H32" s="1877"/>
      <c r="I32" s="579"/>
      <c r="J32" s="95"/>
      <c r="K32" s="611"/>
      <c r="L32" s="67"/>
      <c r="M32" s="170"/>
      <c r="N32" s="67"/>
      <c r="O32" s="804" t="s">
        <v>371</v>
      </c>
      <c r="P32" s="327"/>
      <c r="Q32" s="327"/>
      <c r="R32" s="381">
        <v>100</v>
      </c>
      <c r="S32" s="1376"/>
    </row>
    <row r="33" spans="1:19" ht="27.75" customHeight="1" x14ac:dyDescent="0.2">
      <c r="A33" s="627"/>
      <c r="B33" s="628"/>
      <c r="C33" s="465"/>
      <c r="D33" s="629" t="s">
        <v>279</v>
      </c>
      <c r="E33" s="1827" t="s">
        <v>303</v>
      </c>
      <c r="F33" s="1610" t="s">
        <v>47</v>
      </c>
      <c r="G33" s="2238" t="s">
        <v>225</v>
      </c>
      <c r="H33" s="97"/>
      <c r="I33" s="301"/>
      <c r="J33" s="92" t="s">
        <v>25</v>
      </c>
      <c r="K33" s="68"/>
      <c r="L33" s="68">
        <v>19.5</v>
      </c>
      <c r="M33" s="610"/>
      <c r="N33" s="608"/>
      <c r="O33" s="810" t="s">
        <v>312</v>
      </c>
      <c r="P33" s="594"/>
      <c r="Q33" s="594">
        <v>1</v>
      </c>
      <c r="R33" s="1104"/>
      <c r="S33" s="1417"/>
    </row>
    <row r="34" spans="1:19" ht="22.5" customHeight="1" x14ac:dyDescent="0.2">
      <c r="A34" s="627"/>
      <c r="B34" s="628"/>
      <c r="C34" s="465"/>
      <c r="D34" s="629"/>
      <c r="E34" s="1827"/>
      <c r="F34" s="1610" t="s">
        <v>403</v>
      </c>
      <c r="G34" s="2238"/>
      <c r="H34" s="97"/>
      <c r="I34" s="302"/>
      <c r="J34" s="95"/>
      <c r="K34" s="611"/>
      <c r="L34" s="611"/>
      <c r="M34" s="613"/>
      <c r="N34" s="611"/>
      <c r="O34" s="802"/>
      <c r="P34" s="596"/>
      <c r="Q34" s="596"/>
      <c r="R34" s="1106"/>
      <c r="S34" s="1381"/>
    </row>
    <row r="35" spans="1:19" ht="17.25" customHeight="1" thickBot="1" x14ac:dyDescent="0.25">
      <c r="A35" s="75"/>
      <c r="B35" s="360"/>
      <c r="C35" s="214"/>
      <c r="D35" s="331"/>
      <c r="E35" s="455"/>
      <c r="F35" s="456"/>
      <c r="G35" s="457"/>
      <c r="H35" s="331"/>
      <c r="I35" s="440"/>
      <c r="J35" s="244" t="s">
        <v>6</v>
      </c>
      <c r="K35" s="156">
        <f>SUM(K14:K34)</f>
        <v>891.4</v>
      </c>
      <c r="L35" s="156">
        <f>SUM(L14:L34)</f>
        <v>2256.6</v>
      </c>
      <c r="M35" s="244">
        <f>SUM(M14:M34)</f>
        <v>985.9</v>
      </c>
      <c r="N35" s="156">
        <f>SUM(N14:N34)</f>
        <v>300</v>
      </c>
      <c r="O35" s="474"/>
      <c r="P35" s="461"/>
      <c r="Q35" s="462"/>
      <c r="R35" s="462"/>
      <c r="S35" s="463"/>
    </row>
    <row r="36" spans="1:19" ht="32.25" customHeight="1" x14ac:dyDescent="0.2">
      <c r="A36" s="357" t="s">
        <v>5</v>
      </c>
      <c r="B36" s="359" t="s">
        <v>5</v>
      </c>
      <c r="C36" s="459" t="s">
        <v>7</v>
      </c>
      <c r="D36" s="222"/>
      <c r="E36" s="119" t="s">
        <v>50</v>
      </c>
      <c r="F36" s="122" t="s">
        <v>93</v>
      </c>
      <c r="G36" s="112"/>
      <c r="H36" s="133" t="s">
        <v>43</v>
      </c>
      <c r="I36" s="247"/>
      <c r="J36" s="78"/>
      <c r="K36" s="615"/>
      <c r="L36" s="615"/>
      <c r="M36" s="614"/>
      <c r="N36" s="615"/>
      <c r="O36" s="72"/>
      <c r="P36" s="30"/>
      <c r="Q36" s="30"/>
      <c r="R36" s="1116"/>
      <c r="S36" s="1419"/>
    </row>
    <row r="37" spans="1:19" ht="39.75" customHeight="1" x14ac:dyDescent="0.2">
      <c r="A37" s="1939"/>
      <c r="B37" s="1832"/>
      <c r="C37" s="2165"/>
      <c r="D37" s="450" t="s">
        <v>5</v>
      </c>
      <c r="E37" s="1827" t="s">
        <v>293</v>
      </c>
      <c r="F37" s="681" t="s">
        <v>47</v>
      </c>
      <c r="G37" s="2245" t="s">
        <v>127</v>
      </c>
      <c r="H37" s="1833"/>
      <c r="I37" s="2128" t="s">
        <v>72</v>
      </c>
      <c r="J37" s="96" t="s">
        <v>106</v>
      </c>
      <c r="K37" s="60">
        <v>100</v>
      </c>
      <c r="L37" s="60">
        <v>300</v>
      </c>
      <c r="M37" s="141">
        <v>300</v>
      </c>
      <c r="N37" s="60"/>
      <c r="O37" s="47" t="s">
        <v>203</v>
      </c>
      <c r="P37" s="52">
        <v>1</v>
      </c>
      <c r="Q37" s="52"/>
      <c r="R37" s="1110"/>
      <c r="S37" s="117"/>
    </row>
    <row r="38" spans="1:19" ht="45" customHeight="1" x14ac:dyDescent="0.2">
      <c r="A38" s="1939"/>
      <c r="B38" s="1832"/>
      <c r="C38" s="2165"/>
      <c r="D38" s="449"/>
      <c r="E38" s="1827"/>
      <c r="F38" s="681"/>
      <c r="G38" s="2246"/>
      <c r="H38" s="1833"/>
      <c r="I38" s="2128"/>
      <c r="J38" s="92" t="s">
        <v>25</v>
      </c>
      <c r="K38" s="68">
        <f>1000-366.6</f>
        <v>633.4</v>
      </c>
      <c r="L38" s="68">
        <v>800</v>
      </c>
      <c r="M38" s="108">
        <v>800</v>
      </c>
      <c r="N38" s="68">
        <v>647</v>
      </c>
      <c r="O38" s="32" t="s">
        <v>270</v>
      </c>
      <c r="P38" s="52">
        <v>100</v>
      </c>
      <c r="Q38" s="52"/>
      <c r="R38" s="1110"/>
      <c r="S38" s="117"/>
    </row>
    <row r="39" spans="1:19" ht="30" customHeight="1" x14ac:dyDescent="0.2">
      <c r="A39" s="1939"/>
      <c r="B39" s="1832"/>
      <c r="C39" s="2165"/>
      <c r="D39" s="449"/>
      <c r="E39" s="1827"/>
      <c r="F39" s="681"/>
      <c r="G39" s="2246"/>
      <c r="H39" s="1833"/>
      <c r="I39" s="2128"/>
      <c r="J39" s="92" t="s">
        <v>105</v>
      </c>
      <c r="K39" s="68">
        <v>366.6</v>
      </c>
      <c r="L39" s="68"/>
      <c r="M39" s="108"/>
      <c r="N39" s="68"/>
      <c r="O39" s="32" t="s">
        <v>271</v>
      </c>
      <c r="P39" s="52">
        <v>40</v>
      </c>
      <c r="Q39" s="52">
        <v>100</v>
      </c>
      <c r="R39" s="1110"/>
      <c r="S39" s="117"/>
    </row>
    <row r="40" spans="1:19" ht="40.5" customHeight="1" x14ac:dyDescent="0.2">
      <c r="A40" s="1939"/>
      <c r="B40" s="1832"/>
      <c r="C40" s="2165"/>
      <c r="D40" s="449"/>
      <c r="E40" s="1827"/>
      <c r="F40" s="681"/>
      <c r="G40" s="2246"/>
      <c r="H40" s="1833"/>
      <c r="I40" s="2128"/>
      <c r="J40" s="92"/>
      <c r="K40" s="68"/>
      <c r="L40" s="68"/>
      <c r="M40" s="108"/>
      <c r="N40" s="68"/>
      <c r="O40" s="32" t="s">
        <v>272</v>
      </c>
      <c r="P40" s="52"/>
      <c r="Q40" s="52">
        <v>30</v>
      </c>
      <c r="R40" s="1110">
        <v>60</v>
      </c>
      <c r="S40" s="117"/>
    </row>
    <row r="41" spans="1:19" ht="24.75" customHeight="1" x14ac:dyDescent="0.2">
      <c r="A41" s="1939"/>
      <c r="B41" s="1832"/>
      <c r="C41" s="2165"/>
      <c r="D41" s="2169" t="s">
        <v>7</v>
      </c>
      <c r="E41" s="1826" t="s">
        <v>59</v>
      </c>
      <c r="F41" s="120" t="s">
        <v>47</v>
      </c>
      <c r="G41" s="2136" t="s">
        <v>126</v>
      </c>
      <c r="H41" s="1877"/>
      <c r="I41" s="136"/>
      <c r="J41" s="96" t="s">
        <v>106</v>
      </c>
      <c r="K41" s="60">
        <v>0</v>
      </c>
      <c r="L41" s="1423">
        <f>2200+650</f>
        <v>2850</v>
      </c>
      <c r="M41" s="1282">
        <f>1400+750</f>
        <v>2150</v>
      </c>
      <c r="N41" s="60"/>
      <c r="O41" s="1782" t="s">
        <v>197</v>
      </c>
      <c r="P41" s="1380">
        <v>0</v>
      </c>
      <c r="Q41" s="581">
        <v>70</v>
      </c>
      <c r="R41" s="1111">
        <v>100</v>
      </c>
      <c r="S41" s="1383"/>
    </row>
    <row r="42" spans="1:19" ht="12.75" customHeight="1" x14ac:dyDescent="0.2">
      <c r="A42" s="1939"/>
      <c r="B42" s="1832"/>
      <c r="C42" s="2165"/>
      <c r="D42" s="1736"/>
      <c r="E42" s="1827"/>
      <c r="F42" s="121"/>
      <c r="G42" s="2248"/>
      <c r="H42" s="1877"/>
      <c r="I42" s="136"/>
      <c r="J42" s="92" t="s">
        <v>25</v>
      </c>
      <c r="K42" s="680">
        <f>100-87.4</f>
        <v>12.6</v>
      </c>
      <c r="L42" s="680">
        <f>300+87.4</f>
        <v>387.4</v>
      </c>
      <c r="M42" s="108">
        <v>572.6</v>
      </c>
      <c r="N42" s="68"/>
      <c r="O42" s="1947"/>
      <c r="P42" s="489"/>
      <c r="Q42" s="489"/>
      <c r="R42" s="1118"/>
      <c r="S42" s="408"/>
    </row>
    <row r="43" spans="1:19" ht="9.75" customHeight="1" x14ac:dyDescent="0.2">
      <c r="A43" s="1939"/>
      <c r="B43" s="1832"/>
      <c r="C43" s="2165"/>
      <c r="D43" s="2205"/>
      <c r="E43" s="1828"/>
      <c r="F43" s="121"/>
      <c r="G43" s="2249"/>
      <c r="H43" s="1877"/>
      <c r="I43" s="136"/>
      <c r="J43" s="145"/>
      <c r="K43" s="67"/>
      <c r="L43" s="67"/>
      <c r="M43" s="170"/>
      <c r="N43" s="67"/>
      <c r="O43" s="303"/>
      <c r="P43" s="48"/>
      <c r="Q43" s="48"/>
      <c r="R43" s="1112"/>
      <c r="S43" s="33"/>
    </row>
    <row r="44" spans="1:19" ht="17.25" customHeight="1" x14ac:dyDescent="0.2">
      <c r="A44" s="347"/>
      <c r="B44" s="348"/>
      <c r="C44" s="468"/>
      <c r="D44" s="2169" t="s">
        <v>28</v>
      </c>
      <c r="E44" s="1826" t="s">
        <v>298</v>
      </c>
      <c r="F44" s="1936" t="s">
        <v>47</v>
      </c>
      <c r="G44" s="2206" t="s">
        <v>228</v>
      </c>
      <c r="H44" s="1938"/>
      <c r="I44" s="2201"/>
      <c r="J44" s="96" t="s">
        <v>25</v>
      </c>
      <c r="K44" s="70">
        <v>6.2</v>
      </c>
      <c r="L44" s="70"/>
      <c r="M44" s="424"/>
      <c r="N44" s="70">
        <v>200</v>
      </c>
      <c r="O44" s="600" t="s">
        <v>98</v>
      </c>
      <c r="P44" s="601">
        <v>1</v>
      </c>
      <c r="Q44" s="569"/>
      <c r="R44" s="1378"/>
      <c r="S44" s="1403"/>
    </row>
    <row r="45" spans="1:19" ht="21.75" customHeight="1" x14ac:dyDescent="0.2">
      <c r="A45" s="347"/>
      <c r="B45" s="348"/>
      <c r="C45" s="468"/>
      <c r="D45" s="2205"/>
      <c r="E45" s="1827"/>
      <c r="F45" s="2101"/>
      <c r="G45" s="2251"/>
      <c r="H45" s="1938"/>
      <c r="I45" s="2201"/>
      <c r="J45" s="830" t="s">
        <v>62</v>
      </c>
      <c r="K45" s="1424">
        <v>5.9</v>
      </c>
      <c r="L45" s="686"/>
      <c r="M45" s="685"/>
      <c r="N45" s="686"/>
      <c r="O45" s="813"/>
      <c r="P45" s="588"/>
      <c r="Q45" s="591"/>
      <c r="R45" s="381"/>
      <c r="S45" s="1376"/>
    </row>
    <row r="46" spans="1:19" ht="17.25" customHeight="1" x14ac:dyDescent="0.2">
      <c r="A46" s="632"/>
      <c r="B46" s="643"/>
      <c r="C46" s="468"/>
      <c r="D46" s="635" t="s">
        <v>33</v>
      </c>
      <c r="E46" s="1883" t="s">
        <v>288</v>
      </c>
      <c r="F46" s="648"/>
      <c r="G46" s="649"/>
      <c r="H46" s="645"/>
      <c r="I46" s="636"/>
      <c r="J46" s="1713" t="s">
        <v>25</v>
      </c>
      <c r="K46" s="1423">
        <f>5-5</f>
        <v>0</v>
      </c>
      <c r="L46" s="60">
        <f>30+5</f>
        <v>35</v>
      </c>
      <c r="M46" s="141">
        <v>70</v>
      </c>
      <c r="N46" s="60"/>
      <c r="O46" s="647" t="s">
        <v>313</v>
      </c>
      <c r="P46" s="655">
        <v>1</v>
      </c>
      <c r="Q46" s="569"/>
      <c r="R46" s="1378"/>
      <c r="S46" s="1403"/>
    </row>
    <row r="47" spans="1:19" ht="17.25" customHeight="1" x14ac:dyDescent="0.2">
      <c r="A47" s="632"/>
      <c r="B47" s="643"/>
      <c r="C47" s="468"/>
      <c r="D47" s="635"/>
      <c r="E47" s="1940"/>
      <c r="F47" s="648"/>
      <c r="G47" s="649"/>
      <c r="H47" s="645"/>
      <c r="I47" s="636"/>
      <c r="J47" s="1412"/>
      <c r="K47" s="67"/>
      <c r="L47" s="67"/>
      <c r="M47" s="170"/>
      <c r="N47" s="67"/>
      <c r="O47" s="656" t="s">
        <v>46</v>
      </c>
      <c r="P47" s="657"/>
      <c r="Q47" s="603"/>
      <c r="R47" s="383">
        <v>1</v>
      </c>
      <c r="S47" s="23"/>
    </row>
    <row r="48" spans="1:19" ht="16.5" customHeight="1" x14ac:dyDescent="0.2">
      <c r="A48" s="627"/>
      <c r="B48" s="628"/>
      <c r="C48" s="468"/>
      <c r="D48" s="2169" t="s">
        <v>34</v>
      </c>
      <c r="E48" s="1826" t="s">
        <v>280</v>
      </c>
      <c r="F48" s="1936" t="s">
        <v>47</v>
      </c>
      <c r="G48" s="2206" t="s">
        <v>228</v>
      </c>
      <c r="H48" s="1938"/>
      <c r="I48" s="2201"/>
      <c r="J48" s="92" t="s">
        <v>45</v>
      </c>
      <c r="K48" s="70"/>
      <c r="L48" s="70"/>
      <c r="M48" s="424">
        <v>95</v>
      </c>
      <c r="N48" s="70"/>
      <c r="O48" s="646" t="s">
        <v>98</v>
      </c>
      <c r="P48" s="588"/>
      <c r="Q48" s="591"/>
      <c r="R48" s="381">
        <v>1</v>
      </c>
      <c r="S48" s="1376"/>
    </row>
    <row r="49" spans="1:21" ht="17.25" customHeight="1" x14ac:dyDescent="0.2">
      <c r="A49" s="627"/>
      <c r="B49" s="628"/>
      <c r="C49" s="468"/>
      <c r="D49" s="1736"/>
      <c r="E49" s="1827"/>
      <c r="F49" s="1937"/>
      <c r="G49" s="2207"/>
      <c r="H49" s="1938"/>
      <c r="I49" s="2202"/>
      <c r="J49" s="1412"/>
      <c r="K49" s="67"/>
      <c r="L49" s="67"/>
      <c r="M49" s="170"/>
      <c r="N49" s="67"/>
      <c r="O49" s="654"/>
      <c r="P49" s="588"/>
      <c r="Q49" s="591"/>
      <c r="R49" s="381"/>
      <c r="S49" s="1376"/>
    </row>
    <row r="50" spans="1:21" ht="16.5" customHeight="1" thickBot="1" x14ac:dyDescent="0.25">
      <c r="A50" s="75"/>
      <c r="B50" s="360"/>
      <c r="C50" s="214"/>
      <c r="D50" s="331"/>
      <c r="E50" s="455"/>
      <c r="F50" s="456"/>
      <c r="G50" s="457"/>
      <c r="H50" s="331"/>
      <c r="I50" s="257"/>
      <c r="J50" s="211" t="s">
        <v>6</v>
      </c>
      <c r="K50" s="98">
        <f>SUM(K37:K49)</f>
        <v>1124.7</v>
      </c>
      <c r="L50" s="98">
        <f>SUM(L37:L49)</f>
        <v>4372.3999999999996</v>
      </c>
      <c r="M50" s="331">
        <f t="shared" ref="M50" si="0">SUM(M37:M49)</f>
        <v>3987.6</v>
      </c>
      <c r="N50" s="98">
        <f t="shared" ref="N50" si="1">SUM(N37:N49)</f>
        <v>847</v>
      </c>
      <c r="O50" s="460"/>
      <c r="P50" s="461"/>
      <c r="Q50" s="462"/>
      <c r="R50" s="462"/>
      <c r="S50" s="463"/>
    </row>
    <row r="51" spans="1:21" ht="36" customHeight="1" x14ac:dyDescent="0.2">
      <c r="A51" s="289" t="s">
        <v>5</v>
      </c>
      <c r="B51" s="322" t="s">
        <v>5</v>
      </c>
      <c r="C51" s="574" t="s">
        <v>28</v>
      </c>
      <c r="D51" s="270"/>
      <c r="E51" s="272" t="s">
        <v>101</v>
      </c>
      <c r="F51" s="332" t="s">
        <v>95</v>
      </c>
      <c r="G51" s="113"/>
      <c r="H51" s="333" t="s">
        <v>43</v>
      </c>
      <c r="I51" s="273"/>
      <c r="J51" s="666"/>
      <c r="K51" s="665"/>
      <c r="L51" s="711"/>
      <c r="M51" s="271"/>
      <c r="N51" s="665"/>
      <c r="O51" s="334"/>
      <c r="P51" s="7"/>
      <c r="Q51" s="57"/>
      <c r="R51" s="184"/>
      <c r="S51" s="380"/>
    </row>
    <row r="52" spans="1:21" ht="14.1" customHeight="1" x14ac:dyDescent="0.2">
      <c r="A52" s="1837"/>
      <c r="B52" s="1888"/>
      <c r="C52" s="2165"/>
      <c r="D52" s="2210" t="s">
        <v>5</v>
      </c>
      <c r="E52" s="1883" t="s">
        <v>177</v>
      </c>
      <c r="F52" s="1898" t="s">
        <v>47</v>
      </c>
      <c r="G52" s="2240" t="s">
        <v>147</v>
      </c>
      <c r="H52" s="2210"/>
      <c r="I52" s="2203" t="s">
        <v>73</v>
      </c>
      <c r="J52" s="96" t="s">
        <v>106</v>
      </c>
      <c r="K52" s="1425">
        <f>860-300</f>
        <v>560</v>
      </c>
      <c r="L52" s="312">
        <v>1000</v>
      </c>
      <c r="M52" s="141"/>
      <c r="N52" s="60"/>
      <c r="O52" s="1779"/>
      <c r="P52" s="642"/>
      <c r="Q52" s="651"/>
      <c r="R52" s="1374"/>
      <c r="S52" s="1403"/>
    </row>
    <row r="53" spans="1:21" ht="14.1" customHeight="1" x14ac:dyDescent="0.2">
      <c r="A53" s="1837"/>
      <c r="B53" s="1888"/>
      <c r="C53" s="2165"/>
      <c r="D53" s="1833"/>
      <c r="E53" s="1932"/>
      <c r="F53" s="1895"/>
      <c r="G53" s="2238"/>
      <c r="H53" s="1833"/>
      <c r="I53" s="2253"/>
      <c r="J53" s="92" t="s">
        <v>25</v>
      </c>
      <c r="K53" s="70">
        <f>618.4-420</f>
        <v>198.4</v>
      </c>
      <c r="L53" s="1424">
        <v>875.5</v>
      </c>
      <c r="M53" s="1310">
        <v>1280.8</v>
      </c>
      <c r="N53" s="70"/>
      <c r="O53" s="1915"/>
      <c r="P53" s="182"/>
      <c r="Q53" s="182"/>
      <c r="R53" s="182"/>
      <c r="S53" s="1376"/>
    </row>
    <row r="54" spans="1:21" ht="14.1" customHeight="1" x14ac:dyDescent="0.2">
      <c r="A54" s="1837"/>
      <c r="B54" s="1888"/>
      <c r="C54" s="2165"/>
      <c r="D54" s="1833"/>
      <c r="E54" s="638"/>
      <c r="F54" s="1895"/>
      <c r="G54" s="2238"/>
      <c r="H54" s="1833"/>
      <c r="I54" s="2253"/>
      <c r="J54" s="92" t="s">
        <v>376</v>
      </c>
      <c r="K54" s="68">
        <v>984.5</v>
      </c>
      <c r="L54" s="68">
        <v>846.2</v>
      </c>
      <c r="M54" s="108">
        <v>149.9</v>
      </c>
      <c r="N54" s="68"/>
      <c r="O54" s="637"/>
      <c r="P54" s="182"/>
      <c r="Q54" s="182"/>
      <c r="R54" s="182"/>
      <c r="S54" s="1376"/>
    </row>
    <row r="55" spans="1:21" ht="14.1" customHeight="1" x14ac:dyDescent="0.2">
      <c r="A55" s="1837"/>
      <c r="B55" s="1888"/>
      <c r="C55" s="2165"/>
      <c r="D55" s="1833"/>
      <c r="E55" s="638"/>
      <c r="F55" s="1895"/>
      <c r="G55" s="2238"/>
      <c r="H55" s="1833"/>
      <c r="I55" s="2253"/>
      <c r="J55" s="92" t="s">
        <v>48</v>
      </c>
      <c r="K55" s="680">
        <f>300-182.4</f>
        <v>117.6</v>
      </c>
      <c r="L55" s="680">
        <v>182.4</v>
      </c>
      <c r="M55" s="1227">
        <v>0</v>
      </c>
      <c r="N55" s="68"/>
      <c r="O55" s="637"/>
      <c r="P55" s="182"/>
      <c r="Q55" s="182"/>
      <c r="R55" s="182"/>
      <c r="S55" s="1376"/>
    </row>
    <row r="56" spans="1:21" ht="14.1" customHeight="1" x14ac:dyDescent="0.2">
      <c r="A56" s="1837"/>
      <c r="B56" s="1888"/>
      <c r="C56" s="2165"/>
      <c r="D56" s="1833"/>
      <c r="E56" s="638"/>
      <c r="F56" s="1895"/>
      <c r="G56" s="2238"/>
      <c r="H56" s="1833"/>
      <c r="I56" s="2253"/>
      <c r="J56" s="92" t="s">
        <v>45</v>
      </c>
      <c r="K56" s="68"/>
      <c r="L56" s="68">
        <v>150</v>
      </c>
      <c r="M56" s="108"/>
      <c r="N56" s="68"/>
      <c r="O56" s="637"/>
      <c r="P56" s="182"/>
      <c r="Q56" s="182"/>
      <c r="R56" s="182"/>
      <c r="S56" s="1376"/>
    </row>
    <row r="57" spans="1:21" ht="14.1" customHeight="1" x14ac:dyDescent="0.2">
      <c r="A57" s="1837"/>
      <c r="B57" s="1888"/>
      <c r="C57" s="2165"/>
      <c r="D57" s="1833"/>
      <c r="E57" s="638"/>
      <c r="F57" s="1895"/>
      <c r="G57" s="2238"/>
      <c r="H57" s="1833"/>
      <c r="I57" s="2253"/>
      <c r="J57" s="92" t="s">
        <v>62</v>
      </c>
      <c r="K57" s="680">
        <f>420-260</f>
        <v>160</v>
      </c>
      <c r="L57" s="68"/>
      <c r="M57" s="108"/>
      <c r="N57" s="68"/>
      <c r="O57" s="637"/>
      <c r="P57" s="182"/>
      <c r="Q57" s="182"/>
      <c r="R57" s="182"/>
      <c r="S57" s="1376"/>
    </row>
    <row r="58" spans="1:21" ht="25.5" customHeight="1" x14ac:dyDescent="0.2">
      <c r="A58" s="1837"/>
      <c r="B58" s="1888"/>
      <c r="C58" s="2165"/>
      <c r="D58" s="1833"/>
      <c r="E58" s="660" t="s">
        <v>201</v>
      </c>
      <c r="F58" s="1895"/>
      <c r="G58" s="2238"/>
      <c r="H58" s="1833"/>
      <c r="I58" s="2253"/>
      <c r="J58" s="155"/>
      <c r="K58" s="65"/>
      <c r="L58" s="65"/>
      <c r="M58" s="223"/>
      <c r="N58" s="65"/>
      <c r="O58" s="94" t="s">
        <v>273</v>
      </c>
      <c r="P58" s="27">
        <v>80</v>
      </c>
      <c r="Q58" s="193">
        <v>100</v>
      </c>
      <c r="R58" s="193"/>
      <c r="S58" s="28"/>
    </row>
    <row r="59" spans="1:21" ht="40.5" customHeight="1" x14ac:dyDescent="0.2">
      <c r="A59" s="1837"/>
      <c r="B59" s="1888"/>
      <c r="C59" s="2165"/>
      <c r="D59" s="1833"/>
      <c r="E59" s="644" t="s">
        <v>165</v>
      </c>
      <c r="F59" s="1899"/>
      <c r="G59" s="2252"/>
      <c r="H59" s="2198"/>
      <c r="I59" s="372"/>
      <c r="J59" s="95"/>
      <c r="K59" s="67"/>
      <c r="L59" s="67"/>
      <c r="M59" s="170"/>
      <c r="N59" s="67"/>
      <c r="O59" s="661" t="s">
        <v>274</v>
      </c>
      <c r="P59" s="22"/>
      <c r="Q59" s="51">
        <v>80</v>
      </c>
      <c r="R59" s="51">
        <v>100</v>
      </c>
      <c r="S59" s="23"/>
      <c r="U59" s="54"/>
    </row>
    <row r="60" spans="1:21" ht="15" customHeight="1" x14ac:dyDescent="0.2">
      <c r="A60" s="289"/>
      <c r="B60" s="322"/>
      <c r="C60" s="469"/>
      <c r="D60" s="2210" t="s">
        <v>7</v>
      </c>
      <c r="E60" s="1826" t="s">
        <v>386</v>
      </c>
      <c r="F60" s="1937" t="s">
        <v>402</v>
      </c>
      <c r="G60" s="2251" t="s">
        <v>128</v>
      </c>
      <c r="H60" s="1938"/>
      <c r="I60" s="2201" t="s">
        <v>72</v>
      </c>
      <c r="J60" s="92" t="s">
        <v>62</v>
      </c>
      <c r="K60" s="68">
        <f>295-32</f>
        <v>263</v>
      </c>
      <c r="L60" s="680">
        <v>32</v>
      </c>
      <c r="M60" s="108"/>
      <c r="N60" s="68"/>
      <c r="O60" s="1782" t="s">
        <v>198</v>
      </c>
      <c r="P60" s="1426">
        <v>40</v>
      </c>
      <c r="Q60" s="327">
        <v>100</v>
      </c>
      <c r="R60" s="381"/>
      <c r="S60" s="1376"/>
    </row>
    <row r="61" spans="1:21" ht="15.75" customHeight="1" x14ac:dyDescent="0.2">
      <c r="A61" s="347"/>
      <c r="B61" s="368"/>
      <c r="C61" s="469"/>
      <c r="D61" s="1833"/>
      <c r="E61" s="1827"/>
      <c r="F61" s="1937"/>
      <c r="G61" s="2251"/>
      <c r="H61" s="1938"/>
      <c r="I61" s="2201"/>
      <c r="J61" s="92" t="s">
        <v>25</v>
      </c>
      <c r="K61" s="680">
        <f>101.6-101.6</f>
        <v>0</v>
      </c>
      <c r="L61" s="680">
        <f>583.9-263.4+101.6</f>
        <v>422.1</v>
      </c>
      <c r="M61" s="108"/>
      <c r="N61" s="68"/>
      <c r="O61" s="1783"/>
      <c r="P61" s="327"/>
      <c r="Q61" s="327"/>
      <c r="R61" s="381"/>
      <c r="S61" s="1376"/>
    </row>
    <row r="62" spans="1:21" ht="18" customHeight="1" x14ac:dyDescent="0.2">
      <c r="A62" s="289"/>
      <c r="B62" s="322"/>
      <c r="C62" s="469"/>
      <c r="D62" s="2198"/>
      <c r="E62" s="1828"/>
      <c r="F62" s="2101"/>
      <c r="G62" s="2207"/>
      <c r="H62" s="1938"/>
      <c r="I62" s="2202"/>
      <c r="J62" s="145" t="s">
        <v>105</v>
      </c>
      <c r="K62" s="1435">
        <f>198.4-198.4</f>
        <v>0</v>
      </c>
      <c r="L62" s="1435">
        <v>198.4</v>
      </c>
      <c r="M62" s="170"/>
      <c r="N62" s="67"/>
      <c r="O62" s="842" t="s">
        <v>46</v>
      </c>
      <c r="P62" s="22">
        <v>1</v>
      </c>
      <c r="Q62" s="22"/>
      <c r="R62" s="383"/>
      <c r="S62" s="23"/>
    </row>
    <row r="63" spans="1:21" ht="18" customHeight="1" x14ac:dyDescent="0.2">
      <c r="A63" s="289"/>
      <c r="B63" s="322"/>
      <c r="C63" s="520"/>
      <c r="D63" s="2169" t="s">
        <v>28</v>
      </c>
      <c r="E63" s="1826" t="s">
        <v>60</v>
      </c>
      <c r="F63" s="2102" t="s">
        <v>47</v>
      </c>
      <c r="G63" s="2206" t="s">
        <v>229</v>
      </c>
      <c r="H63" s="1938"/>
      <c r="I63" s="2201"/>
      <c r="J63" s="96" t="s">
        <v>25</v>
      </c>
      <c r="K63" s="60"/>
      <c r="L63" s="60">
        <v>50</v>
      </c>
      <c r="M63" s="141">
        <v>99</v>
      </c>
      <c r="N63" s="60"/>
      <c r="O63" s="307" t="s">
        <v>46</v>
      </c>
      <c r="P63" s="318"/>
      <c r="Q63" s="318"/>
      <c r="R63" s="1378">
        <v>1</v>
      </c>
      <c r="S63" s="1403"/>
    </row>
    <row r="64" spans="1:21" ht="16.5" customHeight="1" x14ac:dyDescent="0.2">
      <c r="A64" s="289"/>
      <c r="B64" s="322"/>
      <c r="C64" s="520"/>
      <c r="D64" s="2205"/>
      <c r="E64" s="1828"/>
      <c r="F64" s="2103"/>
      <c r="G64" s="2207"/>
      <c r="H64" s="1938"/>
      <c r="I64" s="2202"/>
      <c r="J64" s="145"/>
      <c r="K64" s="67"/>
      <c r="L64" s="67"/>
      <c r="M64" s="170"/>
      <c r="N64" s="67"/>
      <c r="O64" s="267"/>
      <c r="P64" s="19"/>
      <c r="Q64" s="19"/>
      <c r="R64" s="1115"/>
      <c r="S64" s="1370"/>
    </row>
    <row r="65" spans="1:19" ht="19.5" customHeight="1" x14ac:dyDescent="0.2">
      <c r="A65" s="573"/>
      <c r="B65" s="578"/>
      <c r="C65" s="520"/>
      <c r="D65" s="2169" t="s">
        <v>33</v>
      </c>
      <c r="E65" s="1883" t="s">
        <v>286</v>
      </c>
      <c r="F65" s="580" t="s">
        <v>47</v>
      </c>
      <c r="G65" s="2206"/>
      <c r="H65" s="1938"/>
      <c r="I65" s="2201"/>
      <c r="J65" s="96" t="s">
        <v>25</v>
      </c>
      <c r="K65" s="60">
        <v>26</v>
      </c>
      <c r="L65" s="60"/>
      <c r="M65" s="141">
        <v>1084</v>
      </c>
      <c r="N65" s="60"/>
      <c r="O65" s="575" t="s">
        <v>46</v>
      </c>
      <c r="P65" s="569">
        <v>1</v>
      </c>
      <c r="Q65" s="569"/>
      <c r="R65" s="1113"/>
      <c r="S65" s="1420"/>
    </row>
    <row r="66" spans="1:19" ht="23.25" customHeight="1" x14ac:dyDescent="0.2">
      <c r="A66" s="573"/>
      <c r="B66" s="578"/>
      <c r="C66" s="520"/>
      <c r="D66" s="1736"/>
      <c r="E66" s="1932"/>
      <c r="F66" s="582"/>
      <c r="G66" s="2207"/>
      <c r="H66" s="1938"/>
      <c r="I66" s="2202"/>
      <c r="J66" s="145" t="s">
        <v>45</v>
      </c>
      <c r="K66" s="67">
        <v>40</v>
      </c>
      <c r="L66" s="67"/>
      <c r="M66" s="170"/>
      <c r="N66" s="67"/>
      <c r="O66" s="592" t="s">
        <v>196</v>
      </c>
      <c r="P66" s="591"/>
      <c r="Q66" s="591"/>
      <c r="R66" s="604">
        <v>100</v>
      </c>
      <c r="S66" s="914"/>
    </row>
    <row r="67" spans="1:19" ht="16.5" customHeight="1" thickBot="1" x14ac:dyDescent="0.25">
      <c r="A67" s="75"/>
      <c r="B67" s="360"/>
      <c r="C67" s="214"/>
      <c r="D67" s="331"/>
      <c r="E67" s="455"/>
      <c r="F67" s="456"/>
      <c r="G67" s="457"/>
      <c r="H67" s="331"/>
      <c r="I67" s="257"/>
      <c r="J67" s="211" t="s">
        <v>6</v>
      </c>
      <c r="K67" s="156">
        <f>SUM(K52:K66)</f>
        <v>2349.5</v>
      </c>
      <c r="L67" s="98">
        <f>SUM(L52:L66)</f>
        <v>3756.6</v>
      </c>
      <c r="M67" s="331">
        <f>SUM(M52:M66)</f>
        <v>2613.6999999999998</v>
      </c>
      <c r="N67" s="98">
        <f>SUM(N52:N66)</f>
        <v>0</v>
      </c>
      <c r="O67" s="460"/>
      <c r="P67" s="461"/>
      <c r="Q67" s="462"/>
      <c r="R67" s="462"/>
      <c r="S67" s="463"/>
    </row>
    <row r="68" spans="1:19" ht="33" customHeight="1" x14ac:dyDescent="0.2">
      <c r="A68" s="292" t="s">
        <v>5</v>
      </c>
      <c r="B68" s="325" t="s">
        <v>5</v>
      </c>
      <c r="C68" s="459" t="s">
        <v>33</v>
      </c>
      <c r="D68" s="106"/>
      <c r="E68" s="119" t="s">
        <v>51</v>
      </c>
      <c r="F68" s="123" t="s">
        <v>92</v>
      </c>
      <c r="G68" s="123"/>
      <c r="H68" s="134" t="s">
        <v>43</v>
      </c>
      <c r="I68" s="274"/>
      <c r="J68" s="78"/>
      <c r="K68" s="76"/>
      <c r="L68" s="76"/>
      <c r="M68" s="481"/>
      <c r="N68" s="76"/>
      <c r="O68" s="79"/>
      <c r="P68" s="30"/>
      <c r="Q68" s="30"/>
      <c r="R68" s="1116"/>
      <c r="S68" s="1419"/>
    </row>
    <row r="69" spans="1:19" ht="15" customHeight="1" x14ac:dyDescent="0.2">
      <c r="A69" s="289"/>
      <c r="B69" s="322"/>
      <c r="C69" s="458"/>
      <c r="D69" s="1898" t="s">
        <v>5</v>
      </c>
      <c r="E69" s="1883" t="s">
        <v>61</v>
      </c>
      <c r="F69" s="1936" t="s">
        <v>47</v>
      </c>
      <c r="G69" s="2133" t="s">
        <v>129</v>
      </c>
      <c r="H69" s="1895"/>
      <c r="I69" s="2203" t="s">
        <v>72</v>
      </c>
      <c r="J69" s="60" t="s">
        <v>106</v>
      </c>
      <c r="K69" s="477">
        <f>500+617.1</f>
        <v>1117.0999999999999</v>
      </c>
      <c r="L69" s="60">
        <v>200</v>
      </c>
      <c r="M69" s="1282"/>
      <c r="N69" s="1423"/>
      <c r="O69" s="1926" t="s">
        <v>275</v>
      </c>
      <c r="P69" s="1427">
        <v>80</v>
      </c>
      <c r="Q69" s="1427">
        <v>100</v>
      </c>
      <c r="R69" s="1378"/>
      <c r="S69" s="1403"/>
    </row>
    <row r="70" spans="1:19" ht="15" customHeight="1" x14ac:dyDescent="0.2">
      <c r="A70" s="347"/>
      <c r="B70" s="368"/>
      <c r="C70" s="458"/>
      <c r="D70" s="1895"/>
      <c r="E70" s="1770"/>
      <c r="F70" s="1937"/>
      <c r="G70" s="2134"/>
      <c r="H70" s="1895"/>
      <c r="I70" s="2201"/>
      <c r="J70" s="68" t="s">
        <v>25</v>
      </c>
      <c r="K70" s="1227">
        <f>400+1508.2</f>
        <v>1908.2</v>
      </c>
      <c r="L70" s="680">
        <f>1500+635.7-1000.1</f>
        <v>1135.5999999999999</v>
      </c>
      <c r="M70" s="1227"/>
      <c r="N70" s="680"/>
      <c r="O70" s="2258"/>
      <c r="P70" s="327"/>
      <c r="Q70" s="327"/>
      <c r="R70" s="381"/>
      <c r="S70" s="1376"/>
    </row>
    <row r="71" spans="1:19" ht="15" customHeight="1" x14ac:dyDescent="0.2">
      <c r="A71" s="1618"/>
      <c r="B71" s="1621"/>
      <c r="C71" s="1637"/>
      <c r="D71" s="1895"/>
      <c r="E71" s="1770"/>
      <c r="F71" s="1937"/>
      <c r="G71" s="2134"/>
      <c r="H71" s="1895"/>
      <c r="I71" s="2201"/>
      <c r="J71" s="68" t="s">
        <v>105</v>
      </c>
      <c r="K71" s="1227">
        <v>198.4</v>
      </c>
      <c r="L71" s="680"/>
      <c r="M71" s="1227"/>
      <c r="N71" s="680"/>
      <c r="O71" s="1638"/>
      <c r="P71" s="1639"/>
      <c r="Q71" s="1639"/>
      <c r="R71" s="381"/>
      <c r="S71" s="1636"/>
    </row>
    <row r="72" spans="1:19" ht="15" customHeight="1" x14ac:dyDescent="0.2">
      <c r="A72" s="1618"/>
      <c r="B72" s="1621"/>
      <c r="C72" s="1637"/>
      <c r="D72" s="1895"/>
      <c r="E72" s="1770"/>
      <c r="F72" s="1937"/>
      <c r="G72" s="2134"/>
      <c r="H72" s="1895"/>
      <c r="I72" s="2201"/>
      <c r="J72" s="68" t="s">
        <v>62</v>
      </c>
      <c r="K72" s="1227">
        <v>192.4</v>
      </c>
      <c r="L72" s="680"/>
      <c r="M72" s="1227"/>
      <c r="N72" s="680"/>
      <c r="O72" s="1638"/>
      <c r="P72" s="1639"/>
      <c r="Q72" s="1639"/>
      <c r="R72" s="381"/>
      <c r="S72" s="1636"/>
    </row>
    <row r="73" spans="1:19" ht="15" customHeight="1" x14ac:dyDescent="0.2">
      <c r="A73" s="289"/>
      <c r="B73" s="322"/>
      <c r="C73" s="458"/>
      <c r="D73" s="1895"/>
      <c r="E73" s="1770"/>
      <c r="F73" s="1937"/>
      <c r="G73" s="2134"/>
      <c r="H73" s="1895"/>
      <c r="I73" s="2201"/>
      <c r="J73" s="68" t="s">
        <v>48</v>
      </c>
      <c r="K73" s="1227">
        <f>993.4+482.4</f>
        <v>1475.8</v>
      </c>
      <c r="L73" s="680"/>
      <c r="M73" s="108"/>
      <c r="N73" s="68"/>
      <c r="O73" s="1928"/>
      <c r="P73" s="327"/>
      <c r="Q73" s="327"/>
      <c r="R73" s="381"/>
      <c r="S73" s="1376"/>
    </row>
    <row r="74" spans="1:19" ht="15" customHeight="1" x14ac:dyDescent="0.2">
      <c r="A74" s="347"/>
      <c r="B74" s="368"/>
      <c r="C74" s="458"/>
      <c r="D74" s="1895"/>
      <c r="E74" s="1770"/>
      <c r="F74" s="1937"/>
      <c r="G74" s="2134"/>
      <c r="H74" s="1895"/>
      <c r="I74" s="2201"/>
      <c r="J74" s="67" t="s">
        <v>45</v>
      </c>
      <c r="K74" s="170">
        <v>3.2</v>
      </c>
      <c r="L74" s="67"/>
      <c r="M74" s="170"/>
      <c r="N74" s="67"/>
      <c r="O74" s="1929"/>
      <c r="P74" s="22"/>
      <c r="Q74" s="22"/>
      <c r="R74" s="381"/>
      <c r="S74" s="1376"/>
    </row>
    <row r="75" spans="1:19" ht="15.75" customHeight="1" x14ac:dyDescent="0.2">
      <c r="A75" s="1837"/>
      <c r="B75" s="1888"/>
      <c r="C75" s="2165"/>
      <c r="D75" s="2169" t="s">
        <v>7</v>
      </c>
      <c r="E75" s="1826" t="s">
        <v>299</v>
      </c>
      <c r="F75" s="1922" t="s">
        <v>47</v>
      </c>
      <c r="G75" s="2133" t="s">
        <v>130</v>
      </c>
      <c r="H75" s="1833"/>
      <c r="I75" s="2128"/>
      <c r="J75" s="92" t="s">
        <v>106</v>
      </c>
      <c r="K75" s="68"/>
      <c r="L75" s="68"/>
      <c r="M75" s="108">
        <v>400</v>
      </c>
      <c r="N75" s="68"/>
      <c r="O75" s="1428" t="s">
        <v>276</v>
      </c>
      <c r="P75" s="327"/>
      <c r="Q75" s="327"/>
      <c r="R75" s="1378">
        <v>35</v>
      </c>
      <c r="S75" s="1403"/>
    </row>
    <row r="76" spans="1:19" ht="17.25" customHeight="1" x14ac:dyDescent="0.2">
      <c r="A76" s="1837"/>
      <c r="B76" s="1888"/>
      <c r="C76" s="2165"/>
      <c r="D76" s="1736"/>
      <c r="E76" s="1827"/>
      <c r="F76" s="1772"/>
      <c r="G76" s="2197"/>
      <c r="H76" s="2198"/>
      <c r="I76" s="2129"/>
      <c r="J76" s="145"/>
      <c r="K76" s="67"/>
      <c r="L76" s="67"/>
      <c r="M76" s="170"/>
      <c r="N76" s="67"/>
      <c r="O76" s="382"/>
      <c r="P76" s="327"/>
      <c r="Q76" s="327"/>
      <c r="R76" s="381"/>
      <c r="S76" s="1376"/>
    </row>
    <row r="77" spans="1:19" ht="14.25" customHeight="1" x14ac:dyDescent="0.2">
      <c r="A77" s="1837"/>
      <c r="B77" s="1888"/>
      <c r="C77" s="2165"/>
      <c r="D77" s="2169" t="s">
        <v>28</v>
      </c>
      <c r="E77" s="1826" t="s">
        <v>301</v>
      </c>
      <c r="F77" s="1922" t="s">
        <v>47</v>
      </c>
      <c r="G77" s="2134" t="s">
        <v>230</v>
      </c>
      <c r="H77" s="2199">
        <v>6</v>
      </c>
      <c r="I77" s="2128" t="s">
        <v>300</v>
      </c>
      <c r="J77" s="50" t="s">
        <v>25</v>
      </c>
      <c r="K77" s="68"/>
      <c r="L77" s="68">
        <v>10</v>
      </c>
      <c r="M77" s="108">
        <v>12</v>
      </c>
      <c r="N77" s="68"/>
      <c r="O77" s="640" t="s">
        <v>46</v>
      </c>
      <c r="P77" s="642"/>
      <c r="Q77" s="642">
        <v>1</v>
      </c>
      <c r="R77" s="1378"/>
      <c r="S77" s="1403"/>
    </row>
    <row r="78" spans="1:19" ht="21" customHeight="1" x14ac:dyDescent="0.2">
      <c r="A78" s="1837"/>
      <c r="B78" s="1888"/>
      <c r="C78" s="2165"/>
      <c r="D78" s="1736"/>
      <c r="E78" s="1827"/>
      <c r="F78" s="1772"/>
      <c r="G78" s="2134"/>
      <c r="H78" s="2199"/>
      <c r="I78" s="2128"/>
      <c r="J78" s="92"/>
      <c r="K78" s="68"/>
      <c r="L78" s="68"/>
      <c r="M78" s="108"/>
      <c r="N78" s="68"/>
      <c r="O78" s="1919" t="s">
        <v>187</v>
      </c>
      <c r="P78" s="327"/>
      <c r="Q78" s="327">
        <v>50</v>
      </c>
      <c r="R78" s="381">
        <v>100</v>
      </c>
      <c r="S78" s="1376"/>
    </row>
    <row r="79" spans="1:19" ht="18.75" customHeight="1" x14ac:dyDescent="0.2">
      <c r="A79" s="1837"/>
      <c r="B79" s="1888"/>
      <c r="C79" s="2165"/>
      <c r="D79" s="2205"/>
      <c r="E79" s="1828"/>
      <c r="F79" s="2204"/>
      <c r="G79" s="2177"/>
      <c r="H79" s="2200"/>
      <c r="I79" s="2129"/>
      <c r="J79" s="145"/>
      <c r="K79" s="67"/>
      <c r="L79" s="67"/>
      <c r="M79" s="170"/>
      <c r="N79" s="67"/>
      <c r="O79" s="2106"/>
      <c r="P79" s="22"/>
      <c r="Q79" s="22"/>
      <c r="R79" s="383"/>
      <c r="S79" s="23"/>
    </row>
    <row r="80" spans="1:19" ht="16.5" customHeight="1" thickBot="1" x14ac:dyDescent="0.25">
      <c r="A80" s="75"/>
      <c r="B80" s="360"/>
      <c r="C80" s="214"/>
      <c r="D80" s="331"/>
      <c r="E80" s="455"/>
      <c r="F80" s="456"/>
      <c r="G80" s="457"/>
      <c r="H80" s="331"/>
      <c r="I80" s="257"/>
      <c r="J80" s="211" t="s">
        <v>6</v>
      </c>
      <c r="K80" s="98">
        <f>SUM(K69:K79)</f>
        <v>4895.1000000000004</v>
      </c>
      <c r="L80" s="98">
        <f>SUM(L69:L79)</f>
        <v>1345.6</v>
      </c>
      <c r="M80" s="331">
        <f>SUM(M69:M79)</f>
        <v>412</v>
      </c>
      <c r="N80" s="98">
        <f>SUM(N69:N79)</f>
        <v>0</v>
      </c>
      <c r="O80" s="460"/>
      <c r="P80" s="461"/>
      <c r="Q80" s="462"/>
      <c r="R80" s="462"/>
      <c r="S80" s="463"/>
    </row>
    <row r="81" spans="1:21" ht="33" customHeight="1" x14ac:dyDescent="0.2">
      <c r="A81" s="357" t="s">
        <v>5</v>
      </c>
      <c r="B81" s="325" t="s">
        <v>5</v>
      </c>
      <c r="C81" s="459" t="s">
        <v>34</v>
      </c>
      <c r="D81" s="106"/>
      <c r="E81" s="81" t="s">
        <v>100</v>
      </c>
      <c r="F81" s="123" t="s">
        <v>89</v>
      </c>
      <c r="G81" s="114"/>
      <c r="H81" s="133" t="s">
        <v>43</v>
      </c>
      <c r="I81" s="135"/>
      <c r="J81" s="481"/>
      <c r="K81" s="76"/>
      <c r="L81" s="76"/>
      <c r="M81" s="481"/>
      <c r="N81" s="76"/>
      <c r="O81" s="199"/>
      <c r="P81" s="31"/>
      <c r="Q81" s="31"/>
      <c r="R81" s="1406"/>
      <c r="S81" s="380"/>
    </row>
    <row r="82" spans="1:21" ht="18" customHeight="1" x14ac:dyDescent="0.2">
      <c r="A82" s="347"/>
      <c r="B82" s="368"/>
      <c r="C82" s="458"/>
      <c r="D82" s="1360" t="s">
        <v>5</v>
      </c>
      <c r="E82" s="1826" t="s">
        <v>176</v>
      </c>
      <c r="F82" s="124" t="s">
        <v>47</v>
      </c>
      <c r="G82" s="2123" t="s">
        <v>232</v>
      </c>
      <c r="H82" s="350"/>
      <c r="I82" s="2128" t="s">
        <v>132</v>
      </c>
      <c r="J82" s="96" t="s">
        <v>106</v>
      </c>
      <c r="K82" s="60"/>
      <c r="L82" s="60">
        <v>1900</v>
      </c>
      <c r="M82" s="141">
        <v>2000</v>
      </c>
      <c r="N82" s="60"/>
      <c r="O82" s="1782" t="s">
        <v>157</v>
      </c>
      <c r="P82" s="577">
        <v>10</v>
      </c>
      <c r="Q82" s="577">
        <v>40</v>
      </c>
      <c r="R82" s="1378">
        <v>100</v>
      </c>
      <c r="S82" s="1403"/>
    </row>
    <row r="83" spans="1:21" ht="18.75" customHeight="1" x14ac:dyDescent="0.2">
      <c r="A83" s="347"/>
      <c r="B83" s="368"/>
      <c r="C83" s="469"/>
      <c r="D83" s="1360"/>
      <c r="E83" s="1827"/>
      <c r="F83" s="248"/>
      <c r="G83" s="2124"/>
      <c r="H83" s="350"/>
      <c r="I83" s="2128"/>
      <c r="J83" s="92" t="s">
        <v>25</v>
      </c>
      <c r="K83" s="680">
        <f>326.1+123.9-430</f>
        <v>20</v>
      </c>
      <c r="L83" s="680">
        <f>2850+430-1017.6</f>
        <v>2262.4</v>
      </c>
      <c r="M83" s="1227">
        <f>4892.8+300-798.1</f>
        <v>4394.7</v>
      </c>
      <c r="N83" s="68"/>
      <c r="O83" s="1915"/>
      <c r="P83" s="327"/>
      <c r="Q83" s="327"/>
      <c r="R83" s="381"/>
      <c r="S83" s="1376"/>
    </row>
    <row r="84" spans="1:21" ht="18" customHeight="1" x14ac:dyDescent="0.2">
      <c r="A84" s="573"/>
      <c r="B84" s="578"/>
      <c r="C84" s="520"/>
      <c r="D84" s="1360"/>
      <c r="E84" s="1827"/>
      <c r="F84" s="248"/>
      <c r="G84" s="2124"/>
      <c r="H84" s="576"/>
      <c r="I84" s="2128"/>
      <c r="J84" s="92" t="s">
        <v>48</v>
      </c>
      <c r="K84" s="680">
        <v>0</v>
      </c>
      <c r="L84" s="680">
        <v>1317.6</v>
      </c>
      <c r="M84" s="1227">
        <v>1500</v>
      </c>
      <c r="N84" s="68"/>
      <c r="O84" s="1915"/>
      <c r="P84" s="327"/>
      <c r="Q84" s="327"/>
      <c r="R84" s="381"/>
      <c r="S84" s="1376"/>
      <c r="U84" s="54"/>
    </row>
    <row r="85" spans="1:21" ht="8.25" customHeight="1" x14ac:dyDescent="0.2">
      <c r="A85" s="347"/>
      <c r="B85" s="368"/>
      <c r="C85" s="469"/>
      <c r="D85" s="1360"/>
      <c r="E85" s="1914"/>
      <c r="F85" s="125"/>
      <c r="G85" s="2209"/>
      <c r="H85" s="350"/>
      <c r="I85" s="2128"/>
      <c r="J85" s="95"/>
      <c r="K85" s="67"/>
      <c r="L85" s="67"/>
      <c r="M85" s="170"/>
      <c r="N85" s="67"/>
      <c r="O85" s="543"/>
      <c r="P85" s="22"/>
      <c r="Q85" s="22"/>
      <c r="R85" s="383"/>
      <c r="S85" s="23"/>
    </row>
    <row r="86" spans="1:21" ht="15.75" customHeight="1" x14ac:dyDescent="0.2">
      <c r="A86" s="347"/>
      <c r="B86" s="368"/>
      <c r="C86" s="458"/>
      <c r="D86" s="1385" t="s">
        <v>7</v>
      </c>
      <c r="E86" s="1826" t="s">
        <v>294</v>
      </c>
      <c r="F86" s="124" t="s">
        <v>47</v>
      </c>
      <c r="G86" s="2136" t="s">
        <v>231</v>
      </c>
      <c r="H86" s="350"/>
      <c r="I86" s="2128"/>
      <c r="J86" s="92" t="s">
        <v>106</v>
      </c>
      <c r="K86" s="680">
        <v>700</v>
      </c>
      <c r="L86" s="68"/>
      <c r="M86" s="108"/>
      <c r="N86" s="68"/>
      <c r="O86" s="1782" t="s">
        <v>277</v>
      </c>
      <c r="P86" s="1375">
        <v>60</v>
      </c>
      <c r="Q86" s="489">
        <v>100</v>
      </c>
      <c r="R86" s="1118"/>
      <c r="S86" s="408"/>
    </row>
    <row r="87" spans="1:21" ht="15" customHeight="1" x14ac:dyDescent="0.2">
      <c r="A87" s="347"/>
      <c r="B87" s="368"/>
      <c r="C87" s="458"/>
      <c r="D87" s="1360"/>
      <c r="E87" s="1827"/>
      <c r="F87" s="2223"/>
      <c r="G87" s="2222"/>
      <c r="H87" s="350"/>
      <c r="I87" s="2138"/>
      <c r="J87" s="1031" t="s">
        <v>25</v>
      </c>
      <c r="K87" s="1415">
        <v>352.5</v>
      </c>
      <c r="L87" s="1433">
        <f>351.4+916.8</f>
        <v>1268.2</v>
      </c>
      <c r="M87" s="108"/>
      <c r="N87" s="68"/>
      <c r="O87" s="1783"/>
      <c r="P87" s="365"/>
      <c r="Q87" s="365"/>
      <c r="R87" s="1118"/>
      <c r="S87" s="408"/>
      <c r="U87" s="54"/>
    </row>
    <row r="88" spans="1:21" ht="16.5" customHeight="1" x14ac:dyDescent="0.2">
      <c r="A88" s="347"/>
      <c r="B88" s="368"/>
      <c r="C88" s="458"/>
      <c r="D88" s="449"/>
      <c r="E88" s="1827"/>
      <c r="F88" s="2223"/>
      <c r="G88" s="2222"/>
      <c r="H88" s="350"/>
      <c r="I88" s="2138"/>
      <c r="J88" s="1432" t="s">
        <v>62</v>
      </c>
      <c r="K88" s="1415">
        <v>1533.9</v>
      </c>
      <c r="L88" s="836"/>
      <c r="M88" s="108"/>
      <c r="N88" s="68"/>
      <c r="O88" s="1362"/>
      <c r="P88" s="489"/>
      <c r="Q88" s="489"/>
      <c r="R88" s="1118"/>
      <c r="S88" s="408"/>
    </row>
    <row r="89" spans="1:21" ht="16.5" customHeight="1" x14ac:dyDescent="0.2">
      <c r="A89" s="1016"/>
      <c r="B89" s="1020"/>
      <c r="C89" s="1017"/>
      <c r="D89" s="1018"/>
      <c r="E89" s="1827"/>
      <c r="F89" s="2223"/>
      <c r="G89" s="2222"/>
      <c r="H89" s="1019"/>
      <c r="I89" s="2138"/>
      <c r="J89" s="837" t="s">
        <v>105</v>
      </c>
      <c r="K89" s="1429">
        <v>403.6</v>
      </c>
      <c r="L89" s="835"/>
      <c r="M89" s="170"/>
      <c r="N89" s="67"/>
      <c r="O89" s="1372"/>
      <c r="P89" s="48"/>
      <c r="Q89" s="48"/>
      <c r="R89" s="1118"/>
      <c r="S89" s="408"/>
    </row>
    <row r="90" spans="1:21" ht="25.5" customHeight="1" x14ac:dyDescent="0.2">
      <c r="A90" s="1364"/>
      <c r="B90" s="1371"/>
      <c r="C90" s="1384"/>
      <c r="D90" s="1385" t="s">
        <v>28</v>
      </c>
      <c r="E90" s="1826" t="s">
        <v>302</v>
      </c>
      <c r="F90" s="124" t="s">
        <v>47</v>
      </c>
      <c r="G90" s="2136" t="s">
        <v>131</v>
      </c>
      <c r="H90" s="1368"/>
      <c r="I90" s="2128"/>
      <c r="J90" s="92" t="s">
        <v>25</v>
      </c>
      <c r="K90" s="70"/>
      <c r="L90" s="680">
        <v>720</v>
      </c>
      <c r="M90" s="1227">
        <v>250</v>
      </c>
      <c r="N90" s="68">
        <v>1500</v>
      </c>
      <c r="O90" s="1367" t="s">
        <v>309</v>
      </c>
      <c r="P90" s="1430"/>
      <c r="Q90" s="1431"/>
      <c r="R90" s="1407">
        <v>30</v>
      </c>
      <c r="S90" s="1421">
        <v>60</v>
      </c>
    </row>
    <row r="91" spans="1:21" ht="14.25" customHeight="1" x14ac:dyDescent="0.2">
      <c r="A91" s="1364"/>
      <c r="B91" s="1371"/>
      <c r="C91" s="1384"/>
      <c r="D91" s="1386"/>
      <c r="E91" s="2135"/>
      <c r="F91" s="841"/>
      <c r="G91" s="2137"/>
      <c r="H91" s="1368"/>
      <c r="I91" s="2138"/>
      <c r="J91" s="67" t="s">
        <v>25</v>
      </c>
      <c r="K91" s="63"/>
      <c r="L91" s="67"/>
      <c r="M91" s="1228">
        <v>470</v>
      </c>
      <c r="N91" s="67"/>
      <c r="O91" s="605"/>
      <c r="P91" s="48"/>
      <c r="Q91" s="48"/>
      <c r="R91" s="1112"/>
      <c r="S91" s="33"/>
    </row>
    <row r="92" spans="1:21" ht="14.25" customHeight="1" x14ac:dyDescent="0.2">
      <c r="A92" s="1364"/>
      <c r="B92" s="1371"/>
      <c r="C92" s="1384"/>
      <c r="D92" s="1360" t="s">
        <v>33</v>
      </c>
      <c r="E92" s="2139" t="s">
        <v>374</v>
      </c>
      <c r="F92" s="1324" t="s">
        <v>47</v>
      </c>
      <c r="G92" s="1389"/>
      <c r="H92" s="1368"/>
      <c r="I92" s="1388"/>
      <c r="J92" s="92" t="s">
        <v>25</v>
      </c>
      <c r="K92" s="70"/>
      <c r="L92" s="680"/>
      <c r="M92" s="1227">
        <v>82</v>
      </c>
      <c r="N92" s="680">
        <v>380</v>
      </c>
      <c r="O92" s="1329" t="s">
        <v>46</v>
      </c>
      <c r="P92" s="1323"/>
      <c r="Q92" s="1323"/>
      <c r="R92" s="2141">
        <v>1</v>
      </c>
      <c r="S92" s="408"/>
    </row>
    <row r="93" spans="1:21" ht="30" customHeight="1" x14ac:dyDescent="0.2">
      <c r="A93" s="1364"/>
      <c r="B93" s="1371"/>
      <c r="C93" s="1384"/>
      <c r="D93" s="1360"/>
      <c r="E93" s="2140"/>
      <c r="F93" s="1325"/>
      <c r="G93" s="1389"/>
      <c r="H93" s="1368"/>
      <c r="I93" s="1388"/>
      <c r="J93" s="95"/>
      <c r="K93" s="63"/>
      <c r="L93" s="1435"/>
      <c r="M93" s="1228"/>
      <c r="N93" s="1435"/>
      <c r="O93" s="1330" t="s">
        <v>269</v>
      </c>
      <c r="P93" s="489"/>
      <c r="Q93" s="489"/>
      <c r="R93" s="2142"/>
      <c r="S93" s="33">
        <v>20</v>
      </c>
    </row>
    <row r="94" spans="1:21" ht="25.5" customHeight="1" x14ac:dyDescent="0.2">
      <c r="A94" s="1364"/>
      <c r="B94" s="1371"/>
      <c r="C94" s="1384"/>
      <c r="D94" s="1385" t="s">
        <v>34</v>
      </c>
      <c r="E94" s="2139" t="s">
        <v>375</v>
      </c>
      <c r="F94" s="1326" t="s">
        <v>47</v>
      </c>
      <c r="G94" s="2136" t="s">
        <v>131</v>
      </c>
      <c r="H94" s="1368"/>
      <c r="I94" s="2128"/>
      <c r="J94" s="92" t="s">
        <v>25</v>
      </c>
      <c r="K94" s="70"/>
      <c r="L94" s="680">
        <v>50</v>
      </c>
      <c r="M94" s="1227">
        <v>65</v>
      </c>
      <c r="N94" s="680">
        <v>500</v>
      </c>
      <c r="O94" s="1329" t="s">
        <v>46</v>
      </c>
      <c r="P94" s="1323"/>
      <c r="Q94" s="1323"/>
      <c r="R94" s="1231">
        <v>1</v>
      </c>
      <c r="S94" s="1434"/>
    </row>
    <row r="95" spans="1:21" ht="14.25" customHeight="1" x14ac:dyDescent="0.2">
      <c r="A95" s="1364"/>
      <c r="B95" s="1371"/>
      <c r="C95" s="1384"/>
      <c r="D95" s="1386"/>
      <c r="E95" s="2140"/>
      <c r="F95" s="1327"/>
      <c r="G95" s="2137"/>
      <c r="H95" s="1368"/>
      <c r="I95" s="2138"/>
      <c r="J95" s="67"/>
      <c r="K95" s="63"/>
      <c r="L95" s="67"/>
      <c r="M95" s="170"/>
      <c r="N95" s="67"/>
      <c r="O95" s="605"/>
      <c r="P95" s="48"/>
      <c r="Q95" s="48"/>
      <c r="R95" s="1112"/>
      <c r="S95" s="33"/>
    </row>
    <row r="96" spans="1:21" ht="16.5" customHeight="1" thickBot="1" x14ac:dyDescent="0.25">
      <c r="A96" s="75"/>
      <c r="B96" s="360"/>
      <c r="C96" s="214"/>
      <c r="D96" s="331"/>
      <c r="E96" s="455"/>
      <c r="F96" s="456"/>
      <c r="G96" s="457"/>
      <c r="H96" s="331"/>
      <c r="I96" s="257"/>
      <c r="J96" s="244" t="s">
        <v>6</v>
      </c>
      <c r="K96" s="156">
        <f>SUM(K82:K95)</f>
        <v>3010</v>
      </c>
      <c r="L96" s="156">
        <f>SUM(L82:L95)</f>
        <v>7518.2</v>
      </c>
      <c r="M96" s="156">
        <f>SUM(M82:M95)</f>
        <v>8761.7000000000007</v>
      </c>
      <c r="N96" s="156">
        <f t="shared" ref="N96" si="2">SUM(N82:N95)</f>
        <v>2380</v>
      </c>
      <c r="O96" s="460"/>
      <c r="P96" s="461"/>
      <c r="Q96" s="462"/>
      <c r="R96" s="462"/>
      <c r="S96" s="463"/>
    </row>
    <row r="97" spans="1:20" ht="30" customHeight="1" x14ac:dyDescent="0.2">
      <c r="A97" s="347" t="s">
        <v>5</v>
      </c>
      <c r="B97" s="368" t="s">
        <v>5</v>
      </c>
      <c r="C97" s="458" t="s">
        <v>35</v>
      </c>
      <c r="D97" s="452"/>
      <c r="E97" s="249" t="s">
        <v>74</v>
      </c>
      <c r="F97" s="502" t="s">
        <v>94</v>
      </c>
      <c r="G97" s="123"/>
      <c r="H97" s="313" t="s">
        <v>43</v>
      </c>
      <c r="I97" s="310"/>
      <c r="J97" s="76"/>
      <c r="K97" s="717"/>
      <c r="L97" s="83"/>
      <c r="M97" s="479"/>
      <c r="N97" s="83"/>
      <c r="O97" s="69"/>
      <c r="P97" s="7"/>
      <c r="Q97" s="57"/>
      <c r="R97" s="184"/>
      <c r="S97" s="380"/>
    </row>
    <row r="98" spans="1:20" ht="15.75" customHeight="1" x14ac:dyDescent="0.2">
      <c r="A98" s="289"/>
      <c r="B98" s="322"/>
      <c r="C98" s="458"/>
      <c r="D98" s="466" t="s">
        <v>5</v>
      </c>
      <c r="E98" s="1826" t="s">
        <v>174</v>
      </c>
      <c r="F98" s="320" t="s">
        <v>47</v>
      </c>
      <c r="G98" s="2224">
        <v>6010602</v>
      </c>
      <c r="H98" s="309"/>
      <c r="I98" s="2241" t="s">
        <v>91</v>
      </c>
      <c r="J98" s="312" t="s">
        <v>25</v>
      </c>
      <c r="K98" s="831">
        <v>70.5</v>
      </c>
      <c r="L98" s="60"/>
      <c r="M98" s="141"/>
      <c r="N98" s="60"/>
      <c r="O98" s="1178" t="s">
        <v>46</v>
      </c>
      <c r="P98" s="591"/>
      <c r="Q98" s="604">
        <v>1</v>
      </c>
      <c r="R98" s="1374"/>
      <c r="S98" s="1403"/>
    </row>
    <row r="99" spans="1:20" ht="15.75" customHeight="1" x14ac:dyDescent="0.2">
      <c r="A99" s="1689"/>
      <c r="B99" s="1691"/>
      <c r="C99" s="1693"/>
      <c r="D99" s="466"/>
      <c r="E99" s="1827"/>
      <c r="F99" s="766"/>
      <c r="G99" s="2224"/>
      <c r="H99" s="1690"/>
      <c r="I99" s="2128"/>
      <c r="J99" s="70" t="s">
        <v>62</v>
      </c>
      <c r="K99" s="831">
        <v>219.3</v>
      </c>
      <c r="L99" s="68"/>
      <c r="M99" s="108"/>
      <c r="N99" s="68"/>
      <c r="O99" s="617"/>
      <c r="P99" s="591"/>
      <c r="Q99" s="604"/>
      <c r="R99" s="1694"/>
      <c r="S99" s="1692"/>
    </row>
    <row r="100" spans="1:20" ht="15.75" customHeight="1" x14ac:dyDescent="0.2">
      <c r="A100" s="1689"/>
      <c r="B100" s="1691"/>
      <c r="C100" s="1693"/>
      <c r="D100" s="466"/>
      <c r="E100" s="1827"/>
      <c r="F100" s="766"/>
      <c r="G100" s="2224"/>
      <c r="H100" s="1690"/>
      <c r="I100" s="2128"/>
      <c r="J100" s="70" t="s">
        <v>105</v>
      </c>
      <c r="K100" s="1227">
        <v>1.1000000000000001</v>
      </c>
      <c r="L100" s="68"/>
      <c r="M100" s="108"/>
      <c r="N100" s="68"/>
      <c r="O100" s="617"/>
      <c r="P100" s="591"/>
      <c r="Q100" s="604"/>
      <c r="R100" s="1694"/>
      <c r="S100" s="1692"/>
    </row>
    <row r="101" spans="1:20" ht="15" customHeight="1" x14ac:dyDescent="0.2">
      <c r="A101" s="1689"/>
      <c r="B101" s="1691"/>
      <c r="C101" s="1693"/>
      <c r="D101" s="466"/>
      <c r="E101" s="1827"/>
      <c r="F101" s="766"/>
      <c r="G101" s="2224"/>
      <c r="H101" s="1690"/>
      <c r="I101" s="2128"/>
      <c r="J101" s="63" t="s">
        <v>106</v>
      </c>
      <c r="K101" s="1435"/>
      <c r="L101" s="1435">
        <f>780-536.9</f>
        <v>243.1</v>
      </c>
      <c r="M101" s="170"/>
      <c r="N101" s="67"/>
      <c r="O101" s="622"/>
      <c r="P101" s="591"/>
      <c r="Q101" s="604"/>
      <c r="R101" s="1694"/>
      <c r="S101" s="1692"/>
    </row>
    <row r="102" spans="1:20" ht="15.75" hidden="1" customHeight="1" x14ac:dyDescent="0.2">
      <c r="A102" s="1689"/>
      <c r="B102" s="1691"/>
      <c r="C102" s="1693"/>
      <c r="D102" s="466"/>
      <c r="E102" s="1827"/>
      <c r="F102" s="766"/>
      <c r="G102" s="2224"/>
      <c r="H102" s="1690"/>
      <c r="I102" s="2128"/>
      <c r="J102" s="1708" t="s">
        <v>25</v>
      </c>
      <c r="K102" s="1698"/>
      <c r="L102" s="1699"/>
      <c r="M102" s="142"/>
      <c r="N102" s="73"/>
      <c r="O102" s="1700" t="s">
        <v>410</v>
      </c>
      <c r="P102" s="1701"/>
      <c r="Q102" s="1702">
        <v>1</v>
      </c>
      <c r="R102" s="1701"/>
      <c r="S102" s="28"/>
    </row>
    <row r="103" spans="1:20" ht="15.75" hidden="1" customHeight="1" x14ac:dyDescent="0.2">
      <c r="A103" s="1662"/>
      <c r="B103" s="1665"/>
      <c r="C103" s="1666"/>
      <c r="D103" s="466"/>
      <c r="E103" s="1827"/>
      <c r="F103" s="766"/>
      <c r="G103" s="2224"/>
      <c r="H103" s="1664"/>
      <c r="I103" s="2128"/>
      <c r="J103" s="1709" t="s">
        <v>25</v>
      </c>
      <c r="K103" s="1681"/>
      <c r="L103" s="680"/>
      <c r="M103" s="1227"/>
      <c r="N103" s="680"/>
      <c r="O103" s="1703" t="s">
        <v>409</v>
      </c>
      <c r="P103" s="1704"/>
      <c r="Q103" s="1705">
        <v>5</v>
      </c>
      <c r="R103" s="1706">
        <v>60</v>
      </c>
      <c r="S103" s="1707">
        <v>100</v>
      </c>
    </row>
    <row r="104" spans="1:20" ht="21.75" hidden="1" customHeight="1" x14ac:dyDescent="0.2">
      <c r="A104" s="289"/>
      <c r="B104" s="322"/>
      <c r="C104" s="458"/>
      <c r="D104" s="467"/>
      <c r="E104" s="1827"/>
      <c r="F104" s="319"/>
      <c r="G104" s="2225"/>
      <c r="H104" s="309"/>
      <c r="I104" s="2128"/>
      <c r="J104" s="1710" t="s">
        <v>106</v>
      </c>
      <c r="K104" s="202"/>
      <c r="L104" s="1435"/>
      <c r="M104" s="1228"/>
      <c r="N104" s="1435"/>
      <c r="O104" s="812"/>
      <c r="P104" s="327"/>
      <c r="Q104" s="381"/>
      <c r="R104" s="51"/>
      <c r="S104" s="23"/>
      <c r="T104" s="54"/>
    </row>
    <row r="105" spans="1:20" ht="15" customHeight="1" x14ac:dyDescent="0.2">
      <c r="A105" s="289"/>
      <c r="B105" s="322"/>
      <c r="C105" s="458"/>
      <c r="D105" s="466" t="s">
        <v>7</v>
      </c>
      <c r="E105" s="1826" t="s">
        <v>310</v>
      </c>
      <c r="F105" s="320" t="s">
        <v>47</v>
      </c>
      <c r="G105" s="2123" t="s">
        <v>233</v>
      </c>
      <c r="H105" s="309"/>
      <c r="I105" s="136"/>
      <c r="J105" s="70" t="s">
        <v>45</v>
      </c>
      <c r="K105" s="66">
        <v>30</v>
      </c>
      <c r="L105" s="68">
        <v>72.5</v>
      </c>
      <c r="M105" s="108"/>
      <c r="N105" s="68"/>
      <c r="O105" s="618" t="s">
        <v>164</v>
      </c>
      <c r="P105" s="569">
        <v>1</v>
      </c>
      <c r="Q105" s="619"/>
      <c r="R105" s="1143"/>
      <c r="S105" s="620"/>
    </row>
    <row r="106" spans="1:20" ht="15" customHeight="1" x14ac:dyDescent="0.2">
      <c r="A106" s="289"/>
      <c r="B106" s="322"/>
      <c r="C106" s="458"/>
      <c r="D106" s="466"/>
      <c r="E106" s="1827"/>
      <c r="F106" s="320"/>
      <c r="G106" s="2124"/>
      <c r="H106" s="309"/>
      <c r="I106" s="364"/>
      <c r="J106" s="70"/>
      <c r="K106" s="66"/>
      <c r="L106" s="68"/>
      <c r="M106" s="108"/>
      <c r="N106" s="68"/>
      <c r="O106" s="617" t="s">
        <v>46</v>
      </c>
      <c r="P106" s="591"/>
      <c r="Q106" s="604">
        <v>1</v>
      </c>
      <c r="R106" s="1144"/>
      <c r="S106" s="621"/>
    </row>
    <row r="107" spans="1:20" ht="27" customHeight="1" x14ac:dyDescent="0.2">
      <c r="A107" s="330"/>
      <c r="B107" s="329"/>
      <c r="C107" s="458"/>
      <c r="D107" s="467"/>
      <c r="E107" s="2226"/>
      <c r="F107" s="319"/>
      <c r="G107" s="2176"/>
      <c r="H107" s="311"/>
      <c r="I107" s="364"/>
      <c r="J107" s="63"/>
      <c r="K107" s="202"/>
      <c r="L107" s="67"/>
      <c r="M107" s="170"/>
      <c r="N107" s="67"/>
      <c r="O107" s="622"/>
      <c r="P107" s="603"/>
      <c r="Q107" s="718"/>
      <c r="R107" s="1436"/>
      <c r="S107" s="623"/>
    </row>
    <row r="108" spans="1:20" ht="15" customHeight="1" thickBot="1" x14ac:dyDescent="0.25">
      <c r="A108" s="293"/>
      <c r="B108" s="324"/>
      <c r="C108" s="453"/>
      <c r="D108" s="331"/>
      <c r="E108" s="455"/>
      <c r="F108" s="456"/>
      <c r="G108" s="457"/>
      <c r="H108" s="331"/>
      <c r="I108" s="257"/>
      <c r="J108" s="98" t="s">
        <v>6</v>
      </c>
      <c r="K108" s="440">
        <f>SUM(K98:K107)</f>
        <v>320.89999999999998</v>
      </c>
      <c r="L108" s="156">
        <f>SUM(L98:L107)</f>
        <v>315.60000000000002</v>
      </c>
      <c r="M108" s="244">
        <f>SUM(M98:M107)</f>
        <v>0</v>
      </c>
      <c r="N108" s="156">
        <f>SUM(N98:N107)</f>
        <v>0</v>
      </c>
      <c r="O108" s="460"/>
      <c r="P108" s="461"/>
      <c r="Q108" s="462"/>
      <c r="R108" s="462"/>
      <c r="S108" s="463"/>
    </row>
    <row r="109" spans="1:20" ht="27" customHeight="1" x14ac:dyDescent="0.2">
      <c r="A109" s="289" t="s">
        <v>5</v>
      </c>
      <c r="B109" s="322" t="s">
        <v>5</v>
      </c>
      <c r="C109" s="465" t="s">
        <v>36</v>
      </c>
      <c r="D109" s="452"/>
      <c r="E109" s="126" t="s">
        <v>314</v>
      </c>
      <c r="F109" s="146"/>
      <c r="G109" s="503"/>
      <c r="H109" s="315" t="s">
        <v>43</v>
      </c>
      <c r="I109" s="2157" t="s">
        <v>72</v>
      </c>
      <c r="J109" s="1413"/>
      <c r="K109" s="61"/>
      <c r="L109" s="485"/>
      <c r="M109" s="143"/>
      <c r="N109" s="61"/>
      <c r="O109" s="77"/>
      <c r="P109" s="26"/>
      <c r="Q109" s="30"/>
      <c r="R109" s="1125"/>
      <c r="S109" s="992"/>
    </row>
    <row r="110" spans="1:20" ht="13.5" customHeight="1" x14ac:dyDescent="0.2">
      <c r="A110" s="289"/>
      <c r="B110" s="322"/>
      <c r="C110" s="464"/>
      <c r="D110" s="634" t="s">
        <v>5</v>
      </c>
      <c r="E110" s="524" t="s">
        <v>88</v>
      </c>
      <c r="F110" s="652"/>
      <c r="G110" s="150" t="s">
        <v>148</v>
      </c>
      <c r="H110" s="308"/>
      <c r="I110" s="2138"/>
      <c r="J110" s="96" t="s">
        <v>106</v>
      </c>
      <c r="K110" s="1423">
        <v>0</v>
      </c>
      <c r="L110" s="60">
        <v>3</v>
      </c>
      <c r="M110" s="141">
        <v>3</v>
      </c>
      <c r="N110" s="60">
        <v>3</v>
      </c>
      <c r="O110" s="1782" t="s">
        <v>182</v>
      </c>
      <c r="P110" s="569">
        <v>100</v>
      </c>
      <c r="Q110" s="569">
        <v>100</v>
      </c>
      <c r="R110" s="1113">
        <v>100</v>
      </c>
      <c r="S110" s="1420">
        <v>100</v>
      </c>
    </row>
    <row r="111" spans="1:20" ht="16.5" customHeight="1" x14ac:dyDescent="0.2">
      <c r="A111" s="632"/>
      <c r="B111" s="633"/>
      <c r="C111" s="464"/>
      <c r="D111" s="650"/>
      <c r="E111" s="165"/>
      <c r="F111" s="653"/>
      <c r="G111" s="662"/>
      <c r="H111" s="639"/>
      <c r="I111" s="641"/>
      <c r="J111" s="95" t="s">
        <v>25</v>
      </c>
      <c r="K111" s="67">
        <v>3</v>
      </c>
      <c r="L111" s="67">
        <v>3</v>
      </c>
      <c r="M111" s="170">
        <v>3</v>
      </c>
      <c r="N111" s="67">
        <v>3</v>
      </c>
      <c r="O111" s="1906"/>
      <c r="P111" s="591"/>
      <c r="Q111" s="591"/>
      <c r="R111" s="604"/>
      <c r="S111" s="914"/>
    </row>
    <row r="112" spans="1:20" s="9" customFormat="1" ht="54.75" customHeight="1" x14ac:dyDescent="0.2">
      <c r="A112" s="289"/>
      <c r="B112" s="322"/>
      <c r="C112" s="458"/>
      <c r="D112" s="449" t="s">
        <v>7</v>
      </c>
      <c r="E112" s="663" t="s">
        <v>80</v>
      </c>
      <c r="F112" s="298"/>
      <c r="G112" s="384" t="s">
        <v>133</v>
      </c>
      <c r="H112" s="351"/>
      <c r="I112" s="385"/>
      <c r="J112" s="1414" t="s">
        <v>25</v>
      </c>
      <c r="K112" s="432">
        <v>25</v>
      </c>
      <c r="L112" s="432">
        <v>25</v>
      </c>
      <c r="M112" s="431">
        <v>25</v>
      </c>
      <c r="N112" s="432">
        <v>25</v>
      </c>
      <c r="O112" s="1907"/>
      <c r="P112" s="571"/>
      <c r="Q112" s="571"/>
      <c r="R112" s="1119"/>
      <c r="S112" s="1147"/>
    </row>
    <row r="113" spans="1:20" ht="15" customHeight="1" thickBot="1" x14ac:dyDescent="0.25">
      <c r="A113" s="358"/>
      <c r="B113" s="324"/>
      <c r="C113" s="453"/>
      <c r="D113" s="331"/>
      <c r="E113" s="455"/>
      <c r="F113" s="456"/>
      <c r="G113" s="457"/>
      <c r="H113" s="331"/>
      <c r="I113" s="257"/>
      <c r="J113" s="211" t="s">
        <v>6</v>
      </c>
      <c r="K113" s="156">
        <f>SUM(K110:K112)</f>
        <v>28</v>
      </c>
      <c r="L113" s="156">
        <f t="shared" ref="L113:N113" si="3">SUM(L110:L112)</f>
        <v>31</v>
      </c>
      <c r="M113" s="244">
        <f t="shared" ref="M113" si="4">SUM(M110:M112)</f>
        <v>31</v>
      </c>
      <c r="N113" s="156">
        <f t="shared" si="3"/>
        <v>31</v>
      </c>
      <c r="O113" s="460"/>
      <c r="P113" s="461"/>
      <c r="Q113" s="462"/>
      <c r="R113" s="462"/>
      <c r="S113" s="463"/>
    </row>
    <row r="114" spans="1:20" ht="14.25" customHeight="1" thickBot="1" x14ac:dyDescent="0.25">
      <c r="A114" s="85" t="s">
        <v>5</v>
      </c>
      <c r="B114" s="326" t="s">
        <v>5</v>
      </c>
      <c r="C114" s="1885" t="s">
        <v>8</v>
      </c>
      <c r="D114" s="1829"/>
      <c r="E114" s="1829"/>
      <c r="F114" s="1829"/>
      <c r="G114" s="1829"/>
      <c r="H114" s="1829"/>
      <c r="I114" s="1829"/>
      <c r="J114" s="1761"/>
      <c r="K114" s="159">
        <f>K113+K108+K96+K80+K67+K50+K35</f>
        <v>12619.6</v>
      </c>
      <c r="L114" s="159">
        <f>L113+L108+L96+L80+L67+L50+L35</f>
        <v>19596</v>
      </c>
      <c r="M114" s="433">
        <f>M113+M108+M96+M80+M67+M50+M35</f>
        <v>16791.900000000001</v>
      </c>
      <c r="N114" s="159">
        <f>N113+N108+N96+N80+N67+N50+N35</f>
        <v>3558</v>
      </c>
      <c r="O114" s="87"/>
      <c r="P114" s="172"/>
      <c r="Q114" s="172"/>
      <c r="R114" s="1390"/>
      <c r="S114" s="1361"/>
    </row>
    <row r="115" spans="1:20" ht="14.25" customHeight="1" thickBot="1" x14ac:dyDescent="0.25">
      <c r="A115" s="85" t="s">
        <v>5</v>
      </c>
      <c r="B115" s="326" t="s">
        <v>7</v>
      </c>
      <c r="C115" s="1908" t="s">
        <v>32</v>
      </c>
      <c r="D115" s="1908"/>
      <c r="E115" s="1908"/>
      <c r="F115" s="1908"/>
      <c r="G115" s="1908"/>
      <c r="H115" s="1908"/>
      <c r="I115" s="1908"/>
      <c r="J115" s="1908"/>
      <c r="K115" s="1909"/>
      <c r="L115" s="1909"/>
      <c r="M115" s="1909"/>
      <c r="N115" s="1909"/>
      <c r="O115" s="1908"/>
      <c r="P115" s="1746"/>
      <c r="Q115" s="1746"/>
      <c r="R115" s="1746"/>
      <c r="S115" s="1910"/>
    </row>
    <row r="116" spans="1:20" ht="30" customHeight="1" x14ac:dyDescent="0.2">
      <c r="A116" s="875" t="s">
        <v>5</v>
      </c>
      <c r="B116" s="325" t="s">
        <v>7</v>
      </c>
      <c r="C116" s="459" t="s">
        <v>5</v>
      </c>
      <c r="D116" s="222"/>
      <c r="E116" s="132" t="s">
        <v>57</v>
      </c>
      <c r="F116" s="128" t="s">
        <v>121</v>
      </c>
      <c r="G116" s="127"/>
      <c r="H116" s="545"/>
      <c r="I116" s="546"/>
      <c r="J116" s="100"/>
      <c r="K116" s="167"/>
      <c r="L116" s="167"/>
      <c r="M116" s="167"/>
      <c r="N116" s="167"/>
      <c r="O116" s="90"/>
      <c r="P116" s="206"/>
      <c r="Q116" s="206"/>
      <c r="R116" s="1408"/>
      <c r="S116" s="1438"/>
    </row>
    <row r="117" spans="1:20" ht="14.25" customHeight="1" x14ac:dyDescent="0.2">
      <c r="A117" s="863"/>
      <c r="B117" s="893"/>
      <c r="C117" s="864"/>
      <c r="D117" s="860" t="s">
        <v>5</v>
      </c>
      <c r="E117" s="861" t="s">
        <v>52</v>
      </c>
      <c r="F117" s="896"/>
      <c r="G117" s="2178" t="s">
        <v>149</v>
      </c>
      <c r="H117" s="866">
        <v>6</v>
      </c>
      <c r="I117" s="2128" t="s">
        <v>75</v>
      </c>
      <c r="J117" s="91"/>
      <c r="K117" s="204"/>
      <c r="L117" s="204"/>
      <c r="M117" s="204"/>
      <c r="N117" s="204"/>
      <c r="O117" s="386"/>
      <c r="P117" s="195"/>
      <c r="Q117" s="195"/>
      <c r="R117" s="515"/>
      <c r="S117" s="389"/>
    </row>
    <row r="118" spans="1:20" ht="15.75" customHeight="1" x14ac:dyDescent="0.2">
      <c r="A118" s="863"/>
      <c r="B118" s="893"/>
      <c r="C118" s="864"/>
      <c r="D118" s="860"/>
      <c r="E118" s="1911" t="s">
        <v>81</v>
      </c>
      <c r="F118" s="896"/>
      <c r="G118" s="2179"/>
      <c r="H118" s="860"/>
      <c r="I118" s="2093"/>
      <c r="J118" s="92" t="s">
        <v>25</v>
      </c>
      <c r="K118" s="68">
        <f>3746.2-1556.5-388.2</f>
        <v>1801.5</v>
      </c>
      <c r="L118" s="148">
        <v>4900</v>
      </c>
      <c r="M118" s="148">
        <v>4900</v>
      </c>
      <c r="N118" s="148">
        <v>4900</v>
      </c>
      <c r="O118" s="862" t="s">
        <v>41</v>
      </c>
      <c r="P118" s="270">
        <v>5.9</v>
      </c>
      <c r="Q118" s="270">
        <v>5.9</v>
      </c>
      <c r="R118" s="108">
        <v>5.9</v>
      </c>
      <c r="S118" s="43">
        <v>5.9</v>
      </c>
    </row>
    <row r="119" spans="1:20" ht="15.75" customHeight="1" x14ac:dyDescent="0.2">
      <c r="A119" s="863"/>
      <c r="B119" s="893"/>
      <c r="C119" s="864"/>
      <c r="D119" s="860"/>
      <c r="E119" s="1911"/>
      <c r="F119" s="896"/>
      <c r="G119" s="2179"/>
      <c r="H119" s="860"/>
      <c r="I119" s="2093"/>
      <c r="J119" s="92" t="s">
        <v>62</v>
      </c>
      <c r="K119" s="680">
        <f>1150+1556.5-56-26</f>
        <v>2624.5</v>
      </c>
      <c r="L119" s="148"/>
      <c r="M119" s="148"/>
      <c r="N119" s="148"/>
      <c r="O119" s="862"/>
      <c r="P119" s="270"/>
      <c r="Q119" s="327"/>
      <c r="R119" s="381"/>
      <c r="S119" s="1376"/>
    </row>
    <row r="120" spans="1:20" ht="14.25" customHeight="1" x14ac:dyDescent="0.2">
      <c r="A120" s="863"/>
      <c r="B120" s="893"/>
      <c r="C120" s="864"/>
      <c r="D120" s="860"/>
      <c r="E120" s="1911"/>
      <c r="F120" s="892"/>
      <c r="G120" s="2179"/>
      <c r="H120" s="860"/>
      <c r="I120" s="2093"/>
      <c r="J120" s="163" t="s">
        <v>77</v>
      </c>
      <c r="K120" s="163"/>
      <c r="L120" s="154"/>
      <c r="M120" s="154"/>
      <c r="N120" s="154"/>
      <c r="O120" s="883"/>
      <c r="P120" s="254"/>
      <c r="Q120" s="207"/>
      <c r="R120" s="393"/>
      <c r="S120" s="1404"/>
      <c r="T120" s="1473">
        <v>-26</v>
      </c>
    </row>
    <row r="121" spans="1:20" ht="19.5" customHeight="1" x14ac:dyDescent="0.2">
      <c r="A121" s="863"/>
      <c r="B121" s="893"/>
      <c r="C121" s="864"/>
      <c r="D121" s="860"/>
      <c r="E121" s="266" t="s">
        <v>82</v>
      </c>
      <c r="F121" s="892"/>
      <c r="G121" s="504" t="s">
        <v>158</v>
      </c>
      <c r="H121" s="860"/>
      <c r="I121" s="898"/>
      <c r="J121" s="92" t="s">
        <v>25</v>
      </c>
      <c r="K121" s="92">
        <v>8.6</v>
      </c>
      <c r="L121" s="148">
        <v>8.8000000000000007</v>
      </c>
      <c r="M121" s="148">
        <v>9</v>
      </c>
      <c r="N121" s="148">
        <v>9</v>
      </c>
      <c r="O121" s="94" t="s">
        <v>189</v>
      </c>
      <c r="P121" s="224">
        <v>3.7</v>
      </c>
      <c r="Q121" s="36">
        <f>+P121</f>
        <v>3.7</v>
      </c>
      <c r="R121" s="1122">
        <f>+P121</f>
        <v>3.7</v>
      </c>
      <c r="S121" s="37">
        <f>+Q121</f>
        <v>3.7</v>
      </c>
    </row>
    <row r="122" spans="1:20" ht="26.25" customHeight="1" x14ac:dyDescent="0.2">
      <c r="A122" s="863"/>
      <c r="B122" s="893"/>
      <c r="C122" s="864"/>
      <c r="D122" s="860"/>
      <c r="E122" s="363" t="s">
        <v>83</v>
      </c>
      <c r="F122" s="892"/>
      <c r="G122" s="504"/>
      <c r="H122" s="860"/>
      <c r="I122" s="898"/>
      <c r="J122" s="93" t="s">
        <v>25</v>
      </c>
      <c r="K122" s="155">
        <v>63.7</v>
      </c>
      <c r="L122" s="151">
        <f>73-L121</f>
        <v>64.2</v>
      </c>
      <c r="M122" s="151">
        <f>74.5-M121</f>
        <v>65.5</v>
      </c>
      <c r="N122" s="151">
        <f>74.5-N121</f>
        <v>65.5</v>
      </c>
      <c r="O122" s="883" t="s">
        <v>190</v>
      </c>
      <c r="P122" s="447">
        <v>26.7</v>
      </c>
      <c r="Q122" s="224">
        <f>+P122</f>
        <v>26.7</v>
      </c>
      <c r="R122" s="554">
        <f>+P122</f>
        <v>26.7</v>
      </c>
      <c r="S122" s="1439">
        <f>+Q122</f>
        <v>26.7</v>
      </c>
    </row>
    <row r="123" spans="1:20" ht="21.75" customHeight="1" x14ac:dyDescent="0.2">
      <c r="A123" s="863"/>
      <c r="B123" s="893"/>
      <c r="C123" s="864"/>
      <c r="D123" s="866"/>
      <c r="E123" s="1739" t="s">
        <v>175</v>
      </c>
      <c r="F123" s="892"/>
      <c r="G123" s="940" t="s">
        <v>234</v>
      </c>
      <c r="H123" s="860"/>
      <c r="I123" s="912"/>
      <c r="J123" s="92" t="s">
        <v>70</v>
      </c>
      <c r="K123" s="92">
        <v>8</v>
      </c>
      <c r="L123" s="148">
        <v>10</v>
      </c>
      <c r="M123" s="148">
        <v>10</v>
      </c>
      <c r="N123" s="148">
        <v>10</v>
      </c>
      <c r="O123" s="1741" t="s">
        <v>388</v>
      </c>
      <c r="P123" s="1263" t="s">
        <v>43</v>
      </c>
      <c r="Q123" s="707">
        <v>3</v>
      </c>
      <c r="R123" s="707">
        <v>3</v>
      </c>
      <c r="S123" s="243">
        <v>3</v>
      </c>
      <c r="T123" s="829"/>
    </row>
    <row r="124" spans="1:20" ht="24" customHeight="1" x14ac:dyDescent="0.2">
      <c r="A124" s="863"/>
      <c r="B124" s="893"/>
      <c r="C124" s="864"/>
      <c r="D124" s="866"/>
      <c r="E124" s="1785"/>
      <c r="F124" s="896"/>
      <c r="G124" s="941"/>
      <c r="H124" s="860"/>
      <c r="I124" s="912"/>
      <c r="J124" s="92" t="s">
        <v>77</v>
      </c>
      <c r="K124" s="92">
        <v>16.2</v>
      </c>
      <c r="L124" s="92"/>
      <c r="M124" s="92"/>
      <c r="N124" s="92"/>
      <c r="O124" s="1783"/>
      <c r="P124" s="40"/>
      <c r="Q124" s="182"/>
      <c r="R124" s="182"/>
      <c r="S124" s="1376"/>
      <c r="T124" s="817"/>
    </row>
    <row r="125" spans="1:20" ht="58.5" customHeight="1" x14ac:dyDescent="0.2">
      <c r="A125" s="863"/>
      <c r="B125" s="893"/>
      <c r="C125" s="864"/>
      <c r="D125" s="867"/>
      <c r="E125" s="818"/>
      <c r="F125" s="896"/>
      <c r="G125" s="941"/>
      <c r="H125" s="860"/>
      <c r="I125" s="912"/>
      <c r="J125" s="92" t="s">
        <v>62</v>
      </c>
      <c r="K125" s="830">
        <f>56+26</f>
        <v>82</v>
      </c>
      <c r="L125" s="92"/>
      <c r="M125" s="92"/>
      <c r="N125" s="92"/>
      <c r="O125" s="1893"/>
      <c r="P125" s="387"/>
      <c r="Q125" s="51"/>
      <c r="R125" s="182"/>
      <c r="S125" s="1376"/>
      <c r="T125" s="1472">
        <v>26</v>
      </c>
    </row>
    <row r="126" spans="1:20" ht="14.25" customHeight="1" x14ac:dyDescent="0.2">
      <c r="A126" s="863"/>
      <c r="B126" s="893"/>
      <c r="C126" s="864"/>
      <c r="D126" s="866" t="s">
        <v>7</v>
      </c>
      <c r="E126" s="343" t="s">
        <v>210</v>
      </c>
      <c r="F126" s="896"/>
      <c r="G126" s="942"/>
      <c r="H126" s="860"/>
      <c r="I126" s="912"/>
      <c r="J126" s="168"/>
      <c r="K126" s="204"/>
      <c r="L126" s="162"/>
      <c r="M126" s="162"/>
      <c r="N126" s="162"/>
      <c r="O126" s="862"/>
      <c r="P126" s="40"/>
      <c r="Q126" s="231"/>
      <c r="R126" s="196"/>
      <c r="S126" s="389"/>
    </row>
    <row r="127" spans="1:20" ht="52.5" customHeight="1" x14ac:dyDescent="0.2">
      <c r="A127" s="863"/>
      <c r="B127" s="893"/>
      <c r="C127" s="864"/>
      <c r="D127" s="866"/>
      <c r="E127" s="344" t="s">
        <v>211</v>
      </c>
      <c r="F127" s="896"/>
      <c r="G127" s="505">
        <v>6010308</v>
      </c>
      <c r="H127" s="860"/>
      <c r="I127" s="912"/>
      <c r="J127" s="163" t="s">
        <v>25</v>
      </c>
      <c r="K127" s="73">
        <v>388.2</v>
      </c>
      <c r="L127" s="209"/>
      <c r="M127" s="154"/>
      <c r="N127" s="154"/>
      <c r="O127" s="47" t="s">
        <v>205</v>
      </c>
      <c r="P127" s="391">
        <v>21</v>
      </c>
      <c r="Q127" s="391">
        <v>21</v>
      </c>
      <c r="R127" s="441">
        <v>21</v>
      </c>
      <c r="S127" s="1404">
        <v>21</v>
      </c>
    </row>
    <row r="128" spans="1:20" ht="22.5" customHeight="1" x14ac:dyDescent="0.2">
      <c r="A128" s="863"/>
      <c r="B128" s="893"/>
      <c r="C128" s="864"/>
      <c r="D128" s="866"/>
      <c r="E128" s="1890" t="s">
        <v>212</v>
      </c>
      <c r="F128" s="896"/>
      <c r="G128" s="504"/>
      <c r="H128" s="860"/>
      <c r="I128" s="912"/>
      <c r="J128" s="92" t="s">
        <v>25</v>
      </c>
      <c r="K128" s="68">
        <v>49.6</v>
      </c>
      <c r="L128" s="138"/>
      <c r="M128" s="148"/>
      <c r="N128" s="148"/>
      <c r="O128" s="1892" t="s">
        <v>315</v>
      </c>
      <c r="P128" s="390">
        <v>12</v>
      </c>
      <c r="Q128" s="390">
        <v>12</v>
      </c>
      <c r="R128" s="182">
        <v>12</v>
      </c>
      <c r="S128" s="1376">
        <v>12</v>
      </c>
    </row>
    <row r="129" spans="1:19" ht="21" customHeight="1" x14ac:dyDescent="0.2">
      <c r="A129" s="863"/>
      <c r="B129" s="893"/>
      <c r="C129" s="864"/>
      <c r="D129" s="867"/>
      <c r="E129" s="1891"/>
      <c r="F129" s="896"/>
      <c r="G129" s="504"/>
      <c r="H129" s="860"/>
      <c r="I129" s="912"/>
      <c r="J129" s="95"/>
      <c r="K129" s="67"/>
      <c r="L129" s="139"/>
      <c r="M129" s="149"/>
      <c r="N129" s="149"/>
      <c r="O129" s="1893"/>
      <c r="P129" s="387"/>
      <c r="Q129" s="388"/>
      <c r="R129" s="51"/>
      <c r="S129" s="23"/>
    </row>
    <row r="130" spans="1:19" ht="18" customHeight="1" x14ac:dyDescent="0.2">
      <c r="A130" s="1837"/>
      <c r="B130" s="1832"/>
      <c r="C130" s="2165"/>
      <c r="D130" s="1736" t="s">
        <v>28</v>
      </c>
      <c r="E130" s="1854" t="s">
        <v>42</v>
      </c>
      <c r="F130" s="1895"/>
      <c r="G130" s="2208" t="s">
        <v>134</v>
      </c>
      <c r="H130" s="1833"/>
      <c r="I130" s="868"/>
      <c r="J130" s="92" t="s">
        <v>25</v>
      </c>
      <c r="K130" s="68">
        <v>59.5</v>
      </c>
      <c r="L130" s="66">
        <v>59.5</v>
      </c>
      <c r="M130" s="148">
        <v>59.5</v>
      </c>
      <c r="N130" s="148">
        <v>59.5</v>
      </c>
      <c r="O130" s="1897" t="s">
        <v>54</v>
      </c>
      <c r="P130" s="1863">
        <v>7</v>
      </c>
      <c r="Q130" s="1863">
        <v>7</v>
      </c>
      <c r="R130" s="2083">
        <v>7</v>
      </c>
      <c r="S130" s="1886">
        <v>7</v>
      </c>
    </row>
    <row r="131" spans="1:19" ht="18" customHeight="1" x14ac:dyDescent="0.2">
      <c r="A131" s="1837"/>
      <c r="B131" s="1832"/>
      <c r="C131" s="2165"/>
      <c r="D131" s="1736"/>
      <c r="E131" s="1894"/>
      <c r="F131" s="1895"/>
      <c r="G131" s="2208"/>
      <c r="H131" s="1833"/>
      <c r="I131" s="868"/>
      <c r="J131" s="95" t="s">
        <v>62</v>
      </c>
      <c r="K131" s="67"/>
      <c r="L131" s="139"/>
      <c r="M131" s="149"/>
      <c r="N131" s="149"/>
      <c r="O131" s="1862"/>
      <c r="P131" s="1864"/>
      <c r="Q131" s="1864"/>
      <c r="R131" s="2084"/>
      <c r="S131" s="1887"/>
    </row>
    <row r="132" spans="1:19" ht="18" customHeight="1" x14ac:dyDescent="0.2">
      <c r="A132" s="1837"/>
      <c r="B132" s="1888"/>
      <c r="C132" s="2165"/>
      <c r="D132" s="2169" t="s">
        <v>33</v>
      </c>
      <c r="E132" s="1848" t="s">
        <v>178</v>
      </c>
      <c r="F132" s="1896"/>
      <c r="G132" s="2124" t="s">
        <v>149</v>
      </c>
      <c r="H132" s="1877"/>
      <c r="I132" s="2128"/>
      <c r="J132" s="96" t="s">
        <v>25</v>
      </c>
      <c r="K132" s="670"/>
      <c r="L132" s="397"/>
      <c r="M132" s="398"/>
      <c r="N132" s="398"/>
      <c r="O132" s="282" t="s">
        <v>267</v>
      </c>
      <c r="P132" s="29"/>
      <c r="Q132" s="394"/>
      <c r="R132" s="1183"/>
      <c r="S132" s="395"/>
    </row>
    <row r="133" spans="1:19" ht="18.75" customHeight="1" x14ac:dyDescent="0.2">
      <c r="A133" s="1837"/>
      <c r="B133" s="1888"/>
      <c r="C133" s="2165"/>
      <c r="D133" s="1736"/>
      <c r="E133" s="1858"/>
      <c r="F133" s="1896"/>
      <c r="G133" s="2124"/>
      <c r="H133" s="1877"/>
      <c r="I133" s="2128"/>
      <c r="J133" s="92" t="s">
        <v>25</v>
      </c>
      <c r="K133" s="73">
        <v>5</v>
      </c>
      <c r="L133" s="209">
        <v>5</v>
      </c>
      <c r="M133" s="154">
        <v>5</v>
      </c>
      <c r="N133" s="154">
        <v>5</v>
      </c>
      <c r="O133" s="94" t="s">
        <v>308</v>
      </c>
      <c r="P133" s="34">
        <v>1</v>
      </c>
      <c r="Q133" s="542">
        <v>1</v>
      </c>
      <c r="R133" s="567">
        <v>1</v>
      </c>
      <c r="S133" s="35">
        <v>1</v>
      </c>
    </row>
    <row r="134" spans="1:19" ht="25.5" customHeight="1" x14ac:dyDescent="0.2">
      <c r="A134" s="1837"/>
      <c r="B134" s="1888"/>
      <c r="C134" s="2165"/>
      <c r="D134" s="1736"/>
      <c r="E134" s="1858"/>
      <c r="F134" s="1896"/>
      <c r="G134" s="2124"/>
      <c r="H134" s="1877"/>
      <c r="I134" s="2128"/>
      <c r="J134" s="92" t="s">
        <v>25</v>
      </c>
      <c r="K134" s="65">
        <v>40.6</v>
      </c>
      <c r="L134" s="210">
        <v>40.6</v>
      </c>
      <c r="M134" s="155">
        <v>40.6</v>
      </c>
      <c r="N134" s="65">
        <v>40.6</v>
      </c>
      <c r="O134" s="94" t="s">
        <v>204</v>
      </c>
      <c r="P134" s="34">
        <v>1</v>
      </c>
      <c r="Q134" s="542">
        <v>1</v>
      </c>
      <c r="R134" s="567">
        <v>1</v>
      </c>
      <c r="S134" s="35">
        <v>1</v>
      </c>
    </row>
    <row r="135" spans="1:19" ht="17.25" customHeight="1" x14ac:dyDescent="0.2">
      <c r="A135" s="1837"/>
      <c r="B135" s="1888"/>
      <c r="C135" s="2165"/>
      <c r="D135" s="2126" t="s">
        <v>34</v>
      </c>
      <c r="E135" s="1854" t="s">
        <v>173</v>
      </c>
      <c r="F135" s="1898" t="s">
        <v>402</v>
      </c>
      <c r="G135" s="2208" t="s">
        <v>235</v>
      </c>
      <c r="H135" s="1877"/>
      <c r="I135" s="868"/>
      <c r="J135" s="96" t="s">
        <v>70</v>
      </c>
      <c r="K135" s="60">
        <v>486.4</v>
      </c>
      <c r="L135" s="230">
        <v>188.7</v>
      </c>
      <c r="M135" s="141">
        <v>188.7</v>
      </c>
      <c r="N135" s="60"/>
      <c r="O135" s="692" t="s">
        <v>266</v>
      </c>
      <c r="P135" s="693">
        <v>125</v>
      </c>
      <c r="Q135" s="694">
        <v>40</v>
      </c>
      <c r="R135" s="1184">
        <v>40</v>
      </c>
      <c r="S135" s="943">
        <v>40</v>
      </c>
    </row>
    <row r="136" spans="1:19" ht="26.25" customHeight="1" x14ac:dyDescent="0.2">
      <c r="A136" s="1837"/>
      <c r="B136" s="1888"/>
      <c r="C136" s="2165"/>
      <c r="D136" s="2127"/>
      <c r="E136" s="1894"/>
      <c r="F136" s="1899"/>
      <c r="G136" s="2208"/>
      <c r="H136" s="1877"/>
      <c r="I136" s="868"/>
      <c r="J136" s="95" t="s">
        <v>77</v>
      </c>
      <c r="K136" s="67">
        <v>199.9</v>
      </c>
      <c r="L136" s="202"/>
      <c r="M136" s="95"/>
      <c r="N136" s="67"/>
      <c r="O136" s="543"/>
      <c r="P136" s="695"/>
      <c r="Q136" s="696"/>
      <c r="R136" s="1185"/>
      <c r="S136" s="944"/>
    </row>
    <row r="137" spans="1:19" ht="19.5" customHeight="1" x14ac:dyDescent="0.2">
      <c r="A137" s="897"/>
      <c r="B137" s="893"/>
      <c r="C137" s="465"/>
      <c r="D137" s="866" t="s">
        <v>35</v>
      </c>
      <c r="E137" s="1858" t="s">
        <v>289</v>
      </c>
      <c r="F137" s="886"/>
      <c r="G137" s="2167"/>
      <c r="H137" s="880"/>
      <c r="I137" s="2128"/>
      <c r="J137" s="92" t="s">
        <v>70</v>
      </c>
      <c r="K137" s="68">
        <v>3</v>
      </c>
      <c r="L137" s="138"/>
      <c r="M137" s="92"/>
      <c r="N137" s="68"/>
      <c r="O137" s="881" t="s">
        <v>290</v>
      </c>
      <c r="P137" s="305">
        <v>1</v>
      </c>
      <c r="Q137" s="305"/>
      <c r="R137" s="566"/>
      <c r="S137" s="1379"/>
    </row>
    <row r="138" spans="1:19" ht="10.5" customHeight="1" x14ac:dyDescent="0.2">
      <c r="A138" s="897"/>
      <c r="B138" s="893"/>
      <c r="C138" s="465"/>
      <c r="D138" s="679"/>
      <c r="E138" s="1858"/>
      <c r="F138" s="886"/>
      <c r="G138" s="2168"/>
      <c r="H138" s="880"/>
      <c r="I138" s="2196"/>
      <c r="J138" s="95"/>
      <c r="K138" s="67"/>
      <c r="L138" s="139"/>
      <c r="M138" s="149"/>
      <c r="N138" s="149"/>
      <c r="O138" s="881"/>
      <c r="P138" s="327"/>
      <c r="Q138" s="403"/>
      <c r="R138" s="381"/>
      <c r="S138" s="1376"/>
    </row>
    <row r="139" spans="1:19" ht="34.5" customHeight="1" x14ac:dyDescent="0.2">
      <c r="A139" s="897"/>
      <c r="B139" s="893"/>
      <c r="C139" s="465"/>
      <c r="D139" s="866" t="s">
        <v>36</v>
      </c>
      <c r="E139" s="1848" t="s">
        <v>160</v>
      </c>
      <c r="F139" s="1898" t="s">
        <v>403</v>
      </c>
      <c r="G139" s="2170" t="s">
        <v>236</v>
      </c>
      <c r="H139" s="880"/>
      <c r="I139" s="868" t="s">
        <v>291</v>
      </c>
      <c r="J139" s="396" t="s">
        <v>70</v>
      </c>
      <c r="K139" s="670"/>
      <c r="L139" s="397">
        <v>50</v>
      </c>
      <c r="M139" s="670"/>
      <c r="N139" s="670">
        <v>50</v>
      </c>
      <c r="O139" s="678" t="s">
        <v>161</v>
      </c>
      <c r="P139" s="428"/>
      <c r="Q139" s="428">
        <v>6</v>
      </c>
      <c r="R139" s="1123"/>
      <c r="S139" s="984">
        <v>6</v>
      </c>
    </row>
    <row r="140" spans="1:19" ht="19.5" customHeight="1" x14ac:dyDescent="0.2">
      <c r="A140" s="897"/>
      <c r="B140" s="893"/>
      <c r="C140" s="465"/>
      <c r="D140" s="866"/>
      <c r="E140" s="1858"/>
      <c r="F140" s="1895"/>
      <c r="G140" s="2167"/>
      <c r="H140" s="880"/>
      <c r="I140" s="2175" t="s">
        <v>381</v>
      </c>
      <c r="J140" s="68" t="s">
        <v>70</v>
      </c>
      <c r="K140" s="92">
        <v>50</v>
      </c>
      <c r="L140" s="148"/>
      <c r="M140" s="92">
        <v>50</v>
      </c>
      <c r="N140" s="92"/>
      <c r="O140" s="201" t="s">
        <v>292</v>
      </c>
      <c r="P140" s="305">
        <v>6</v>
      </c>
      <c r="Q140" s="677"/>
      <c r="R140" s="566">
        <v>6</v>
      </c>
      <c r="S140" s="1379"/>
    </row>
    <row r="141" spans="1:19" ht="10.5" customHeight="1" x14ac:dyDescent="0.2">
      <c r="A141" s="897"/>
      <c r="B141" s="893"/>
      <c r="C141" s="465"/>
      <c r="D141" s="867"/>
      <c r="E141" s="1858"/>
      <c r="F141" s="886"/>
      <c r="G141" s="2168"/>
      <c r="H141" s="880"/>
      <c r="I141" s="2093"/>
      <c r="J141" s="67"/>
      <c r="K141" s="95"/>
      <c r="L141" s="149"/>
      <c r="M141" s="149"/>
      <c r="N141" s="149"/>
      <c r="O141" s="870"/>
      <c r="P141" s="327"/>
      <c r="Q141" s="403"/>
      <c r="R141" s="381"/>
      <c r="S141" s="23"/>
    </row>
    <row r="142" spans="1:19" ht="18" customHeight="1" thickBot="1" x14ac:dyDescent="0.25">
      <c r="A142" s="876"/>
      <c r="B142" s="324"/>
      <c r="C142" s="453"/>
      <c r="D142" s="331"/>
      <c r="E142" s="455"/>
      <c r="F142" s="456"/>
      <c r="G142" s="457"/>
      <c r="H142" s="331"/>
      <c r="I142" s="257"/>
      <c r="J142" s="156" t="s">
        <v>6</v>
      </c>
      <c r="K142" s="244">
        <f>SUM(K117:K141)</f>
        <v>5886.7</v>
      </c>
      <c r="L142" s="244">
        <f>SUM(L117:L141)</f>
        <v>5326.8</v>
      </c>
      <c r="M142" s="244">
        <f>SUM(M117:M141)</f>
        <v>5328.3</v>
      </c>
      <c r="N142" s="244">
        <f>SUM(N117:N141)</f>
        <v>5139.6000000000004</v>
      </c>
      <c r="O142" s="460"/>
      <c r="P142" s="461"/>
      <c r="Q142" s="462"/>
      <c r="R142" s="462"/>
      <c r="S142" s="463"/>
    </row>
    <row r="143" spans="1:19" ht="18" customHeight="1" x14ac:dyDescent="0.2">
      <c r="A143" s="1734" t="s">
        <v>5</v>
      </c>
      <c r="B143" s="1903" t="s">
        <v>7</v>
      </c>
      <c r="C143" s="2130" t="s">
        <v>7</v>
      </c>
      <c r="D143" s="1869"/>
      <c r="E143" s="2150" t="s">
        <v>316</v>
      </c>
      <c r="F143" s="1609" t="s">
        <v>47</v>
      </c>
      <c r="G143" s="2124" t="s">
        <v>135</v>
      </c>
      <c r="H143" s="1877" t="s">
        <v>43</v>
      </c>
      <c r="I143" s="2128" t="s">
        <v>166</v>
      </c>
      <c r="J143" s="421" t="s">
        <v>70</v>
      </c>
      <c r="K143" s="261">
        <v>150</v>
      </c>
      <c r="L143" s="215">
        <v>391.7</v>
      </c>
      <c r="M143" s="425"/>
      <c r="N143" s="425"/>
      <c r="O143" s="437" t="s">
        <v>317</v>
      </c>
      <c r="P143" s="236"/>
      <c r="Q143" s="630"/>
      <c r="R143" s="1186"/>
      <c r="S143" s="631"/>
    </row>
    <row r="144" spans="1:19" ht="26.25" customHeight="1" x14ac:dyDescent="0.2">
      <c r="A144" s="1734"/>
      <c r="B144" s="1903"/>
      <c r="C144" s="2130"/>
      <c r="D144" s="1736"/>
      <c r="E144" s="2260"/>
      <c r="F144" s="1610" t="s">
        <v>403</v>
      </c>
      <c r="G144" s="2124"/>
      <c r="H144" s="1877"/>
      <c r="I144" s="2128"/>
      <c r="J144" s="64" t="s">
        <v>70</v>
      </c>
      <c r="K144" s="108"/>
      <c r="L144" s="68"/>
      <c r="M144" s="66"/>
      <c r="N144" s="66"/>
      <c r="O144" s="1860" t="s">
        <v>218</v>
      </c>
      <c r="P144" s="327">
        <v>4</v>
      </c>
      <c r="Q144" s="381">
        <v>6</v>
      </c>
      <c r="R144" s="182"/>
      <c r="S144" s="1376"/>
    </row>
    <row r="145" spans="1:22" ht="30" customHeight="1" x14ac:dyDescent="0.2">
      <c r="A145" s="1734"/>
      <c r="B145" s="1903"/>
      <c r="C145" s="2130"/>
      <c r="D145" s="1736"/>
      <c r="E145" s="2260"/>
      <c r="F145" s="1610"/>
      <c r="G145" s="2124"/>
      <c r="H145" s="1877"/>
      <c r="I145" s="2128"/>
      <c r="J145" s="80"/>
      <c r="K145" s="178"/>
      <c r="L145" s="80"/>
      <c r="M145" s="208"/>
      <c r="N145" s="208"/>
      <c r="O145" s="1935"/>
      <c r="P145" s="701"/>
      <c r="Q145" s="699"/>
      <c r="R145" s="388"/>
      <c r="S145" s="587"/>
    </row>
    <row r="146" spans="1:22" ht="17.25" customHeight="1" x14ac:dyDescent="0.2">
      <c r="A146" s="404"/>
      <c r="B146" s="890"/>
      <c r="C146" s="697"/>
      <c r="D146" s="866"/>
      <c r="E146" s="2166"/>
      <c r="F146" s="892"/>
      <c r="G146" s="2124"/>
      <c r="H146" s="880"/>
      <c r="I146" s="868"/>
      <c r="J146" s="280" t="s">
        <v>70</v>
      </c>
      <c r="K146" s="283"/>
      <c r="L146" s="280">
        <v>15</v>
      </c>
      <c r="M146" s="339"/>
      <c r="N146" s="339"/>
      <c r="O146" s="881" t="s">
        <v>318</v>
      </c>
      <c r="P146" s="40"/>
      <c r="Q146" s="698" t="s">
        <v>56</v>
      </c>
      <c r="R146" s="231"/>
      <c r="S146" s="434"/>
    </row>
    <row r="147" spans="1:22" ht="27" customHeight="1" x14ac:dyDescent="0.2">
      <c r="A147" s="404"/>
      <c r="B147" s="890"/>
      <c r="C147" s="697"/>
      <c r="D147" s="866"/>
      <c r="E147" s="2166"/>
      <c r="F147" s="892"/>
      <c r="G147" s="2124"/>
      <c r="H147" s="880"/>
      <c r="I147" s="868"/>
      <c r="J147" s="80" t="s">
        <v>70</v>
      </c>
      <c r="K147" s="178"/>
      <c r="L147" s="80"/>
      <c r="M147" s="208">
        <v>558.6</v>
      </c>
      <c r="N147" s="208"/>
      <c r="O147" s="661" t="s">
        <v>281</v>
      </c>
      <c r="P147" s="387"/>
      <c r="Q147" s="699"/>
      <c r="R147" s="388" t="s">
        <v>278</v>
      </c>
      <c r="S147" s="587"/>
      <c r="V147" s="1015"/>
    </row>
    <row r="148" spans="1:22" ht="40.5" customHeight="1" x14ac:dyDescent="0.2">
      <c r="A148" s="404"/>
      <c r="B148" s="890"/>
      <c r="C148" s="697"/>
      <c r="D148" s="866"/>
      <c r="E148" s="873"/>
      <c r="F148" s="892"/>
      <c r="G148" s="2124"/>
      <c r="H148" s="880"/>
      <c r="I148" s="868"/>
      <c r="J148" s="80" t="s">
        <v>25</v>
      </c>
      <c r="K148" s="178">
        <v>40</v>
      </c>
      <c r="L148" s="80"/>
      <c r="M148" s="208"/>
      <c r="N148" s="208"/>
      <c r="O148" s="895" t="s">
        <v>319</v>
      </c>
      <c r="P148" s="40">
        <v>1</v>
      </c>
      <c r="Q148" s="698"/>
      <c r="R148" s="231"/>
      <c r="S148" s="434"/>
    </row>
    <row r="149" spans="1:22" ht="18" customHeight="1" thickBot="1" x14ac:dyDescent="0.25">
      <c r="A149" s="876"/>
      <c r="B149" s="324"/>
      <c r="C149" s="453"/>
      <c r="D149" s="331"/>
      <c r="E149" s="455"/>
      <c r="F149" s="456"/>
      <c r="G149" s="2185"/>
      <c r="H149" s="331"/>
      <c r="I149" s="257"/>
      <c r="J149" s="156" t="s">
        <v>6</v>
      </c>
      <c r="K149" s="244">
        <f t="shared" ref="K149:N149" si="5">SUM(K143:K148)</f>
        <v>190</v>
      </c>
      <c r="L149" s="244">
        <f>SUM(L143:L148)</f>
        <v>406.7</v>
      </c>
      <c r="M149" s="244">
        <f t="shared" ref="M149" si="6">SUM(M143:M148)</f>
        <v>558.6</v>
      </c>
      <c r="N149" s="244">
        <f t="shared" si="5"/>
        <v>0</v>
      </c>
      <c r="O149" s="460"/>
      <c r="P149" s="461"/>
      <c r="Q149" s="462"/>
      <c r="R149" s="462"/>
      <c r="S149" s="463"/>
    </row>
    <row r="150" spans="1:22" ht="16.5" customHeight="1" x14ac:dyDescent="0.2">
      <c r="A150" s="1900" t="s">
        <v>5</v>
      </c>
      <c r="B150" s="1902" t="s">
        <v>7</v>
      </c>
      <c r="C150" s="1869" t="s">
        <v>28</v>
      </c>
      <c r="D150" s="2163"/>
      <c r="E150" s="2150" t="s">
        <v>159</v>
      </c>
      <c r="F150" s="1609" t="s">
        <v>47</v>
      </c>
      <c r="G150" s="2267" t="s">
        <v>236</v>
      </c>
      <c r="H150" s="1869">
        <v>5</v>
      </c>
      <c r="I150" s="2157" t="s">
        <v>73</v>
      </c>
      <c r="J150" s="215" t="s">
        <v>25</v>
      </c>
      <c r="K150" s="108">
        <v>113</v>
      </c>
      <c r="L150" s="215">
        <v>639.6</v>
      </c>
      <c r="M150" s="108"/>
      <c r="N150" s="215"/>
      <c r="O150" s="2160" t="s">
        <v>323</v>
      </c>
      <c r="P150" s="328"/>
      <c r="Q150" s="328">
        <v>17</v>
      </c>
      <c r="R150" s="1409"/>
      <c r="S150" s="916"/>
    </row>
    <row r="151" spans="1:22" ht="21" customHeight="1" x14ac:dyDescent="0.2">
      <c r="A151" s="1734"/>
      <c r="B151" s="1903"/>
      <c r="C151" s="1736"/>
      <c r="D151" s="1833"/>
      <c r="E151" s="1737"/>
      <c r="F151" s="1610" t="s">
        <v>403</v>
      </c>
      <c r="G151" s="2124"/>
      <c r="H151" s="1736"/>
      <c r="I151" s="2128"/>
      <c r="J151" s="68" t="s">
        <v>376</v>
      </c>
      <c r="K151" s="108">
        <v>640</v>
      </c>
      <c r="L151" s="68">
        <v>3624.5</v>
      </c>
      <c r="M151" s="108"/>
      <c r="N151" s="68"/>
      <c r="O151" s="2145"/>
      <c r="P151" s="327"/>
      <c r="Q151" s="327"/>
      <c r="R151" s="381"/>
      <c r="S151" s="1376"/>
      <c r="T151" s="54"/>
      <c r="V151" s="1015"/>
    </row>
    <row r="152" spans="1:22" ht="16.5" customHeight="1" thickBot="1" x14ac:dyDescent="0.25">
      <c r="A152" s="1901"/>
      <c r="B152" s="1904"/>
      <c r="C152" s="1870"/>
      <c r="D152" s="2164"/>
      <c r="E152" s="279"/>
      <c r="F152" s="1611"/>
      <c r="G152" s="2268"/>
      <c r="H152" s="1870"/>
      <c r="I152" s="2172"/>
      <c r="J152" s="98" t="s">
        <v>6</v>
      </c>
      <c r="K152" s="331">
        <f t="shared" ref="K152:N152" si="7">SUM(K150:K151)</f>
        <v>753</v>
      </c>
      <c r="L152" s="98">
        <f t="shared" si="7"/>
        <v>4264.1000000000004</v>
      </c>
      <c r="M152" s="331">
        <f t="shared" ref="M152" si="8">SUM(M150:M151)</f>
        <v>0</v>
      </c>
      <c r="N152" s="98">
        <f t="shared" si="7"/>
        <v>0</v>
      </c>
      <c r="O152" s="1440"/>
      <c r="P152" s="219"/>
      <c r="Q152" s="219"/>
      <c r="R152" s="1124"/>
      <c r="S152" s="799"/>
    </row>
    <row r="153" spans="1:22" ht="16.5" customHeight="1" x14ac:dyDescent="0.2">
      <c r="A153" s="1900" t="s">
        <v>5</v>
      </c>
      <c r="B153" s="1902" t="s">
        <v>7</v>
      </c>
      <c r="C153" s="1869"/>
      <c r="D153" s="2163"/>
      <c r="E153" s="2151" t="s">
        <v>384</v>
      </c>
      <c r="F153" s="2153" t="s">
        <v>47</v>
      </c>
      <c r="G153" s="2187" t="s">
        <v>236</v>
      </c>
      <c r="H153" s="2190">
        <v>5</v>
      </c>
      <c r="I153" s="2193"/>
      <c r="J153" s="215"/>
      <c r="K153" s="108"/>
      <c r="L153" s="215"/>
      <c r="M153" s="108"/>
      <c r="N153" s="215"/>
      <c r="O153" s="2160" t="s">
        <v>323</v>
      </c>
      <c r="P153" s="328"/>
      <c r="Q153" s="328">
        <v>17</v>
      </c>
      <c r="R153" s="1409"/>
      <c r="S153" s="916"/>
      <c r="T153" s="1471" t="s">
        <v>383</v>
      </c>
    </row>
    <row r="154" spans="1:22" ht="21" customHeight="1" x14ac:dyDescent="0.2">
      <c r="A154" s="1734"/>
      <c r="B154" s="1903"/>
      <c r="C154" s="1736"/>
      <c r="D154" s="1833"/>
      <c r="E154" s="2152"/>
      <c r="F154" s="2154"/>
      <c r="G154" s="2188"/>
      <c r="H154" s="2191"/>
      <c r="I154" s="2194"/>
      <c r="J154" s="68"/>
      <c r="K154" s="108"/>
      <c r="L154" s="68"/>
      <c r="M154" s="108"/>
      <c r="N154" s="68"/>
      <c r="O154" s="2145"/>
      <c r="P154" s="1468"/>
      <c r="Q154" s="1468"/>
      <c r="R154" s="381"/>
      <c r="S154" s="1467"/>
      <c r="T154" s="1469"/>
      <c r="V154" s="1015"/>
    </row>
    <row r="155" spans="1:22" ht="16.5" customHeight="1" thickBot="1" x14ac:dyDescent="0.25">
      <c r="A155" s="1901"/>
      <c r="B155" s="1904"/>
      <c r="C155" s="1870"/>
      <c r="D155" s="2164"/>
      <c r="E155" s="1470"/>
      <c r="F155" s="2155"/>
      <c r="G155" s="2189"/>
      <c r="H155" s="2192"/>
      <c r="I155" s="2195"/>
      <c r="J155" s="98" t="s">
        <v>6</v>
      </c>
      <c r="K155" s="331">
        <f t="shared" ref="K155:N155" si="9">SUM(K153:K154)</f>
        <v>0</v>
      </c>
      <c r="L155" s="98">
        <f t="shared" si="9"/>
        <v>0</v>
      </c>
      <c r="M155" s="331">
        <f t="shared" si="9"/>
        <v>0</v>
      </c>
      <c r="N155" s="98">
        <f t="shared" si="9"/>
        <v>0</v>
      </c>
      <c r="O155" s="1440"/>
      <c r="P155" s="219"/>
      <c r="Q155" s="219"/>
      <c r="R155" s="1124"/>
      <c r="S155" s="799"/>
    </row>
    <row r="156" spans="1:22" ht="14.25" customHeight="1" thickBot="1" x14ac:dyDescent="0.25">
      <c r="A156" s="99" t="s">
        <v>5</v>
      </c>
      <c r="B156" s="326" t="s">
        <v>7</v>
      </c>
      <c r="C156" s="1885" t="s">
        <v>8</v>
      </c>
      <c r="D156" s="1829"/>
      <c r="E156" s="1829"/>
      <c r="F156" s="1829"/>
      <c r="G156" s="1829"/>
      <c r="H156" s="1829"/>
      <c r="I156" s="1829"/>
      <c r="J156" s="1761"/>
      <c r="K156" s="433">
        <f t="shared" ref="K156:N156" si="10">K152+K149+K142</f>
        <v>6829.7</v>
      </c>
      <c r="L156" s="159">
        <f t="shared" si="10"/>
        <v>9997.6</v>
      </c>
      <c r="M156" s="159">
        <f t="shared" si="10"/>
        <v>5886.9</v>
      </c>
      <c r="N156" s="159">
        <f t="shared" si="10"/>
        <v>5139.6000000000004</v>
      </c>
      <c r="O156" s="1762"/>
      <c r="P156" s="1762"/>
      <c r="Q156" s="1762"/>
      <c r="R156" s="1762"/>
      <c r="S156" s="1763"/>
    </row>
    <row r="157" spans="1:22" ht="18" customHeight="1" thickBot="1" x14ac:dyDescent="0.25">
      <c r="A157" s="85" t="s">
        <v>5</v>
      </c>
      <c r="B157" s="326" t="s">
        <v>28</v>
      </c>
      <c r="C157" s="1746" t="s">
        <v>119</v>
      </c>
      <c r="D157" s="1747"/>
      <c r="E157" s="1747"/>
      <c r="F157" s="1747"/>
      <c r="G157" s="1747"/>
      <c r="H157" s="1747"/>
      <c r="I157" s="1747"/>
      <c r="J157" s="1747"/>
      <c r="K157" s="1747"/>
      <c r="L157" s="1747"/>
      <c r="M157" s="1747"/>
      <c r="N157" s="1747"/>
      <c r="O157" s="1747"/>
      <c r="P157" s="1747"/>
      <c r="Q157" s="1747"/>
      <c r="R157" s="1747"/>
      <c r="S157" s="1748"/>
    </row>
    <row r="158" spans="1:22" ht="27" customHeight="1" x14ac:dyDescent="0.2">
      <c r="A158" s="292" t="s">
        <v>5</v>
      </c>
      <c r="B158" s="325" t="s">
        <v>28</v>
      </c>
      <c r="C158" s="459" t="s">
        <v>5</v>
      </c>
      <c r="D158" s="451"/>
      <c r="E158" s="264" t="s">
        <v>115</v>
      </c>
      <c r="F158" s="129" t="s">
        <v>79</v>
      </c>
      <c r="G158" s="116"/>
      <c r="H158" s="316"/>
      <c r="I158" s="276"/>
      <c r="J158" s="100"/>
      <c r="K158" s="89"/>
      <c r="L158" s="153"/>
      <c r="M158" s="153"/>
      <c r="N158" s="153"/>
      <c r="O158" s="101"/>
      <c r="P158" s="222"/>
      <c r="Q158" s="220"/>
      <c r="R158" s="220"/>
      <c r="S158" s="399"/>
    </row>
    <row r="159" spans="1:22" ht="13.5" customHeight="1" x14ac:dyDescent="0.2">
      <c r="A159" s="289"/>
      <c r="B159" s="322"/>
      <c r="C159" s="458"/>
      <c r="D159" s="367" t="s">
        <v>5</v>
      </c>
      <c r="E159" s="1883" t="s">
        <v>113</v>
      </c>
      <c r="F159" s="1851" t="s">
        <v>78</v>
      </c>
      <c r="G159" s="2170" t="s">
        <v>237</v>
      </c>
      <c r="H159" s="509" t="s">
        <v>37</v>
      </c>
      <c r="I159" s="2181" t="s">
        <v>76</v>
      </c>
      <c r="J159" s="60" t="s">
        <v>106</v>
      </c>
      <c r="K159" s="96"/>
      <c r="L159" s="147">
        <v>100</v>
      </c>
      <c r="M159" s="60">
        <v>100</v>
      </c>
      <c r="N159" s="60">
        <v>100</v>
      </c>
      <c r="O159" s="355"/>
      <c r="P159" s="270"/>
      <c r="Q159" s="42"/>
      <c r="R159" s="1122"/>
      <c r="S159" s="37"/>
    </row>
    <row r="160" spans="1:22" ht="15" customHeight="1" x14ac:dyDescent="0.2">
      <c r="A160" s="289"/>
      <c r="B160" s="322"/>
      <c r="C160" s="458"/>
      <c r="D160" s="449"/>
      <c r="E160" s="1770"/>
      <c r="F160" s="1884"/>
      <c r="G160" s="2180"/>
      <c r="H160" s="510"/>
      <c r="I160" s="2182"/>
      <c r="J160" s="68" t="s">
        <v>25</v>
      </c>
      <c r="K160" s="92"/>
      <c r="L160" s="148">
        <v>270</v>
      </c>
      <c r="M160" s="68">
        <v>270</v>
      </c>
      <c r="N160" s="68">
        <v>270</v>
      </c>
      <c r="O160" s="356"/>
      <c r="P160" s="327"/>
      <c r="Q160" s="381"/>
      <c r="R160" s="1437"/>
      <c r="S160" s="1379"/>
    </row>
    <row r="161" spans="1:21" ht="18.75" customHeight="1" x14ac:dyDescent="0.2">
      <c r="A161" s="289"/>
      <c r="B161" s="322"/>
      <c r="C161" s="458"/>
      <c r="D161" s="449"/>
      <c r="E161" s="1770"/>
      <c r="F161" s="1787"/>
      <c r="G161" s="2180"/>
      <c r="H161" s="510"/>
      <c r="I161" s="2182"/>
      <c r="J161" s="68" t="s">
        <v>77</v>
      </c>
      <c r="K161" s="92"/>
      <c r="L161" s="154"/>
      <c r="M161" s="73"/>
      <c r="N161" s="73"/>
      <c r="O161" s="275"/>
      <c r="P161" s="207"/>
      <c r="Q161" s="393"/>
      <c r="R161" s="441"/>
      <c r="S161" s="1404"/>
    </row>
    <row r="162" spans="1:21" ht="27.75" customHeight="1" x14ac:dyDescent="0.2">
      <c r="A162" s="347"/>
      <c r="B162" s="368"/>
      <c r="C162" s="458"/>
      <c r="D162" s="449"/>
      <c r="E162" s="1770"/>
      <c r="F162" s="354"/>
      <c r="G162" s="2180"/>
      <c r="H162" s="510"/>
      <c r="I162" s="2182"/>
      <c r="J162" s="82" t="s">
        <v>77</v>
      </c>
      <c r="K162" s="544">
        <v>149.19999999999999</v>
      </c>
      <c r="L162" s="148"/>
      <c r="M162" s="68"/>
      <c r="N162" s="68"/>
      <c r="O162" s="513" t="s">
        <v>120</v>
      </c>
      <c r="P162" s="270">
        <v>13.8</v>
      </c>
      <c r="Q162" s="42">
        <v>13.8</v>
      </c>
      <c r="R162" s="42">
        <v>13.8</v>
      </c>
      <c r="S162" s="43">
        <v>13.8</v>
      </c>
    </row>
    <row r="163" spans="1:21" ht="17.25" customHeight="1" x14ac:dyDescent="0.2">
      <c r="A163" s="347"/>
      <c r="B163" s="368"/>
      <c r="C163" s="458"/>
      <c r="D163" s="449"/>
      <c r="E163" s="1770"/>
      <c r="F163" s="354"/>
      <c r="G163" s="2180"/>
      <c r="H163" s="510"/>
      <c r="I163" s="2182"/>
      <c r="J163" s="68" t="s">
        <v>106</v>
      </c>
      <c r="K163" s="148">
        <v>100</v>
      </c>
      <c r="L163" s="148"/>
      <c r="M163" s="68"/>
      <c r="N163" s="68"/>
      <c r="O163" s="513" t="s">
        <v>38</v>
      </c>
      <c r="P163" s="327">
        <v>67</v>
      </c>
      <c r="Q163" s="381">
        <v>67</v>
      </c>
      <c r="R163" s="182">
        <v>67</v>
      </c>
      <c r="S163" s="1376">
        <v>67</v>
      </c>
    </row>
    <row r="164" spans="1:21" ht="17.25" customHeight="1" x14ac:dyDescent="0.2">
      <c r="A164" s="506"/>
      <c r="B164" s="512"/>
      <c r="C164" s="507"/>
      <c r="D164" s="508"/>
      <c r="E164" s="1770"/>
      <c r="F164" s="511"/>
      <c r="G164" s="2180"/>
      <c r="H164" s="510"/>
      <c r="I164" s="2182"/>
      <c r="J164" s="73"/>
      <c r="K164" s="154"/>
      <c r="L164" s="154"/>
      <c r="M164" s="73"/>
      <c r="N164" s="73"/>
      <c r="O164" s="275" t="s">
        <v>84</v>
      </c>
      <c r="P164" s="548">
        <v>1.8</v>
      </c>
      <c r="Q164" s="549">
        <v>1.8</v>
      </c>
      <c r="R164" s="1032">
        <v>1.8</v>
      </c>
      <c r="S164" s="550">
        <v>1.8</v>
      </c>
    </row>
    <row r="165" spans="1:21" ht="16.5" customHeight="1" x14ac:dyDescent="0.2">
      <c r="A165" s="289"/>
      <c r="B165" s="322"/>
      <c r="C165" s="458"/>
      <c r="D165" s="449"/>
      <c r="E165" s="1770"/>
      <c r="F165" s="354"/>
      <c r="G165" s="2180"/>
      <c r="H165" s="510"/>
      <c r="I165" s="2182"/>
      <c r="J165" s="65" t="s">
        <v>62</v>
      </c>
      <c r="K165" s="151">
        <v>49</v>
      </c>
      <c r="L165" s="151"/>
      <c r="M165" s="65"/>
      <c r="N165" s="65"/>
      <c r="O165" s="275" t="s">
        <v>361</v>
      </c>
      <c r="P165" s="27">
        <v>100</v>
      </c>
      <c r="Q165" s="392"/>
      <c r="R165" s="1441"/>
      <c r="S165" s="551"/>
    </row>
    <row r="166" spans="1:21" ht="21" customHeight="1" x14ac:dyDescent="0.2">
      <c r="A166" s="506"/>
      <c r="B166" s="512"/>
      <c r="C166" s="507"/>
      <c r="D166" s="508"/>
      <c r="E166" s="1770"/>
      <c r="F166" s="511"/>
      <c r="G166" s="547"/>
      <c r="H166" s="510"/>
      <c r="I166" s="2182"/>
      <c r="J166" s="68" t="s">
        <v>77</v>
      </c>
      <c r="K166" s="92">
        <v>12.8</v>
      </c>
      <c r="L166" s="151"/>
      <c r="M166" s="65"/>
      <c r="N166" s="65"/>
      <c r="O166" s="258" t="s">
        <v>183</v>
      </c>
      <c r="P166" s="27">
        <v>165</v>
      </c>
      <c r="Q166" s="552"/>
      <c r="R166" s="1442"/>
      <c r="S166" s="553"/>
    </row>
    <row r="167" spans="1:21" ht="19.5" customHeight="1" x14ac:dyDescent="0.2">
      <c r="A167" s="506"/>
      <c r="B167" s="512"/>
      <c r="C167" s="507"/>
      <c r="D167" s="508"/>
      <c r="E167" s="1770"/>
      <c r="F167" s="511"/>
      <c r="G167" s="547"/>
      <c r="H167" s="510"/>
      <c r="I167" s="2182"/>
      <c r="J167" s="82" t="s">
        <v>77</v>
      </c>
      <c r="K167" s="544">
        <v>54</v>
      </c>
      <c r="L167" s="544"/>
      <c r="M167" s="82"/>
      <c r="N167" s="82"/>
      <c r="O167" s="2183" t="s">
        <v>358</v>
      </c>
      <c r="P167" s="705">
        <v>4</v>
      </c>
      <c r="Q167" s="552"/>
      <c r="R167" s="1443"/>
      <c r="S167" s="1033"/>
    </row>
    <row r="168" spans="1:21" ht="48" customHeight="1" x14ac:dyDescent="0.2">
      <c r="A168" s="1025"/>
      <c r="B168" s="1028"/>
      <c r="C168" s="1026"/>
      <c r="D168" s="1392"/>
      <c r="E168" s="1770"/>
      <c r="F168" s="1029"/>
      <c r="G168" s="547"/>
      <c r="H168" s="1027"/>
      <c r="I168" s="2182"/>
      <c r="J168" s="67" t="s">
        <v>62</v>
      </c>
      <c r="K168" s="1606">
        <f>150-16.7</f>
        <v>133.30000000000001</v>
      </c>
      <c r="L168" s="154"/>
      <c r="M168" s="73"/>
      <c r="N168" s="73"/>
      <c r="O168" s="1780"/>
      <c r="P168" s="1030"/>
      <c r="Q168" s="393"/>
      <c r="R168" s="1444"/>
      <c r="S168" s="1034"/>
      <c r="T168" s="54" t="s">
        <v>399</v>
      </c>
      <c r="U168" s="54"/>
    </row>
    <row r="169" spans="1:21" ht="15" customHeight="1" x14ac:dyDescent="0.2">
      <c r="A169" s="289"/>
      <c r="B169" s="322"/>
      <c r="C169" s="458"/>
      <c r="D169" s="449" t="s">
        <v>7</v>
      </c>
      <c r="E169" s="349" t="s">
        <v>66</v>
      </c>
      <c r="F169" s="401"/>
      <c r="G169" s="2170" t="s">
        <v>136</v>
      </c>
      <c r="H169" s="526"/>
      <c r="I169" s="532"/>
      <c r="J169" s="64" t="s">
        <v>106</v>
      </c>
      <c r="K169" s="96">
        <v>150</v>
      </c>
      <c r="L169" s="147">
        <v>150</v>
      </c>
      <c r="M169" s="60">
        <v>150</v>
      </c>
      <c r="N169" s="60">
        <v>150</v>
      </c>
      <c r="O169" s="355" t="s">
        <v>85</v>
      </c>
      <c r="P169" s="15">
        <v>1</v>
      </c>
      <c r="Q169" s="15">
        <v>1</v>
      </c>
      <c r="R169" s="1126">
        <v>1</v>
      </c>
      <c r="S169" s="1369">
        <v>1</v>
      </c>
    </row>
    <row r="170" spans="1:21" ht="16.5" customHeight="1" x14ac:dyDescent="0.2">
      <c r="A170" s="289"/>
      <c r="B170" s="322"/>
      <c r="C170" s="458"/>
      <c r="D170" s="959"/>
      <c r="E170" s="361"/>
      <c r="F170" s="157"/>
      <c r="G170" s="2217"/>
      <c r="H170" s="1363"/>
      <c r="I170" s="532"/>
      <c r="J170" s="62" t="s">
        <v>77</v>
      </c>
      <c r="K170" s="95">
        <v>0.6</v>
      </c>
      <c r="L170" s="149"/>
      <c r="M170" s="95"/>
      <c r="N170" s="95"/>
      <c r="O170" s="250"/>
      <c r="P170" s="19"/>
      <c r="Q170" s="19"/>
      <c r="R170" s="1115"/>
      <c r="S170" s="1370"/>
    </row>
    <row r="171" spans="1:21" ht="13.5" customHeight="1" x14ac:dyDescent="0.2">
      <c r="A171" s="993"/>
      <c r="B171" s="995"/>
      <c r="C171" s="994"/>
      <c r="D171" s="1385" t="s">
        <v>28</v>
      </c>
      <c r="E171" s="2015" t="s">
        <v>122</v>
      </c>
      <c r="F171" s="1446"/>
      <c r="G171" s="2146" t="s">
        <v>137</v>
      </c>
      <c r="H171" s="616"/>
      <c r="I171" s="2148"/>
      <c r="J171" s="68" t="s">
        <v>77</v>
      </c>
      <c r="K171" s="96">
        <v>8</v>
      </c>
      <c r="L171" s="964"/>
      <c r="M171" s="964"/>
      <c r="N171" s="964"/>
      <c r="O171" s="1977" t="s">
        <v>330</v>
      </c>
      <c r="P171" s="1981">
        <v>14</v>
      </c>
      <c r="Q171" s="1981"/>
      <c r="R171" s="1979"/>
      <c r="S171" s="2184"/>
    </row>
    <row r="172" spans="1:21" ht="12" customHeight="1" x14ac:dyDescent="0.2">
      <c r="A172" s="993"/>
      <c r="B172" s="995"/>
      <c r="C172" s="994"/>
      <c r="D172" s="1363"/>
      <c r="E172" s="1975"/>
      <c r="F172" s="963"/>
      <c r="G172" s="2147"/>
      <c r="H172" s="616"/>
      <c r="I172" s="2148"/>
      <c r="J172" s="304"/>
      <c r="K172" s="501"/>
      <c r="L172" s="500"/>
      <c r="M172" s="304"/>
      <c r="N172" s="304"/>
      <c r="O172" s="1880"/>
      <c r="P172" s="2149"/>
      <c r="Q172" s="2149"/>
      <c r="R172" s="2186"/>
      <c r="S172" s="2058"/>
    </row>
    <row r="173" spans="1:21" ht="15.75" customHeight="1" x14ac:dyDescent="0.2">
      <c r="A173" s="1010"/>
      <c r="B173" s="1012"/>
      <c r="C173" s="1011"/>
      <c r="D173" s="1392"/>
      <c r="E173" s="1976"/>
      <c r="F173" s="965"/>
      <c r="G173" s="2147"/>
      <c r="H173" s="616"/>
      <c r="I173" s="1391"/>
      <c r="J173" s="304"/>
      <c r="K173" s="501"/>
      <c r="L173" s="501"/>
      <c r="M173" s="501"/>
      <c r="N173" s="501"/>
      <c r="O173" s="1014"/>
      <c r="P173" s="182"/>
      <c r="Q173" s="327"/>
      <c r="R173" s="381"/>
      <c r="S173" s="1376"/>
      <c r="U173" s="54"/>
    </row>
    <row r="174" spans="1:21" ht="12" customHeight="1" x14ac:dyDescent="0.2">
      <c r="A174" s="289"/>
      <c r="B174" s="322"/>
      <c r="C174" s="458"/>
      <c r="D174" s="450" t="s">
        <v>33</v>
      </c>
      <c r="E174" s="1858" t="s">
        <v>114</v>
      </c>
      <c r="F174" s="1582" t="s">
        <v>47</v>
      </c>
      <c r="G174" s="2261" t="s">
        <v>238</v>
      </c>
      <c r="H174" s="314"/>
      <c r="I174" s="2128"/>
      <c r="J174" s="60"/>
      <c r="K174" s="168"/>
      <c r="L174" s="96"/>
      <c r="M174" s="96"/>
      <c r="N174" s="96"/>
      <c r="O174" s="1779"/>
      <c r="P174" s="2131"/>
      <c r="Q174" s="2131"/>
      <c r="R174" s="2131"/>
      <c r="S174" s="2161"/>
    </row>
    <row r="175" spans="1:21" ht="14.25" customHeight="1" x14ac:dyDescent="0.2">
      <c r="A175" s="289"/>
      <c r="B175" s="322"/>
      <c r="C175" s="458"/>
      <c r="D175" s="450"/>
      <c r="E175" s="2266"/>
      <c r="F175" s="1583"/>
      <c r="G175" s="2262"/>
      <c r="H175" s="314"/>
      <c r="I175" s="2156"/>
      <c r="J175" s="73"/>
      <c r="K175" s="163"/>
      <c r="L175" s="163"/>
      <c r="M175" s="163"/>
      <c r="N175" s="163"/>
      <c r="O175" s="2159"/>
      <c r="P175" s="2171"/>
      <c r="Q175" s="2132"/>
      <c r="R175" s="2132"/>
      <c r="S175" s="2162"/>
    </row>
    <row r="176" spans="1:21" ht="29.25" customHeight="1" x14ac:dyDescent="0.2">
      <c r="A176" s="347"/>
      <c r="B176" s="368"/>
      <c r="C176" s="458"/>
      <c r="D176" s="450"/>
      <c r="E176" s="374"/>
      <c r="F176" s="1581"/>
      <c r="G176" s="2262"/>
      <c r="H176" s="352"/>
      <c r="I176" s="833" t="s">
        <v>153</v>
      </c>
      <c r="J176" s="65" t="s">
        <v>70</v>
      </c>
      <c r="K176" s="224">
        <f>476+12+30</f>
        <v>518</v>
      </c>
      <c r="L176" s="93">
        <f>493+12</f>
        <v>505</v>
      </c>
      <c r="M176" s="93">
        <v>505</v>
      </c>
      <c r="N176" s="93">
        <v>505</v>
      </c>
      <c r="O176" s="258" t="s">
        <v>184</v>
      </c>
      <c r="P176" s="960">
        <v>170</v>
      </c>
      <c r="Q176" s="960">
        <v>170</v>
      </c>
      <c r="R176" s="960">
        <v>170</v>
      </c>
      <c r="S176" s="961">
        <v>170</v>
      </c>
    </row>
    <row r="177" spans="1:20" ht="40.5" customHeight="1" x14ac:dyDescent="0.2">
      <c r="A177" s="289"/>
      <c r="B177" s="322"/>
      <c r="C177" s="458"/>
      <c r="D177" s="1386"/>
      <c r="E177" s="1366"/>
      <c r="F177" s="130"/>
      <c r="G177" s="2262"/>
      <c r="H177" s="314"/>
      <c r="I177" s="1387" t="s">
        <v>76</v>
      </c>
      <c r="J177" s="1447" t="s">
        <v>70</v>
      </c>
      <c r="K177" s="1594">
        <f>291-95.9</f>
        <v>195.1</v>
      </c>
      <c r="L177" s="1448"/>
      <c r="M177" s="1448"/>
      <c r="N177" s="1448"/>
      <c r="O177" s="345" t="s">
        <v>179</v>
      </c>
      <c r="P177" s="1593"/>
      <c r="Q177" s="1593"/>
      <c r="R177" s="1593"/>
      <c r="S177" s="792"/>
      <c r="T177" s="1" t="s">
        <v>400</v>
      </c>
    </row>
    <row r="178" spans="1:20" ht="24" customHeight="1" x14ac:dyDescent="0.2">
      <c r="A178" s="296"/>
      <c r="B178" s="323"/>
      <c r="C178" s="465"/>
      <c r="D178" s="450" t="s">
        <v>34</v>
      </c>
      <c r="E178" s="1858" t="s">
        <v>202</v>
      </c>
      <c r="F178" s="317" t="s">
        <v>47</v>
      </c>
      <c r="G178" s="2173" t="s">
        <v>138</v>
      </c>
      <c r="H178" s="1365"/>
      <c r="I178" s="2128"/>
      <c r="J178" s="68" t="s">
        <v>25</v>
      </c>
      <c r="K178" s="92">
        <v>90.1</v>
      </c>
      <c r="L178" s="92">
        <v>90.1</v>
      </c>
      <c r="M178" s="92">
        <f>+K178</f>
        <v>90.1</v>
      </c>
      <c r="N178" s="92">
        <v>90.1</v>
      </c>
      <c r="O178" s="1880" t="s">
        <v>180</v>
      </c>
      <c r="P178" s="1596">
        <v>33</v>
      </c>
      <c r="Q178" s="624">
        <v>19</v>
      </c>
      <c r="R178" s="658">
        <v>19</v>
      </c>
      <c r="S178" s="246">
        <v>19</v>
      </c>
      <c r="T178" s="1" t="s">
        <v>401</v>
      </c>
    </row>
    <row r="179" spans="1:20" ht="14.25" customHeight="1" x14ac:dyDescent="0.2">
      <c r="A179" s="296"/>
      <c r="B179" s="323"/>
      <c r="C179" s="465"/>
      <c r="D179" s="369"/>
      <c r="E179" s="1879"/>
      <c r="F179" s="131"/>
      <c r="G179" s="2174"/>
      <c r="H179" s="894"/>
      <c r="I179" s="2196"/>
      <c r="J179" s="1435" t="s">
        <v>70</v>
      </c>
      <c r="K179" s="1595">
        <v>95.9</v>
      </c>
      <c r="L179" s="149"/>
      <c r="M179" s="149"/>
      <c r="N179" s="149"/>
      <c r="O179" s="1881"/>
      <c r="P179" s="626"/>
      <c r="Q179" s="626"/>
      <c r="R179" s="1410"/>
      <c r="S179" s="1445"/>
    </row>
    <row r="180" spans="1:20" ht="15.75" customHeight="1" thickBot="1" x14ac:dyDescent="0.25">
      <c r="A180" s="75"/>
      <c r="B180" s="295"/>
      <c r="C180" s="214"/>
      <c r="D180" s="331"/>
      <c r="E180" s="471"/>
      <c r="F180" s="472"/>
      <c r="G180" s="473"/>
      <c r="H180" s="214"/>
      <c r="I180" s="440"/>
      <c r="J180" s="156" t="s">
        <v>6</v>
      </c>
      <c r="K180" s="156">
        <f>SUM(K159:K179)</f>
        <v>1556</v>
      </c>
      <c r="L180" s="156">
        <f>SUM(L159:L179)</f>
        <v>1115.0999999999999</v>
      </c>
      <c r="M180" s="156">
        <f>SUM(M159:M179)</f>
        <v>1115.0999999999999</v>
      </c>
      <c r="N180" s="156">
        <f>SUM(N159:N179)</f>
        <v>1115.0999999999999</v>
      </c>
      <c r="O180" s="474"/>
      <c r="P180" s="461"/>
      <c r="Q180" s="462"/>
      <c r="R180" s="462"/>
      <c r="S180" s="463"/>
    </row>
    <row r="181" spans="1:20" ht="18" customHeight="1" x14ac:dyDescent="0.2">
      <c r="A181" s="1865" t="s">
        <v>5</v>
      </c>
      <c r="B181" s="1867" t="s">
        <v>28</v>
      </c>
      <c r="C181" s="1869" t="s">
        <v>7</v>
      </c>
      <c r="D181" s="2263"/>
      <c r="E181" s="1871" t="s">
        <v>304</v>
      </c>
      <c r="F181" s="1873" t="s">
        <v>403</v>
      </c>
      <c r="G181" s="2267" t="s">
        <v>150</v>
      </c>
      <c r="H181" s="1876" t="s">
        <v>56</v>
      </c>
      <c r="I181" s="2157" t="s">
        <v>65</v>
      </c>
      <c r="J181" s="105" t="s">
        <v>25</v>
      </c>
      <c r="K181" s="260">
        <v>112.6</v>
      </c>
      <c r="L181" s="215">
        <v>112.6</v>
      </c>
      <c r="M181" s="260">
        <v>112.6</v>
      </c>
      <c r="N181" s="260">
        <v>112.6</v>
      </c>
      <c r="O181" s="245" t="s">
        <v>69</v>
      </c>
      <c r="P181" s="321">
        <v>18</v>
      </c>
      <c r="Q181" s="321">
        <v>18</v>
      </c>
      <c r="R181" s="1108">
        <v>18</v>
      </c>
      <c r="S181" s="1146">
        <v>18</v>
      </c>
    </row>
    <row r="182" spans="1:20" ht="18" customHeight="1" x14ac:dyDescent="0.2">
      <c r="A182" s="1837"/>
      <c r="B182" s="1832"/>
      <c r="C182" s="1736"/>
      <c r="D182" s="2264"/>
      <c r="E182" s="1858"/>
      <c r="F182" s="1874"/>
      <c r="G182" s="2124"/>
      <c r="H182" s="1877"/>
      <c r="I182" s="2128"/>
      <c r="J182" s="280" t="s">
        <v>62</v>
      </c>
      <c r="K182" s="1614">
        <v>93</v>
      </c>
      <c r="L182" s="1615"/>
      <c r="M182" s="1614"/>
      <c r="N182" s="1614"/>
      <c r="O182" s="881" t="s">
        <v>86</v>
      </c>
      <c r="P182" s="327">
        <v>7</v>
      </c>
      <c r="Q182" s="327">
        <v>7</v>
      </c>
      <c r="R182" s="381">
        <v>7</v>
      </c>
      <c r="S182" s="1376">
        <v>7</v>
      </c>
      <c r="T182" s="54"/>
    </row>
    <row r="183" spans="1:20" ht="41.25" customHeight="1" x14ac:dyDescent="0.2">
      <c r="A183" s="1837"/>
      <c r="B183" s="1832"/>
      <c r="C183" s="1736"/>
      <c r="D183" s="2264"/>
      <c r="E183" s="1858"/>
      <c r="F183" s="1874"/>
      <c r="G183" s="2124"/>
      <c r="H183" s="1877"/>
      <c r="I183" s="2128"/>
      <c r="J183" s="80"/>
      <c r="K183" s="166"/>
      <c r="L183" s="166"/>
      <c r="M183" s="166"/>
      <c r="N183" s="61"/>
      <c r="O183" s="1616" t="s">
        <v>407</v>
      </c>
      <c r="P183" s="1604"/>
      <c r="Q183" s="1604"/>
      <c r="R183" s="381"/>
      <c r="S183" s="1603"/>
      <c r="T183" s="1617" t="s">
        <v>408</v>
      </c>
    </row>
    <row r="184" spans="1:20" ht="18.75" customHeight="1" thickBot="1" x14ac:dyDescent="0.25">
      <c r="A184" s="1866"/>
      <c r="B184" s="1868"/>
      <c r="C184" s="1870"/>
      <c r="D184" s="2265"/>
      <c r="E184" s="1872"/>
      <c r="F184" s="1875"/>
      <c r="G184" s="2268"/>
      <c r="H184" s="1878"/>
      <c r="I184" s="2158"/>
      <c r="J184" s="156" t="s">
        <v>6</v>
      </c>
      <c r="K184" s="169">
        <f>SUM(K181:K182)</f>
        <v>205.6</v>
      </c>
      <c r="L184" s="169">
        <f t="shared" ref="L184:N184" si="11">SUM(L181:L182)</f>
        <v>112.6</v>
      </c>
      <c r="M184" s="244">
        <f t="shared" ref="M184" si="12">SUM(M181:M182)</f>
        <v>112.6</v>
      </c>
      <c r="N184" s="244">
        <f t="shared" si="11"/>
        <v>112.6</v>
      </c>
      <c r="O184" s="765"/>
      <c r="P184" s="219"/>
      <c r="Q184" s="219"/>
      <c r="R184" s="1124"/>
      <c r="S184" s="799"/>
    </row>
    <row r="185" spans="1:20" ht="19.5" customHeight="1" x14ac:dyDescent="0.2">
      <c r="A185" s="889" t="s">
        <v>5</v>
      </c>
      <c r="B185" s="945" t="s">
        <v>28</v>
      </c>
      <c r="C185" s="946" t="s">
        <v>28</v>
      </c>
      <c r="D185" s="887"/>
      <c r="E185" s="1845" t="s">
        <v>223</v>
      </c>
      <c r="F185" s="2274" t="s">
        <v>402</v>
      </c>
      <c r="G185" s="947"/>
      <c r="H185" s="879"/>
      <c r="I185" s="948"/>
      <c r="J185" s="704"/>
      <c r="K185" s="949"/>
      <c r="L185" s="704"/>
      <c r="M185" s="949"/>
      <c r="N185" s="704"/>
      <c r="O185" s="950"/>
      <c r="P185" s="212"/>
      <c r="Q185" s="212"/>
      <c r="R185" s="261"/>
      <c r="S185" s="269"/>
    </row>
    <row r="186" spans="1:20" ht="20.25" customHeight="1" x14ac:dyDescent="0.2">
      <c r="A186" s="871"/>
      <c r="B186" s="872"/>
      <c r="C186" s="869"/>
      <c r="D186" s="867"/>
      <c r="E186" s="1847"/>
      <c r="F186" s="2275"/>
      <c r="G186" s="668"/>
      <c r="H186" s="894"/>
      <c r="I186" s="669"/>
      <c r="J186" s="665"/>
      <c r="K186" s="666"/>
      <c r="L186" s="665"/>
      <c r="M186" s="666"/>
      <c r="N186" s="665"/>
      <c r="O186" s="882"/>
      <c r="P186" s="44"/>
      <c r="Q186" s="45"/>
      <c r="R186" s="170"/>
      <c r="S186" s="46"/>
    </row>
    <row r="187" spans="1:20" ht="24.75" customHeight="1" x14ac:dyDescent="0.2">
      <c r="A187" s="1734"/>
      <c r="B187" s="1735"/>
      <c r="C187" s="2130"/>
      <c r="D187" s="1385" t="s">
        <v>5</v>
      </c>
      <c r="E187" s="1848" t="s">
        <v>305</v>
      </c>
      <c r="F187" s="1851" t="s">
        <v>406</v>
      </c>
      <c r="G187" s="2279" t="s">
        <v>239</v>
      </c>
      <c r="H187" s="874">
        <v>5</v>
      </c>
      <c r="I187" s="2128" t="s">
        <v>220</v>
      </c>
      <c r="J187" s="68" t="s">
        <v>44</v>
      </c>
      <c r="K187" s="92">
        <v>342</v>
      </c>
      <c r="L187" s="68">
        <v>234</v>
      </c>
      <c r="M187" s="92">
        <v>234</v>
      </c>
      <c r="N187" s="68"/>
      <c r="O187" s="346" t="s">
        <v>170</v>
      </c>
      <c r="P187" s="664" t="s">
        <v>171</v>
      </c>
      <c r="Q187" s="305">
        <v>100</v>
      </c>
      <c r="R187" s="566"/>
      <c r="S187" s="1379"/>
    </row>
    <row r="188" spans="1:20" ht="26.25" customHeight="1" x14ac:dyDescent="0.2">
      <c r="A188" s="1734"/>
      <c r="B188" s="1735"/>
      <c r="C188" s="2130"/>
      <c r="D188" s="1360"/>
      <c r="E188" s="1849"/>
      <c r="F188" s="1852"/>
      <c r="G188" s="2280"/>
      <c r="H188" s="880"/>
      <c r="I188" s="2128"/>
      <c r="J188" s="68" t="s">
        <v>25</v>
      </c>
      <c r="K188" s="108">
        <f>164-4</f>
        <v>160</v>
      </c>
      <c r="L188" s="68">
        <f>314+4</f>
        <v>318</v>
      </c>
      <c r="M188" s="92"/>
      <c r="N188" s="68"/>
      <c r="O188" s="229" t="s">
        <v>287</v>
      </c>
      <c r="P188" s="193">
        <v>1</v>
      </c>
      <c r="Q188" s="34"/>
      <c r="R188" s="542"/>
      <c r="S188" s="35"/>
    </row>
    <row r="189" spans="1:20" ht="17.25" customHeight="1" x14ac:dyDescent="0.2">
      <c r="A189" s="1734"/>
      <c r="B189" s="1735"/>
      <c r="C189" s="2130"/>
      <c r="D189" s="1386"/>
      <c r="E189" s="1850"/>
      <c r="F189" s="1853"/>
      <c r="G189" s="2280"/>
      <c r="H189" s="1363"/>
      <c r="I189" s="2128"/>
      <c r="J189" s="67" t="s">
        <v>62</v>
      </c>
      <c r="K189" s="170">
        <v>150</v>
      </c>
      <c r="L189" s="67"/>
      <c r="M189" s="95"/>
      <c r="N189" s="67"/>
      <c r="O189" s="1449" t="s">
        <v>162</v>
      </c>
      <c r="P189" s="794" t="s">
        <v>268</v>
      </c>
      <c r="Q189" s="795">
        <v>2</v>
      </c>
      <c r="R189" s="795"/>
      <c r="S189" s="796"/>
    </row>
    <row r="190" spans="1:20" ht="25.5" customHeight="1" x14ac:dyDescent="0.2">
      <c r="A190" s="1734"/>
      <c r="B190" s="1735"/>
      <c r="C190" s="2130"/>
      <c r="D190" s="866" t="s">
        <v>7</v>
      </c>
      <c r="E190" s="1737" t="s">
        <v>282</v>
      </c>
      <c r="F190" s="1834" t="s">
        <v>404</v>
      </c>
      <c r="G190" s="2279" t="s">
        <v>240</v>
      </c>
      <c r="H190" s="1360"/>
      <c r="I190" s="2128"/>
      <c r="J190" s="68" t="s">
        <v>25</v>
      </c>
      <c r="K190" s="92">
        <v>15</v>
      </c>
      <c r="L190" s="68">
        <v>44.5</v>
      </c>
      <c r="M190" s="92">
        <v>5</v>
      </c>
      <c r="N190" s="680">
        <v>3</v>
      </c>
      <c r="O190" s="229" t="s">
        <v>214</v>
      </c>
      <c r="P190" s="193">
        <v>1</v>
      </c>
      <c r="Q190" s="193"/>
      <c r="R190" s="182"/>
      <c r="S190" s="1376"/>
    </row>
    <row r="191" spans="1:20" ht="30.75" customHeight="1" x14ac:dyDescent="0.2">
      <c r="A191" s="1734"/>
      <c r="B191" s="1735"/>
      <c r="C191" s="2130"/>
      <c r="D191" s="866"/>
      <c r="E191" s="1738"/>
      <c r="F191" s="1844"/>
      <c r="G191" s="2280"/>
      <c r="H191" s="1363"/>
      <c r="I191" s="2128"/>
      <c r="J191" s="68" t="s">
        <v>44</v>
      </c>
      <c r="K191" s="92">
        <v>135</v>
      </c>
      <c r="L191" s="68">
        <v>400.1</v>
      </c>
      <c r="M191" s="92">
        <v>45</v>
      </c>
      <c r="N191" s="680">
        <v>26.6</v>
      </c>
      <c r="O191" s="1451" t="s">
        <v>283</v>
      </c>
      <c r="P191" s="707"/>
      <c r="Q191" s="707">
        <v>1</v>
      </c>
      <c r="R191" s="707"/>
      <c r="S191" s="243"/>
    </row>
    <row r="192" spans="1:20" ht="8.25" customHeight="1" x14ac:dyDescent="0.2">
      <c r="A192" s="404"/>
      <c r="B192" s="872"/>
      <c r="C192" s="491"/>
      <c r="D192" s="866"/>
      <c r="E192" s="1738"/>
      <c r="F192" s="2273"/>
      <c r="G192" s="1787"/>
      <c r="H192" s="1363"/>
      <c r="I192" s="997"/>
      <c r="J192" s="68"/>
      <c r="K192" s="170"/>
      <c r="L192" s="67"/>
      <c r="M192" s="95"/>
      <c r="N192" s="1435"/>
      <c r="O192" s="1450"/>
      <c r="P192" s="441"/>
      <c r="Q192" s="441"/>
      <c r="R192" s="441"/>
      <c r="S192" s="1404"/>
    </row>
    <row r="193" spans="1:19" ht="14.25" customHeight="1" x14ac:dyDescent="0.2">
      <c r="A193" s="1837"/>
      <c r="B193" s="1832"/>
      <c r="C193" s="2130"/>
      <c r="D193" s="2276" t="s">
        <v>28</v>
      </c>
      <c r="E193" s="1854" t="s">
        <v>209</v>
      </c>
      <c r="F193" s="1851" t="s">
        <v>163</v>
      </c>
      <c r="G193" s="2123" t="s">
        <v>241</v>
      </c>
      <c r="H193" s="1736"/>
      <c r="I193" s="2128"/>
      <c r="J193" s="228" t="s">
        <v>25</v>
      </c>
      <c r="K193" s="96">
        <v>18.100000000000001</v>
      </c>
      <c r="L193" s="60"/>
      <c r="M193" s="96"/>
      <c r="N193" s="1423"/>
      <c r="O193" s="498" t="s">
        <v>185</v>
      </c>
      <c r="P193" s="884">
        <v>1</v>
      </c>
      <c r="Q193" s="885"/>
      <c r="R193" s="1377"/>
      <c r="S193" s="1369"/>
    </row>
    <row r="194" spans="1:19" ht="13.5" customHeight="1" x14ac:dyDescent="0.2">
      <c r="A194" s="1837"/>
      <c r="B194" s="1832"/>
      <c r="C194" s="2130"/>
      <c r="D194" s="2277"/>
      <c r="E194" s="1738"/>
      <c r="F194" s="1852"/>
      <c r="G194" s="2124"/>
      <c r="H194" s="1736"/>
      <c r="I194" s="2128"/>
      <c r="J194" s="68" t="s">
        <v>44</v>
      </c>
      <c r="K194" s="92">
        <v>102.5</v>
      </c>
      <c r="L194" s="68"/>
      <c r="M194" s="92"/>
      <c r="N194" s="680"/>
      <c r="O194" s="346" t="s">
        <v>284</v>
      </c>
      <c r="P194" s="489">
        <v>6</v>
      </c>
      <c r="Q194" s="490"/>
      <c r="R194" s="182"/>
      <c r="S194" s="1376"/>
    </row>
    <row r="195" spans="1:19" ht="11.25" customHeight="1" x14ac:dyDescent="0.2">
      <c r="A195" s="1837"/>
      <c r="B195" s="1832"/>
      <c r="C195" s="2130"/>
      <c r="D195" s="2278"/>
      <c r="E195" s="1855"/>
      <c r="F195" s="1853"/>
      <c r="G195" s="2125"/>
      <c r="H195" s="1736"/>
      <c r="I195" s="2128"/>
      <c r="J195" s="80"/>
      <c r="K195" s="166"/>
      <c r="L195" s="61"/>
      <c r="M195" s="166"/>
      <c r="N195" s="1452"/>
      <c r="O195" s="21"/>
      <c r="P195" s="183"/>
      <c r="Q195" s="57"/>
      <c r="R195" s="51"/>
      <c r="S195" s="23"/>
    </row>
    <row r="196" spans="1:19" ht="26.25" customHeight="1" x14ac:dyDescent="0.2">
      <c r="A196" s="999"/>
      <c r="B196" s="1000"/>
      <c r="C196" s="998"/>
      <c r="D196" s="996" t="s">
        <v>33</v>
      </c>
      <c r="E196" s="1737" t="s">
        <v>327</v>
      </c>
      <c r="F196" s="1830" t="s">
        <v>405</v>
      </c>
      <c r="G196" s="1002"/>
      <c r="H196" s="1360"/>
      <c r="I196" s="2128"/>
      <c r="J196" s="68" t="s">
        <v>25</v>
      </c>
      <c r="K196" s="92">
        <v>4</v>
      </c>
      <c r="L196" s="680">
        <v>100</v>
      </c>
      <c r="M196" s="92">
        <v>150</v>
      </c>
      <c r="N196" s="1423">
        <v>187.8</v>
      </c>
      <c r="O196" s="1004" t="s">
        <v>329</v>
      </c>
      <c r="P196" s="40" t="s">
        <v>56</v>
      </c>
      <c r="Q196" s="40"/>
      <c r="R196" s="698"/>
      <c r="S196" s="434"/>
    </row>
    <row r="197" spans="1:19" ht="15.75" customHeight="1" x14ac:dyDescent="0.2">
      <c r="A197" s="999"/>
      <c r="B197" s="1000"/>
      <c r="C197" s="998"/>
      <c r="D197" s="996"/>
      <c r="E197" s="1737"/>
      <c r="F197" s="1831"/>
      <c r="G197" s="1002"/>
      <c r="H197" s="1003"/>
      <c r="I197" s="2128"/>
      <c r="J197" s="68" t="s">
        <v>44</v>
      </c>
      <c r="K197" s="92"/>
      <c r="L197" s="68"/>
      <c r="M197" s="92">
        <v>850</v>
      </c>
      <c r="N197" s="680">
        <v>1064.4000000000001</v>
      </c>
      <c r="O197" s="258" t="s">
        <v>98</v>
      </c>
      <c r="P197" s="712"/>
      <c r="Q197" s="225" t="s">
        <v>56</v>
      </c>
      <c r="R197" s="929"/>
      <c r="S197" s="713"/>
    </row>
    <row r="198" spans="1:19" ht="16.5" customHeight="1" x14ac:dyDescent="0.2">
      <c r="A198" s="999"/>
      <c r="B198" s="1000"/>
      <c r="C198" s="998"/>
      <c r="D198" s="996"/>
      <c r="E198" s="1738"/>
      <c r="F198" s="2143"/>
      <c r="G198" s="1002"/>
      <c r="H198" s="996"/>
      <c r="I198" s="2128"/>
      <c r="J198" s="68"/>
      <c r="K198" s="92"/>
      <c r="L198" s="68"/>
      <c r="M198" s="92"/>
      <c r="N198" s="680"/>
      <c r="O198" s="1004" t="s">
        <v>328</v>
      </c>
      <c r="P198" s="231"/>
      <c r="Q198" s="40"/>
      <c r="R198" s="698" t="s">
        <v>331</v>
      </c>
      <c r="S198" s="434" t="s">
        <v>382</v>
      </c>
    </row>
    <row r="199" spans="1:19" ht="37.5" customHeight="1" x14ac:dyDescent="0.2">
      <c r="A199" s="970"/>
      <c r="B199" s="971"/>
      <c r="C199" s="972"/>
      <c r="D199" s="865" t="s">
        <v>34</v>
      </c>
      <c r="E199" s="975" t="s">
        <v>167</v>
      </c>
      <c r="F199" s="974" t="s">
        <v>219</v>
      </c>
      <c r="G199" s="973" t="s">
        <v>139</v>
      </c>
      <c r="H199" s="671" t="s">
        <v>37</v>
      </c>
      <c r="I199" s="1001" t="s">
        <v>285</v>
      </c>
      <c r="J199" s="670" t="s">
        <v>77</v>
      </c>
      <c r="K199" s="396">
        <v>24.2</v>
      </c>
      <c r="L199" s="670"/>
      <c r="M199" s="990"/>
      <c r="N199" s="989"/>
      <c r="O199" s="77" t="s">
        <v>87</v>
      </c>
      <c r="P199" s="428">
        <v>1</v>
      </c>
      <c r="Q199" s="983"/>
      <c r="R199" s="983"/>
      <c r="S199" s="984"/>
    </row>
    <row r="200" spans="1:19" ht="18.75" customHeight="1" x14ac:dyDescent="0.2">
      <c r="A200" s="1837"/>
      <c r="B200" s="1832"/>
      <c r="C200" s="2130"/>
      <c r="D200" s="2276" t="s">
        <v>35</v>
      </c>
      <c r="E200" s="1854" t="s">
        <v>325</v>
      </c>
      <c r="F200" s="1851" t="s">
        <v>163</v>
      </c>
      <c r="G200" s="2123" t="s">
        <v>241</v>
      </c>
      <c r="H200" s="2126" t="s">
        <v>37</v>
      </c>
      <c r="I200" s="2128"/>
      <c r="J200" s="60" t="s">
        <v>77</v>
      </c>
      <c r="K200" s="96">
        <v>4</v>
      </c>
      <c r="L200" s="60"/>
      <c r="M200" s="96"/>
      <c r="N200" s="1423"/>
      <c r="O200" s="1779" t="s">
        <v>326</v>
      </c>
      <c r="P200" s="1456">
        <v>6</v>
      </c>
      <c r="Q200" s="1453">
        <v>6</v>
      </c>
      <c r="R200" s="1454">
        <v>6</v>
      </c>
      <c r="S200" s="1455">
        <v>6</v>
      </c>
    </row>
    <row r="201" spans="1:19" ht="13.5" customHeight="1" x14ac:dyDescent="0.2">
      <c r="A201" s="1837"/>
      <c r="B201" s="1832"/>
      <c r="C201" s="2130"/>
      <c r="D201" s="2277"/>
      <c r="E201" s="1738"/>
      <c r="F201" s="1852"/>
      <c r="G201" s="2124"/>
      <c r="H201" s="1843"/>
      <c r="I201" s="2128"/>
      <c r="J201" s="68" t="s">
        <v>25</v>
      </c>
      <c r="K201" s="680">
        <v>6</v>
      </c>
      <c r="L201" s="680">
        <v>6.2</v>
      </c>
      <c r="M201" s="830">
        <v>6.2</v>
      </c>
      <c r="N201" s="680">
        <v>6.2</v>
      </c>
      <c r="O201" s="2144"/>
      <c r="P201" s="489"/>
      <c r="Q201" s="490"/>
      <c r="R201" s="182"/>
      <c r="S201" s="1376"/>
    </row>
    <row r="202" spans="1:19" ht="11.25" customHeight="1" x14ac:dyDescent="0.2">
      <c r="A202" s="1837"/>
      <c r="B202" s="1832"/>
      <c r="C202" s="2130"/>
      <c r="D202" s="2278"/>
      <c r="E202" s="1855"/>
      <c r="F202" s="1853"/>
      <c r="G202" s="2125"/>
      <c r="H202" s="2127"/>
      <c r="I202" s="2129"/>
      <c r="J202" s="80"/>
      <c r="K202" s="61"/>
      <c r="L202" s="61"/>
      <c r="M202" s="166"/>
      <c r="N202" s="1452"/>
      <c r="O202" s="21"/>
      <c r="P202" s="183"/>
      <c r="Q202" s="57"/>
      <c r="R202" s="51"/>
      <c r="S202" s="23"/>
    </row>
    <row r="203" spans="1:19" ht="14.25" customHeight="1" thickBot="1" x14ac:dyDescent="0.25">
      <c r="A203" s="75"/>
      <c r="B203" s="877"/>
      <c r="C203" s="492"/>
      <c r="D203" s="492"/>
      <c r="E203" s="493"/>
      <c r="F203" s="494"/>
      <c r="G203" s="453"/>
      <c r="H203" s="492"/>
      <c r="I203" s="495"/>
      <c r="J203" s="156" t="s">
        <v>6</v>
      </c>
      <c r="K203" s="244">
        <f>SUM(K187:K202)</f>
        <v>960.8</v>
      </c>
      <c r="L203" s="244">
        <f>SUM(L187:L202)</f>
        <v>1102.8</v>
      </c>
      <c r="M203" s="244">
        <f t="shared" ref="M203:N203" si="13">SUM(M187:M202)</f>
        <v>1290.2</v>
      </c>
      <c r="N203" s="244">
        <f t="shared" si="13"/>
        <v>1288</v>
      </c>
      <c r="O203" s="496"/>
      <c r="P203" s="497"/>
      <c r="Q203" s="497"/>
      <c r="R203" s="1411"/>
      <c r="S203" s="1461"/>
    </row>
    <row r="204" spans="1:19" ht="14.25" customHeight="1" thickBot="1" x14ac:dyDescent="0.25">
      <c r="A204" s="99" t="s">
        <v>5</v>
      </c>
      <c r="B204" s="86" t="s">
        <v>28</v>
      </c>
      <c r="C204" s="1829" t="s">
        <v>8</v>
      </c>
      <c r="D204" s="1829"/>
      <c r="E204" s="1829"/>
      <c r="F204" s="1829"/>
      <c r="G204" s="1829"/>
      <c r="H204" s="1829"/>
      <c r="I204" s="1829"/>
      <c r="J204" s="1761"/>
      <c r="K204" s="251">
        <f>K203+K184+K180</f>
        <v>2722.4</v>
      </c>
      <c r="L204" s="251">
        <f>L203+L184+L180</f>
        <v>2330.5</v>
      </c>
      <c r="M204" s="251">
        <f>M203+M184+M180</f>
        <v>2517.9</v>
      </c>
      <c r="N204" s="251">
        <f>N203+N184+N180</f>
        <v>2515.6999999999998</v>
      </c>
      <c r="O204" s="1762"/>
      <c r="P204" s="1762"/>
      <c r="Q204" s="1762"/>
      <c r="R204" s="1762"/>
      <c r="S204" s="1763"/>
    </row>
    <row r="205" spans="1:19" ht="14.25" customHeight="1" thickBot="1" x14ac:dyDescent="0.25">
      <c r="A205" s="85" t="s">
        <v>5</v>
      </c>
      <c r="B205" s="86" t="s">
        <v>33</v>
      </c>
      <c r="C205" s="1746" t="s">
        <v>222</v>
      </c>
      <c r="D205" s="1747"/>
      <c r="E205" s="1747"/>
      <c r="F205" s="1747"/>
      <c r="G205" s="1747"/>
      <c r="H205" s="1747"/>
      <c r="I205" s="1747"/>
      <c r="J205" s="1747"/>
      <c r="K205" s="1747"/>
      <c r="L205" s="1747"/>
      <c r="M205" s="1747"/>
      <c r="N205" s="1747"/>
      <c r="O205" s="1747"/>
      <c r="P205" s="1747"/>
      <c r="Q205" s="1747"/>
      <c r="R205" s="1747"/>
      <c r="S205" s="1748"/>
    </row>
    <row r="206" spans="1:19" ht="31.5" customHeight="1" x14ac:dyDescent="0.2">
      <c r="A206" s="292" t="s">
        <v>5</v>
      </c>
      <c r="B206" s="294" t="s">
        <v>33</v>
      </c>
      <c r="C206" s="470" t="s">
        <v>5</v>
      </c>
      <c r="D206" s="106"/>
      <c r="E206" s="132" t="s">
        <v>112</v>
      </c>
      <c r="F206" s="146"/>
      <c r="G206" s="115"/>
      <c r="H206" s="106"/>
      <c r="I206" s="546"/>
      <c r="J206" s="100"/>
      <c r="K206" s="563"/>
      <c r="L206" s="84"/>
      <c r="M206" s="84"/>
      <c r="N206" s="84"/>
      <c r="O206" s="107"/>
      <c r="P206" s="6"/>
      <c r="Q206" s="6"/>
      <c r="R206" s="1127"/>
      <c r="S206" s="1457"/>
    </row>
    <row r="207" spans="1:19" ht="15.75" customHeight="1" x14ac:dyDescent="0.2">
      <c r="A207" s="516"/>
      <c r="B207" s="517"/>
      <c r="C207" s="465"/>
      <c r="D207" s="702" t="s">
        <v>5</v>
      </c>
      <c r="E207" s="556" t="s">
        <v>109</v>
      </c>
      <c r="F207" s="523"/>
      <c r="G207" s="560" t="s">
        <v>152</v>
      </c>
      <c r="H207" s="540">
        <v>6</v>
      </c>
      <c r="I207" s="2128" t="s">
        <v>108</v>
      </c>
      <c r="J207" s="60" t="s">
        <v>25</v>
      </c>
      <c r="K207" s="1423">
        <f>1914.6-300-42.7-50-145+85.8</f>
        <v>1462.7</v>
      </c>
      <c r="L207" s="60"/>
      <c r="M207" s="60"/>
      <c r="N207" s="60"/>
      <c r="O207" s="528" t="s">
        <v>68</v>
      </c>
      <c r="P207" s="402">
        <v>11</v>
      </c>
      <c r="Q207" s="53"/>
      <c r="R207" s="141"/>
      <c r="S207" s="565"/>
    </row>
    <row r="208" spans="1:19" ht="26.25" customHeight="1" x14ac:dyDescent="0.2">
      <c r="A208" s="516"/>
      <c r="B208" s="517"/>
      <c r="C208" s="465"/>
      <c r="D208" s="2219" t="s">
        <v>242</v>
      </c>
      <c r="E208" s="558" t="s">
        <v>243</v>
      </c>
      <c r="F208" s="523"/>
      <c r="G208" s="561"/>
      <c r="H208" s="521"/>
      <c r="I208" s="2093"/>
      <c r="J208" s="68"/>
      <c r="K208" s="92"/>
      <c r="L208" s="68"/>
      <c r="M208" s="68"/>
      <c r="N208" s="68"/>
      <c r="O208" s="537"/>
      <c r="P208" s="270"/>
      <c r="Q208" s="270"/>
      <c r="R208" s="108"/>
      <c r="S208" s="43"/>
    </row>
    <row r="209" spans="1:19" ht="27.75" customHeight="1" x14ac:dyDescent="0.2">
      <c r="A209" s="516"/>
      <c r="B209" s="517"/>
      <c r="C209" s="465"/>
      <c r="D209" s="2219"/>
      <c r="E209" s="277" t="s">
        <v>245</v>
      </c>
      <c r="F209" s="523"/>
      <c r="G209" s="561"/>
      <c r="H209" s="521"/>
      <c r="I209" s="532"/>
      <c r="J209" s="68"/>
      <c r="K209" s="92"/>
      <c r="L209" s="68"/>
      <c r="M209" s="68"/>
      <c r="N209" s="68"/>
      <c r="O209" s="537"/>
      <c r="P209" s="270"/>
      <c r="Q209" s="270"/>
      <c r="R209" s="108"/>
      <c r="S209" s="43"/>
    </row>
    <row r="210" spans="1:19" ht="24.75" customHeight="1" x14ac:dyDescent="0.2">
      <c r="A210" s="516"/>
      <c r="B210" s="517"/>
      <c r="C210" s="465"/>
      <c r="D210" s="2219"/>
      <c r="E210" s="277" t="s">
        <v>246</v>
      </c>
      <c r="F210" s="523"/>
      <c r="G210" s="561"/>
      <c r="H210" s="521"/>
      <c r="I210" s="532"/>
      <c r="J210" s="68"/>
      <c r="K210" s="92"/>
      <c r="L210" s="68"/>
      <c r="M210" s="68"/>
      <c r="N210" s="68"/>
      <c r="O210" s="537"/>
      <c r="P210" s="270"/>
      <c r="Q210" s="270"/>
      <c r="R210" s="108"/>
      <c r="S210" s="43"/>
    </row>
    <row r="211" spans="1:19" ht="12.75" customHeight="1" x14ac:dyDescent="0.2">
      <c r="A211" s="516"/>
      <c r="B211" s="517"/>
      <c r="C211" s="465"/>
      <c r="D211" s="2219"/>
      <c r="E211" s="277" t="s">
        <v>247</v>
      </c>
      <c r="F211" s="523"/>
      <c r="G211" s="561"/>
      <c r="H211" s="521"/>
      <c r="I211" s="532"/>
      <c r="J211" s="68"/>
      <c r="K211" s="92"/>
      <c r="L211" s="68"/>
      <c r="M211" s="68"/>
      <c r="N211" s="68"/>
      <c r="O211" s="537"/>
      <c r="P211" s="270"/>
      <c r="Q211" s="270"/>
      <c r="R211" s="108"/>
      <c r="S211" s="43"/>
    </row>
    <row r="212" spans="1:19" ht="13.5" customHeight="1" x14ac:dyDescent="0.2">
      <c r="A212" s="516"/>
      <c r="B212" s="517"/>
      <c r="C212" s="465"/>
      <c r="D212" s="2219"/>
      <c r="E212" s="277" t="s">
        <v>250</v>
      </c>
      <c r="F212" s="523"/>
      <c r="G212" s="561"/>
      <c r="H212" s="521"/>
      <c r="I212" s="532"/>
      <c r="J212" s="68"/>
      <c r="K212" s="92"/>
      <c r="L212" s="68"/>
      <c r="M212" s="68"/>
      <c r="N212" s="68"/>
      <c r="O212" s="537"/>
      <c r="P212" s="270"/>
      <c r="Q212" s="270"/>
      <c r="R212" s="108"/>
      <c r="S212" s="43"/>
    </row>
    <row r="213" spans="1:19" ht="13.5" customHeight="1" x14ac:dyDescent="0.2">
      <c r="A213" s="516"/>
      <c r="B213" s="517"/>
      <c r="C213" s="465"/>
      <c r="D213" s="2219"/>
      <c r="E213" s="277" t="s">
        <v>251</v>
      </c>
      <c r="F213" s="523"/>
      <c r="G213" s="561"/>
      <c r="H213" s="521"/>
      <c r="I213" s="532"/>
      <c r="J213" s="68"/>
      <c r="K213" s="92"/>
      <c r="L213" s="68"/>
      <c r="M213" s="68"/>
      <c r="N213" s="68"/>
      <c r="O213" s="537"/>
      <c r="P213" s="270"/>
      <c r="Q213" s="270"/>
      <c r="R213" s="108"/>
      <c r="S213" s="43"/>
    </row>
    <row r="214" spans="1:19" ht="25.5" customHeight="1" x14ac:dyDescent="0.2">
      <c r="A214" s="516"/>
      <c r="B214" s="517"/>
      <c r="C214" s="465"/>
      <c r="D214" s="2219"/>
      <c r="E214" s="557" t="s">
        <v>252</v>
      </c>
      <c r="F214" s="523"/>
      <c r="G214" s="561"/>
      <c r="H214" s="521"/>
      <c r="I214" s="532"/>
      <c r="J214" s="68"/>
      <c r="K214" s="92"/>
      <c r="L214" s="68"/>
      <c r="M214" s="68"/>
      <c r="N214" s="68"/>
      <c r="O214" s="537"/>
      <c r="P214" s="270"/>
      <c r="Q214" s="270"/>
      <c r="R214" s="108"/>
      <c r="S214" s="43"/>
    </row>
    <row r="215" spans="1:19" ht="25.5" customHeight="1" x14ac:dyDescent="0.2">
      <c r="A215" s="516"/>
      <c r="B215" s="517"/>
      <c r="C215" s="465"/>
      <c r="D215" s="2220"/>
      <c r="E215" s="555" t="s">
        <v>253</v>
      </c>
      <c r="F215" s="164"/>
      <c r="G215" s="561"/>
      <c r="H215" s="531"/>
      <c r="I215" s="366"/>
      <c r="J215" s="67"/>
      <c r="K215" s="95"/>
      <c r="L215" s="67"/>
      <c r="M215" s="67"/>
      <c r="N215" s="67"/>
      <c r="O215" s="541"/>
      <c r="P215" s="45"/>
      <c r="Q215" s="45"/>
      <c r="R215" s="170"/>
      <c r="S215" s="46"/>
    </row>
    <row r="216" spans="1:19" ht="27.75" customHeight="1" x14ac:dyDescent="0.2">
      <c r="A216" s="516"/>
      <c r="B216" s="517"/>
      <c r="C216" s="465"/>
      <c r="D216" s="2221" t="s">
        <v>248</v>
      </c>
      <c r="E216" s="527" t="s">
        <v>254</v>
      </c>
      <c r="F216" s="523"/>
      <c r="G216" s="561"/>
      <c r="H216" s="521"/>
      <c r="I216" s="532"/>
      <c r="J216" s="68" t="s">
        <v>25</v>
      </c>
      <c r="K216" s="92"/>
      <c r="L216" s="68">
        <v>931.6</v>
      </c>
      <c r="M216" s="68"/>
      <c r="N216" s="68"/>
      <c r="O216" s="528" t="s">
        <v>68</v>
      </c>
      <c r="P216" s="270"/>
      <c r="Q216" s="270">
        <v>5.7</v>
      </c>
      <c r="R216" s="108"/>
      <c r="S216" s="43"/>
    </row>
    <row r="217" spans="1:19" ht="13.5" customHeight="1" x14ac:dyDescent="0.2">
      <c r="A217" s="516"/>
      <c r="B217" s="517"/>
      <c r="C217" s="465"/>
      <c r="D217" s="2219"/>
      <c r="E217" s="277" t="s">
        <v>255</v>
      </c>
      <c r="F217" s="523"/>
      <c r="G217" s="561"/>
      <c r="H217" s="521"/>
      <c r="I217" s="532"/>
      <c r="J217" s="68"/>
      <c r="K217" s="92"/>
      <c r="L217" s="68"/>
      <c r="M217" s="68"/>
      <c r="N217" s="68"/>
      <c r="O217" s="537"/>
      <c r="P217" s="270"/>
      <c r="Q217" s="270"/>
      <c r="R217" s="108"/>
      <c r="S217" s="43"/>
    </row>
    <row r="218" spans="1:19" ht="27.75" customHeight="1" x14ac:dyDescent="0.2">
      <c r="A218" s="516"/>
      <c r="B218" s="517"/>
      <c r="C218" s="465"/>
      <c r="D218" s="2219"/>
      <c r="E218" s="277" t="s">
        <v>256</v>
      </c>
      <c r="F218" s="523"/>
      <c r="G218" s="561"/>
      <c r="H218" s="521"/>
      <c r="I218" s="532"/>
      <c r="J218" s="68"/>
      <c r="K218" s="92"/>
      <c r="L218" s="68"/>
      <c r="M218" s="68"/>
      <c r="N218" s="68"/>
      <c r="O218" s="537"/>
      <c r="P218" s="270"/>
      <c r="Q218" s="270"/>
      <c r="R218" s="108"/>
      <c r="S218" s="43"/>
    </row>
    <row r="219" spans="1:19" ht="15.75" customHeight="1" x14ac:dyDescent="0.2">
      <c r="A219" s="516"/>
      <c r="B219" s="517"/>
      <c r="C219" s="465"/>
      <c r="D219" s="2219"/>
      <c r="E219" s="559" t="s">
        <v>257</v>
      </c>
      <c r="F219" s="523"/>
      <c r="G219" s="561"/>
      <c r="H219" s="521"/>
      <c r="I219" s="532"/>
      <c r="J219" s="68"/>
      <c r="K219" s="92"/>
      <c r="L219" s="68"/>
      <c r="M219" s="68"/>
      <c r="N219" s="68"/>
      <c r="O219" s="537"/>
      <c r="P219" s="270"/>
      <c r="Q219" s="270"/>
      <c r="R219" s="108"/>
      <c r="S219" s="43"/>
    </row>
    <row r="220" spans="1:19" ht="15" customHeight="1" x14ac:dyDescent="0.2">
      <c r="A220" s="516"/>
      <c r="B220" s="517"/>
      <c r="C220" s="465"/>
      <c r="D220" s="2219"/>
      <c r="E220" s="559" t="s">
        <v>258</v>
      </c>
      <c r="F220" s="523"/>
      <c r="G220" s="561"/>
      <c r="H220" s="521"/>
      <c r="I220" s="532"/>
      <c r="J220" s="68"/>
      <c r="K220" s="92"/>
      <c r="L220" s="68"/>
      <c r="M220" s="68"/>
      <c r="N220" s="68"/>
      <c r="O220" s="537"/>
      <c r="P220" s="270"/>
      <c r="Q220" s="270"/>
      <c r="R220" s="108"/>
      <c r="S220" s="43"/>
    </row>
    <row r="221" spans="1:19" ht="14.25" customHeight="1" x14ac:dyDescent="0.2">
      <c r="A221" s="516"/>
      <c r="B221" s="517"/>
      <c r="C221" s="465"/>
      <c r="D221" s="2219"/>
      <c r="E221" s="559" t="s">
        <v>259</v>
      </c>
      <c r="F221" s="523"/>
      <c r="G221" s="561"/>
      <c r="H221" s="521"/>
      <c r="I221" s="532"/>
      <c r="J221" s="68"/>
      <c r="K221" s="92"/>
      <c r="L221" s="68"/>
      <c r="M221" s="68"/>
      <c r="N221" s="68"/>
      <c r="O221" s="537"/>
      <c r="P221" s="270"/>
      <c r="Q221" s="270"/>
      <c r="R221" s="108"/>
      <c r="S221" s="43"/>
    </row>
    <row r="222" spans="1:19" ht="12.75" customHeight="1" x14ac:dyDescent="0.2">
      <c r="A222" s="849"/>
      <c r="B222" s="850"/>
      <c r="C222" s="465"/>
      <c r="D222" s="2219"/>
      <c r="E222" s="847" t="s">
        <v>244</v>
      </c>
      <c r="F222" s="851"/>
      <c r="G222" s="846"/>
      <c r="H222" s="852"/>
      <c r="I222" s="853"/>
      <c r="J222" s="68"/>
      <c r="K222" s="92"/>
      <c r="L222" s="68"/>
      <c r="M222" s="68"/>
      <c r="N222" s="68"/>
      <c r="O222" s="848"/>
      <c r="P222" s="270"/>
      <c r="Q222" s="270"/>
      <c r="R222" s="108"/>
      <c r="S222" s="43"/>
    </row>
    <row r="223" spans="1:19" ht="15.75" customHeight="1" x14ac:dyDescent="0.2">
      <c r="A223" s="516"/>
      <c r="B223" s="517"/>
      <c r="C223" s="465"/>
      <c r="D223" s="2220"/>
      <c r="E223" s="534" t="s">
        <v>260</v>
      </c>
      <c r="F223" s="164"/>
      <c r="G223" s="562"/>
      <c r="H223" s="371"/>
      <c r="I223" s="366"/>
      <c r="J223" s="67"/>
      <c r="K223" s="95"/>
      <c r="L223" s="67"/>
      <c r="M223" s="67"/>
      <c r="N223" s="67"/>
      <c r="O223" s="541"/>
      <c r="P223" s="45"/>
      <c r="Q223" s="45"/>
      <c r="R223" s="170"/>
      <c r="S223" s="46"/>
    </row>
    <row r="224" spans="1:19" ht="27.75" customHeight="1" x14ac:dyDescent="0.2">
      <c r="A224" s="516"/>
      <c r="B224" s="517"/>
      <c r="C224" s="465"/>
      <c r="D224" s="2221" t="s">
        <v>249</v>
      </c>
      <c r="E224" s="529" t="s">
        <v>261</v>
      </c>
      <c r="F224" s="522"/>
      <c r="G224" s="560"/>
      <c r="H224" s="538"/>
      <c r="I224" s="564"/>
      <c r="J224" s="60" t="s">
        <v>25</v>
      </c>
      <c r="K224" s="96"/>
      <c r="L224" s="60"/>
      <c r="M224" s="60">
        <v>1040</v>
      </c>
      <c r="N224" s="60"/>
      <c r="O224" s="528" t="s">
        <v>68</v>
      </c>
      <c r="P224" s="53"/>
      <c r="Q224" s="53"/>
      <c r="R224" s="141">
        <v>6.5</v>
      </c>
      <c r="S224" s="565"/>
    </row>
    <row r="225" spans="1:20" ht="29.25" customHeight="1" x14ac:dyDescent="0.2">
      <c r="A225" s="516"/>
      <c r="B225" s="517"/>
      <c r="C225" s="465"/>
      <c r="D225" s="2219"/>
      <c r="E225" s="277" t="s">
        <v>262</v>
      </c>
      <c r="F225" s="523"/>
      <c r="G225" s="561"/>
      <c r="H225" s="521"/>
      <c r="I225" s="532"/>
      <c r="J225" s="68"/>
      <c r="K225" s="92"/>
      <c r="L225" s="68"/>
      <c r="M225" s="68"/>
      <c r="N225" s="68"/>
      <c r="O225" s="537"/>
      <c r="P225" s="270"/>
      <c r="Q225" s="270"/>
      <c r="R225" s="108"/>
      <c r="S225" s="43"/>
    </row>
    <row r="226" spans="1:20" ht="15.75" customHeight="1" x14ac:dyDescent="0.2">
      <c r="A226" s="516"/>
      <c r="B226" s="517"/>
      <c r="C226" s="465"/>
      <c r="D226" s="2219"/>
      <c r="E226" s="277" t="s">
        <v>263</v>
      </c>
      <c r="F226" s="523"/>
      <c r="G226" s="561"/>
      <c r="H226" s="521"/>
      <c r="I226" s="532"/>
      <c r="J226" s="68"/>
      <c r="K226" s="92"/>
      <c r="L226" s="68"/>
      <c r="M226" s="68"/>
      <c r="N226" s="68"/>
      <c r="O226" s="537"/>
      <c r="P226" s="270"/>
      <c r="Q226" s="270"/>
      <c r="R226" s="108"/>
      <c r="S226" s="43"/>
    </row>
    <row r="227" spans="1:20" ht="19.5" customHeight="1" x14ac:dyDescent="0.2">
      <c r="A227" s="516"/>
      <c r="B227" s="517"/>
      <c r="C227" s="465"/>
      <c r="D227" s="2220"/>
      <c r="E227" s="534" t="s">
        <v>264</v>
      </c>
      <c r="F227" s="164"/>
      <c r="G227" s="562"/>
      <c r="H227" s="371"/>
      <c r="I227" s="366"/>
      <c r="J227" s="67"/>
      <c r="K227" s="95"/>
      <c r="L227" s="67"/>
      <c r="M227" s="67"/>
      <c r="N227" s="67"/>
      <c r="O227" s="541"/>
      <c r="P227" s="45"/>
      <c r="Q227" s="45"/>
      <c r="R227" s="170"/>
      <c r="S227" s="46"/>
    </row>
    <row r="228" spans="1:20" ht="29.25" customHeight="1" x14ac:dyDescent="0.2">
      <c r="A228" s="516"/>
      <c r="B228" s="517"/>
      <c r="C228" s="465"/>
      <c r="D228" s="265" t="s">
        <v>7</v>
      </c>
      <c r="E228" s="1826" t="s">
        <v>111</v>
      </c>
      <c r="F228" s="522"/>
      <c r="G228" s="2170" t="s">
        <v>140</v>
      </c>
      <c r="H228" s="673"/>
      <c r="I228" s="674"/>
      <c r="J228" s="60" t="s">
        <v>106</v>
      </c>
      <c r="K228" s="60">
        <f>1069.8+37.2</f>
        <v>1107</v>
      </c>
      <c r="L228" s="53">
        <v>1069.8</v>
      </c>
      <c r="M228" s="60">
        <v>1069.8</v>
      </c>
      <c r="N228" s="60">
        <v>1069.8</v>
      </c>
      <c r="O228" s="535" t="s">
        <v>213</v>
      </c>
      <c r="P228" s="402">
        <v>0.2</v>
      </c>
      <c r="Q228" s="402">
        <v>0.2</v>
      </c>
      <c r="R228" s="1129">
        <v>0.2</v>
      </c>
      <c r="S228" s="1458">
        <v>0.2</v>
      </c>
    </row>
    <row r="229" spans="1:20" ht="26.25" customHeight="1" x14ac:dyDescent="0.2">
      <c r="A229" s="516"/>
      <c r="B229" s="517"/>
      <c r="C229" s="465"/>
      <c r="D229" s="102"/>
      <c r="E229" s="1827"/>
      <c r="F229" s="523"/>
      <c r="G229" s="2180"/>
      <c r="H229" s="673"/>
      <c r="I229" s="674"/>
      <c r="J229" s="68" t="s">
        <v>25</v>
      </c>
      <c r="K229" s="68">
        <f>60-K230</f>
        <v>48.8</v>
      </c>
      <c r="L229" s="270"/>
      <c r="M229" s="68"/>
      <c r="N229" s="68"/>
      <c r="O229" s="340" t="s">
        <v>40</v>
      </c>
      <c r="P229" s="341">
        <v>4</v>
      </c>
      <c r="Q229" s="341">
        <v>4</v>
      </c>
      <c r="R229" s="1130">
        <v>4</v>
      </c>
      <c r="S229" s="1459">
        <v>4</v>
      </c>
    </row>
    <row r="230" spans="1:20" ht="17.25" customHeight="1" x14ac:dyDescent="0.2">
      <c r="A230" s="516"/>
      <c r="B230" s="517"/>
      <c r="C230" s="465"/>
      <c r="D230" s="103"/>
      <c r="E230" s="1828"/>
      <c r="F230" s="164"/>
      <c r="G230" s="2259"/>
      <c r="H230" s="673"/>
      <c r="I230" s="675"/>
      <c r="J230" s="1462" t="s">
        <v>62</v>
      </c>
      <c r="K230" s="1435">
        <v>11.2</v>
      </c>
      <c r="L230" s="67"/>
      <c r="M230" s="67"/>
      <c r="N230" s="67"/>
      <c r="O230" s="536" t="s">
        <v>67</v>
      </c>
      <c r="P230" s="300">
        <v>54.6</v>
      </c>
      <c r="Q230" s="300">
        <v>54.6</v>
      </c>
      <c r="R230" s="1131">
        <v>54.6</v>
      </c>
      <c r="S230" s="1460">
        <v>54.6</v>
      </c>
    </row>
    <row r="231" spans="1:20" ht="15.75" customHeight="1" x14ac:dyDescent="0.2">
      <c r="A231" s="1837"/>
      <c r="B231" s="1832"/>
      <c r="C231" s="2165"/>
      <c r="D231" s="262" t="s">
        <v>28</v>
      </c>
      <c r="E231" s="1883" t="s">
        <v>53</v>
      </c>
      <c r="F231" s="523"/>
      <c r="G231" s="2254" t="s">
        <v>140</v>
      </c>
      <c r="H231" s="521"/>
      <c r="I231" s="530"/>
      <c r="J231" s="68" t="s">
        <v>25</v>
      </c>
      <c r="K231" s="680">
        <f>500-100</f>
        <v>400</v>
      </c>
      <c r="L231" s="68">
        <v>500</v>
      </c>
      <c r="M231" s="68">
        <v>500</v>
      </c>
      <c r="N231" s="68">
        <v>500</v>
      </c>
      <c r="O231" s="1897" t="s">
        <v>396</v>
      </c>
      <c r="P231" s="40" t="s">
        <v>168</v>
      </c>
      <c r="Q231" s="40" t="s">
        <v>168</v>
      </c>
      <c r="R231" s="698" t="s">
        <v>169</v>
      </c>
      <c r="S231" s="434" t="s">
        <v>169</v>
      </c>
      <c r="T231" s="1266"/>
    </row>
    <row r="232" spans="1:20" ht="17.25" customHeight="1" x14ac:dyDescent="0.2">
      <c r="A232" s="1837"/>
      <c r="B232" s="1832"/>
      <c r="C232" s="2165"/>
      <c r="D232" s="103"/>
      <c r="E232" s="1838"/>
      <c r="F232" s="164"/>
      <c r="G232" s="2255"/>
      <c r="H232" s="521"/>
      <c r="I232" s="530"/>
      <c r="J232" s="1463"/>
      <c r="K232" s="67"/>
      <c r="L232" s="1463"/>
      <c r="M232" s="1463"/>
      <c r="N232" s="67"/>
      <c r="O232" s="1862"/>
      <c r="P232" s="45"/>
      <c r="Q232" s="45"/>
      <c r="R232" s="170"/>
      <c r="S232" s="46"/>
      <c r="T232" s="1266"/>
    </row>
    <row r="233" spans="1:20" ht="27.75" customHeight="1" x14ac:dyDescent="0.2">
      <c r="A233" s="1837"/>
      <c r="B233" s="1832"/>
      <c r="C233" s="2165"/>
      <c r="D233" s="2169" t="s">
        <v>33</v>
      </c>
      <c r="E233" s="1839" t="s">
        <v>265</v>
      </c>
      <c r="F233" s="1851"/>
      <c r="G233" s="2170" t="s">
        <v>141</v>
      </c>
      <c r="H233" s="1833"/>
      <c r="I233" s="375"/>
      <c r="J233" s="1466" t="s">
        <v>25</v>
      </c>
      <c r="K233" s="680">
        <f>1684-300-200-114</f>
        <v>1070</v>
      </c>
      <c r="L233" s="1466">
        <v>1184</v>
      </c>
      <c r="M233" s="1466">
        <v>1184</v>
      </c>
      <c r="N233" s="1466">
        <v>1184</v>
      </c>
      <c r="O233" s="2067" t="s">
        <v>372</v>
      </c>
      <c r="P233" s="53">
        <v>44.6</v>
      </c>
      <c r="Q233" s="53">
        <v>44.6</v>
      </c>
      <c r="R233" s="477">
        <v>44.6</v>
      </c>
      <c r="S233" s="565">
        <v>44.6</v>
      </c>
    </row>
    <row r="234" spans="1:20" ht="12" customHeight="1" x14ac:dyDescent="0.2">
      <c r="A234" s="1837"/>
      <c r="B234" s="1832"/>
      <c r="C234" s="2165"/>
      <c r="D234" s="1736"/>
      <c r="E234" s="1785"/>
      <c r="F234" s="1834"/>
      <c r="G234" s="2167"/>
      <c r="H234" s="1833"/>
      <c r="I234" s="375"/>
      <c r="J234" s="68" t="s">
        <v>77</v>
      </c>
      <c r="K234" s="68">
        <v>300</v>
      </c>
      <c r="L234" s="68"/>
      <c r="M234" s="68"/>
      <c r="N234" s="68"/>
      <c r="O234" s="2145"/>
      <c r="P234" s="270"/>
      <c r="Q234" s="270"/>
      <c r="R234" s="108"/>
      <c r="S234" s="43"/>
    </row>
    <row r="235" spans="1:20" ht="12.75" customHeight="1" x14ac:dyDescent="0.2">
      <c r="A235" s="1837"/>
      <c r="B235" s="1832"/>
      <c r="C235" s="2165"/>
      <c r="D235" s="1736"/>
      <c r="E235" s="1785"/>
      <c r="F235" s="1834"/>
      <c r="G235" s="2167"/>
      <c r="H235" s="1833"/>
      <c r="I235" s="375"/>
      <c r="J235" s="73" t="s">
        <v>106</v>
      </c>
      <c r="K235" s="68">
        <v>120</v>
      </c>
      <c r="L235" s="73">
        <v>120</v>
      </c>
      <c r="M235" s="73">
        <v>120</v>
      </c>
      <c r="N235" s="73">
        <v>120</v>
      </c>
      <c r="O235" s="1464"/>
      <c r="P235" s="1465"/>
      <c r="Q235" s="180"/>
      <c r="R235" s="142"/>
      <c r="S235" s="550"/>
    </row>
    <row r="236" spans="1:20" ht="21.75" customHeight="1" x14ac:dyDescent="0.2">
      <c r="A236" s="1837"/>
      <c r="B236" s="1832"/>
      <c r="C236" s="2165"/>
      <c r="D236" s="1736"/>
      <c r="E236" s="524"/>
      <c r="F236" s="1834"/>
      <c r="G236" s="2167"/>
      <c r="H236" s="1833"/>
      <c r="I236" s="375"/>
      <c r="J236" s="68" t="s">
        <v>25</v>
      </c>
      <c r="K236" s="82">
        <v>227.9</v>
      </c>
      <c r="L236" s="68"/>
      <c r="M236" s="68"/>
      <c r="N236" s="68"/>
      <c r="O236" s="1835" t="s">
        <v>208</v>
      </c>
      <c r="P236" s="1777">
        <v>100</v>
      </c>
      <c r="Q236" s="1781"/>
      <c r="R236" s="2087"/>
      <c r="S236" s="1856"/>
    </row>
    <row r="237" spans="1:20" ht="19.5" customHeight="1" x14ac:dyDescent="0.2">
      <c r="A237" s="1837"/>
      <c r="B237" s="1832"/>
      <c r="C237" s="2165"/>
      <c r="D237" s="2205"/>
      <c r="E237" s="165"/>
      <c r="F237" s="2218"/>
      <c r="G237" s="2167"/>
      <c r="H237" s="1833"/>
      <c r="I237" s="375"/>
      <c r="J237" s="67" t="s">
        <v>62</v>
      </c>
      <c r="K237" s="67">
        <v>67</v>
      </c>
      <c r="L237" s="67"/>
      <c r="M237" s="67"/>
      <c r="N237" s="67"/>
      <c r="O237" s="1836"/>
      <c r="P237" s="1778"/>
      <c r="Q237" s="1778"/>
      <c r="R237" s="2088"/>
      <c r="S237" s="1857"/>
    </row>
    <row r="238" spans="1:20" ht="27.75" customHeight="1" x14ac:dyDescent="0.2">
      <c r="A238" s="516"/>
      <c r="B238" s="517"/>
      <c r="C238" s="519"/>
      <c r="D238" s="525" t="s">
        <v>34</v>
      </c>
      <c r="E238" s="1858" t="s">
        <v>110</v>
      </c>
      <c r="F238" s="523"/>
      <c r="G238" s="2256" t="s">
        <v>142</v>
      </c>
      <c r="H238" s="521"/>
      <c r="I238" s="518"/>
      <c r="J238" s="68" t="s">
        <v>25</v>
      </c>
      <c r="K238" s="680">
        <f>1000-300+383</f>
        <v>1083</v>
      </c>
      <c r="L238" s="68">
        <f>1000-350</f>
        <v>650</v>
      </c>
      <c r="M238" s="68">
        <f>300+350</f>
        <v>650</v>
      </c>
      <c r="N238" s="68">
        <f>300+350</f>
        <v>650</v>
      </c>
      <c r="O238" s="1860" t="s">
        <v>199</v>
      </c>
      <c r="P238" s="1598">
        <v>20</v>
      </c>
      <c r="Q238" s="327">
        <v>15</v>
      </c>
      <c r="R238" s="381">
        <v>15</v>
      </c>
      <c r="S238" s="1376">
        <v>15</v>
      </c>
      <c r="T238" s="1599"/>
    </row>
    <row r="239" spans="1:20" ht="15.75" customHeight="1" x14ac:dyDescent="0.2">
      <c r="A239" s="289"/>
      <c r="B239" s="291"/>
      <c r="C239" s="458"/>
      <c r="D239" s="369"/>
      <c r="E239" s="1859"/>
      <c r="F239" s="164"/>
      <c r="G239" s="2257"/>
      <c r="H239" s="1368"/>
      <c r="I239" s="1382"/>
      <c r="J239" s="67"/>
      <c r="K239" s="67"/>
      <c r="L239" s="67"/>
      <c r="M239" s="67"/>
      <c r="N239" s="67"/>
      <c r="O239" s="1861"/>
      <c r="P239" s="22"/>
      <c r="Q239" s="22"/>
      <c r="R239" s="383"/>
      <c r="S239" s="23"/>
    </row>
    <row r="240" spans="1:20" ht="15.75" customHeight="1" x14ac:dyDescent="0.2">
      <c r="A240" s="296"/>
      <c r="B240" s="291"/>
      <c r="C240" s="469"/>
      <c r="D240" s="262" t="s">
        <v>35</v>
      </c>
      <c r="E240" s="1770" t="s">
        <v>39</v>
      </c>
      <c r="F240" s="353"/>
      <c r="G240" s="2256" t="s">
        <v>151</v>
      </c>
      <c r="H240" s="350"/>
      <c r="I240" s="373"/>
      <c r="J240" s="64" t="s">
        <v>106</v>
      </c>
      <c r="K240" s="68">
        <v>45</v>
      </c>
      <c r="L240" s="68">
        <v>82.2</v>
      </c>
      <c r="M240" s="68">
        <v>82.2</v>
      </c>
      <c r="N240" s="68">
        <v>82.2</v>
      </c>
      <c r="O240" s="297" t="s">
        <v>55</v>
      </c>
      <c r="P240" s="1427">
        <v>14</v>
      </c>
      <c r="Q240" s="290">
        <v>15</v>
      </c>
      <c r="R240" s="1378">
        <v>15</v>
      </c>
      <c r="S240" s="1403">
        <v>15</v>
      </c>
    </row>
    <row r="241" spans="1:19" ht="13.5" customHeight="1" x14ac:dyDescent="0.2">
      <c r="A241" s="533"/>
      <c r="B241" s="517"/>
      <c r="C241" s="520"/>
      <c r="D241" s="262"/>
      <c r="E241" s="1770"/>
      <c r="F241" s="523"/>
      <c r="G241" s="2256"/>
      <c r="H241" s="521"/>
      <c r="I241" s="687"/>
      <c r="J241" s="68" t="s">
        <v>25</v>
      </c>
      <c r="K241" s="680">
        <f>14+42.7+50-24</f>
        <v>82.7</v>
      </c>
      <c r="L241" s="68">
        <v>14</v>
      </c>
      <c r="M241" s="68">
        <v>14</v>
      </c>
      <c r="N241" s="68">
        <v>14</v>
      </c>
      <c r="O241" s="539"/>
      <c r="P241" s="327"/>
      <c r="Q241" s="327"/>
      <c r="R241" s="381"/>
      <c r="S241" s="1376"/>
    </row>
    <row r="242" spans="1:19" ht="16.5" customHeight="1" x14ac:dyDescent="0.2">
      <c r="A242" s="296"/>
      <c r="B242" s="291"/>
      <c r="C242" s="469"/>
      <c r="D242" s="102"/>
      <c r="E242" s="1770"/>
      <c r="F242" s="353"/>
      <c r="G242" s="2256"/>
      <c r="H242" s="350"/>
      <c r="I242" s="364"/>
      <c r="J242" s="67" t="s">
        <v>62</v>
      </c>
      <c r="K242" s="67">
        <v>6</v>
      </c>
      <c r="L242" s="67"/>
      <c r="M242" s="67"/>
      <c r="N242" s="67"/>
      <c r="O242" s="362"/>
      <c r="P242" s="327"/>
      <c r="Q242" s="327"/>
      <c r="R242" s="381"/>
      <c r="S242" s="23"/>
    </row>
    <row r="243" spans="1:19" ht="14.25" customHeight="1" thickBot="1" x14ac:dyDescent="0.25">
      <c r="A243" s="75"/>
      <c r="B243" s="295"/>
      <c r="C243" s="214"/>
      <c r="D243" s="331"/>
      <c r="E243" s="455"/>
      <c r="F243" s="456"/>
      <c r="G243" s="457"/>
      <c r="H243" s="331"/>
      <c r="I243" s="257"/>
      <c r="J243" s="156" t="s">
        <v>6</v>
      </c>
      <c r="K243" s="244">
        <f>SUM(K207:K242)</f>
        <v>6031.3</v>
      </c>
      <c r="L243" s="244">
        <f>SUM(L207:L242)</f>
        <v>4551.6000000000004</v>
      </c>
      <c r="M243" s="156">
        <f>SUM(M207:M242)</f>
        <v>4660</v>
      </c>
      <c r="N243" s="156">
        <f>SUM(N207:N242)</f>
        <v>3620</v>
      </c>
      <c r="O243" s="460"/>
      <c r="P243" s="461"/>
      <c r="Q243" s="462"/>
      <c r="R243" s="462"/>
      <c r="S243" s="463"/>
    </row>
    <row r="244" spans="1:19" ht="28.5" customHeight="1" x14ac:dyDescent="0.2">
      <c r="A244" s="296" t="s">
        <v>5</v>
      </c>
      <c r="B244" s="291" t="s">
        <v>33</v>
      </c>
      <c r="C244" s="263" t="s">
        <v>7</v>
      </c>
      <c r="D244" s="1833"/>
      <c r="E244" s="1769" t="s">
        <v>181</v>
      </c>
      <c r="F244" s="1772" t="s">
        <v>47</v>
      </c>
      <c r="G244" s="2213" t="s">
        <v>143</v>
      </c>
      <c r="H244" s="1755" t="s">
        <v>43</v>
      </c>
      <c r="I244" s="2269" t="s">
        <v>144</v>
      </c>
      <c r="J244" s="68" t="s">
        <v>25</v>
      </c>
      <c r="K244" s="830">
        <f>100-30-34-10.2</f>
        <v>25.8</v>
      </c>
      <c r="L244" s="680">
        <f>194.1+10.2</f>
        <v>204.3</v>
      </c>
      <c r="M244" s="68"/>
      <c r="N244" s="68"/>
      <c r="O244" s="690" t="s">
        <v>191</v>
      </c>
      <c r="P244" s="236"/>
      <c r="Q244" s="1680">
        <v>1</v>
      </c>
      <c r="R244" s="630"/>
      <c r="S244" s="631"/>
    </row>
    <row r="245" spans="1:19" ht="27" customHeight="1" x14ac:dyDescent="0.2">
      <c r="A245" s="689"/>
      <c r="B245" s="688"/>
      <c r="C245" s="263"/>
      <c r="D245" s="1833"/>
      <c r="E245" s="1770"/>
      <c r="F245" s="1772"/>
      <c r="G245" s="2214"/>
      <c r="H245" s="1755"/>
      <c r="I245" s="2182"/>
      <c r="J245" s="68" t="s">
        <v>62</v>
      </c>
      <c r="K245" s="92">
        <v>64</v>
      </c>
      <c r="L245" s="68"/>
      <c r="M245" s="68"/>
      <c r="N245" s="68"/>
      <c r="O245" s="94" t="s">
        <v>324</v>
      </c>
      <c r="P245" s="27">
        <v>100</v>
      </c>
      <c r="Q245" s="27"/>
      <c r="R245" s="392"/>
      <c r="S245" s="28"/>
    </row>
    <row r="246" spans="1:19" ht="15.75" customHeight="1" x14ac:dyDescent="0.2">
      <c r="A246" s="296"/>
      <c r="B246" s="291"/>
      <c r="C246" s="263"/>
      <c r="D246" s="1833"/>
      <c r="E246" s="1770"/>
      <c r="F246" s="1772"/>
      <c r="G246" s="2215"/>
      <c r="H246" s="1756"/>
      <c r="I246" s="2182"/>
      <c r="J246" s="67"/>
      <c r="K246" s="95"/>
      <c r="L246" s="67"/>
      <c r="M246" s="67"/>
      <c r="N246" s="67"/>
      <c r="O246" s="1758" t="s">
        <v>186</v>
      </c>
      <c r="P246" s="40"/>
      <c r="Q246" s="40" t="s">
        <v>116</v>
      </c>
      <c r="R246" s="698"/>
      <c r="S246" s="434"/>
    </row>
    <row r="247" spans="1:19" ht="17.25" customHeight="1" thickBot="1" x14ac:dyDescent="0.25">
      <c r="A247" s="75"/>
      <c r="B247" s="295"/>
      <c r="C247" s="104"/>
      <c r="D247" s="109"/>
      <c r="E247" s="1771"/>
      <c r="F247" s="1773"/>
      <c r="G247" s="2216"/>
      <c r="H247" s="1757"/>
      <c r="I247" s="2158"/>
      <c r="J247" s="156" t="s">
        <v>6</v>
      </c>
      <c r="K247" s="244">
        <f>SUM(K244:K246)</f>
        <v>89.8</v>
      </c>
      <c r="L247" s="156">
        <f>SUM(L244:L246)</f>
        <v>204.3</v>
      </c>
      <c r="M247" s="156">
        <f t="shared" ref="M247:N247" si="14">SUM(M244:M246)</f>
        <v>0</v>
      </c>
      <c r="N247" s="156">
        <f t="shared" si="14"/>
        <v>0</v>
      </c>
      <c r="O247" s="1759"/>
      <c r="P247" s="235"/>
      <c r="Q247" s="235"/>
      <c r="R247" s="1132"/>
      <c r="S247" s="1207"/>
    </row>
    <row r="248" spans="1:19" ht="14.25" customHeight="1" thickBot="1" x14ac:dyDescent="0.25">
      <c r="A248" s="75" t="s">
        <v>5</v>
      </c>
      <c r="B248" s="295" t="s">
        <v>33</v>
      </c>
      <c r="C248" s="1760" t="s">
        <v>8</v>
      </c>
      <c r="D248" s="1760"/>
      <c r="E248" s="1760"/>
      <c r="F248" s="1760"/>
      <c r="G248" s="1760"/>
      <c r="H248" s="1760"/>
      <c r="I248" s="1760"/>
      <c r="J248" s="2270"/>
      <c r="K248" s="1193">
        <f t="shared" ref="K248:N248" si="15">K247+K243</f>
        <v>6121.1</v>
      </c>
      <c r="L248" s="1009">
        <f t="shared" si="15"/>
        <v>4755.8999999999996</v>
      </c>
      <c r="M248" s="1009">
        <f t="shared" ref="M248" si="16">M247+M243</f>
        <v>4660</v>
      </c>
      <c r="N248" s="1009">
        <f t="shared" si="15"/>
        <v>3620</v>
      </c>
      <c r="O248" s="2211"/>
      <c r="P248" s="2211"/>
      <c r="Q248" s="2211"/>
      <c r="R248" s="2211"/>
      <c r="S248" s="2212"/>
    </row>
    <row r="249" spans="1:19" ht="14.25" customHeight="1" thickBot="1" x14ac:dyDescent="0.25">
      <c r="A249" s="99" t="s">
        <v>5</v>
      </c>
      <c r="B249" s="1764" t="s">
        <v>9</v>
      </c>
      <c r="C249" s="1765"/>
      <c r="D249" s="1765"/>
      <c r="E249" s="1765"/>
      <c r="F249" s="1765"/>
      <c r="G249" s="1765"/>
      <c r="H249" s="1765"/>
      <c r="I249" s="1765"/>
      <c r="J249" s="1766"/>
      <c r="K249" s="75">
        <f>K248+K204+K156+K114</f>
        <v>28292.799999999999</v>
      </c>
      <c r="L249" s="160">
        <f>L248+L204+L156+L114</f>
        <v>36680</v>
      </c>
      <c r="M249" s="160">
        <f>M248+M204+M156+M114</f>
        <v>29856.7</v>
      </c>
      <c r="N249" s="160">
        <f>N248+N204+N156+N114</f>
        <v>14833.3</v>
      </c>
      <c r="O249" s="1767"/>
      <c r="P249" s="1767"/>
      <c r="Q249" s="1767"/>
      <c r="R249" s="1767"/>
      <c r="S249" s="1768"/>
    </row>
    <row r="250" spans="1:19" ht="14.25" customHeight="1" thickBot="1" x14ac:dyDescent="0.25">
      <c r="A250" s="110" t="s">
        <v>35</v>
      </c>
      <c r="B250" s="1823" t="s">
        <v>58</v>
      </c>
      <c r="C250" s="1824"/>
      <c r="D250" s="1824"/>
      <c r="E250" s="1824"/>
      <c r="F250" s="1824"/>
      <c r="G250" s="1824"/>
      <c r="H250" s="1824"/>
      <c r="I250" s="1824"/>
      <c r="J250" s="1825"/>
      <c r="K250" s="1201">
        <f t="shared" ref="K250:N250" si="17">SUM(K249)</f>
        <v>28292.799999999999</v>
      </c>
      <c r="L250" s="161">
        <f>SUM(L249)</f>
        <v>36680</v>
      </c>
      <c r="M250" s="161">
        <f>SUM(M249)</f>
        <v>29856.7</v>
      </c>
      <c r="N250" s="161">
        <f t="shared" si="17"/>
        <v>14833.3</v>
      </c>
      <c r="O250" s="1840"/>
      <c r="P250" s="1840"/>
      <c r="Q250" s="1840"/>
      <c r="R250" s="1840"/>
      <c r="S250" s="1841"/>
    </row>
    <row r="251" spans="1:19" s="5" customFormat="1" ht="17.25" customHeight="1" x14ac:dyDescent="0.2">
      <c r="A251" s="2271" t="s">
        <v>398</v>
      </c>
      <c r="B251" s="2272"/>
      <c r="C251" s="2272"/>
      <c r="D251" s="2272"/>
      <c r="E251" s="2272"/>
      <c r="F251" s="2272"/>
      <c r="G251" s="2272"/>
      <c r="H251" s="2272"/>
      <c r="I251" s="2272"/>
      <c r="J251" s="2272"/>
      <c r="K251" s="2272"/>
      <c r="L251" s="2272"/>
      <c r="M251" s="2272"/>
      <c r="N251" s="2272"/>
      <c r="O251" s="407"/>
      <c r="P251" s="407"/>
      <c r="Q251" s="407"/>
      <c r="R251" s="407"/>
      <c r="S251" s="407"/>
    </row>
    <row r="252" spans="1:19" s="4" customFormat="1" ht="13.5" customHeight="1" x14ac:dyDescent="0.2">
      <c r="A252" s="1591"/>
      <c r="B252" s="1592"/>
      <c r="C252" s="1592"/>
      <c r="D252" s="1592"/>
      <c r="E252" s="1592"/>
      <c r="F252" s="1592"/>
      <c r="G252" s="1592"/>
      <c r="H252" s="1592"/>
      <c r="I252" s="1592"/>
      <c r="J252" s="1592"/>
      <c r="K252" s="1592"/>
      <c r="L252" s="1592"/>
      <c r="M252" s="1592"/>
      <c r="N252" s="1592"/>
      <c r="O252" s="1592"/>
      <c r="P252" s="406"/>
      <c r="Q252" s="406"/>
      <c r="R252" s="1401"/>
      <c r="S252" s="406"/>
    </row>
    <row r="253" spans="1:19" s="4" customFormat="1" ht="17.25" customHeight="1" x14ac:dyDescent="0.2">
      <c r="A253" s="926"/>
      <c r="B253" s="927"/>
      <c r="C253" s="927"/>
      <c r="D253" s="927"/>
      <c r="E253" s="927"/>
      <c r="F253" s="927"/>
      <c r="G253" s="927"/>
      <c r="H253" s="927"/>
      <c r="I253" s="927"/>
      <c r="J253" s="927"/>
      <c r="K253" s="927"/>
      <c r="L253" s="927"/>
      <c r="M253" s="1402"/>
      <c r="N253" s="927"/>
      <c r="O253" s="927"/>
      <c r="P253" s="926"/>
      <c r="Q253" s="926"/>
      <c r="R253" s="1401"/>
      <c r="S253" s="926"/>
    </row>
    <row r="254" spans="1:19" s="5" customFormat="1" ht="15" customHeight="1" thickBot="1" x14ac:dyDescent="0.25">
      <c r="A254" s="1842" t="s">
        <v>13</v>
      </c>
      <c r="B254" s="1842"/>
      <c r="C254" s="1842"/>
      <c r="D254" s="1842"/>
      <c r="E254" s="1842"/>
      <c r="F254" s="1842"/>
      <c r="G254" s="1842"/>
      <c r="H254" s="1842"/>
      <c r="I254" s="1842"/>
      <c r="J254" s="1842"/>
      <c r="K254" s="171"/>
      <c r="L254" s="171"/>
      <c r="M254" s="171"/>
      <c r="N254" s="171"/>
      <c r="O254" s="111"/>
      <c r="P254" s="111"/>
      <c r="Q254" s="111"/>
      <c r="R254" s="111"/>
      <c r="S254" s="111"/>
    </row>
    <row r="255" spans="1:19" ht="62.25" customHeight="1" thickBot="1" x14ac:dyDescent="0.25">
      <c r="A255" s="1752" t="s">
        <v>10</v>
      </c>
      <c r="B255" s="1753"/>
      <c r="C255" s="1753"/>
      <c r="D255" s="1753"/>
      <c r="E255" s="1753"/>
      <c r="F255" s="1753"/>
      <c r="G255" s="1753"/>
      <c r="H255" s="1753"/>
      <c r="I255" s="1753"/>
      <c r="J255" s="1754"/>
      <c r="K255" s="1394" t="s">
        <v>365</v>
      </c>
      <c r="L255" s="1394" t="s">
        <v>397</v>
      </c>
      <c r="M255" s="1422" t="s">
        <v>215</v>
      </c>
      <c r="N255" s="1422" t="s">
        <v>379</v>
      </c>
      <c r="O255" s="14"/>
      <c r="P255" s="14"/>
      <c r="Q255" s="14"/>
      <c r="R255" s="14"/>
      <c r="S255" s="14"/>
    </row>
    <row r="256" spans="1:19" ht="14.25" customHeight="1" x14ac:dyDescent="0.2">
      <c r="A256" s="1814" t="s">
        <v>14</v>
      </c>
      <c r="B256" s="1815"/>
      <c r="C256" s="1815"/>
      <c r="D256" s="1815"/>
      <c r="E256" s="1815"/>
      <c r="F256" s="1815"/>
      <c r="G256" s="1815"/>
      <c r="H256" s="1815"/>
      <c r="I256" s="1815"/>
      <c r="J256" s="1816"/>
      <c r="K256" s="1395">
        <f>K257+K263+K264+K265</f>
        <v>26015.5</v>
      </c>
      <c r="L256" s="335">
        <f>L257+L263+L264+L265</f>
        <v>34323.4</v>
      </c>
      <c r="M256" s="335">
        <f>M257+M263+M264+M265</f>
        <v>27132.7</v>
      </c>
      <c r="N256" s="335">
        <f>N257+N263+N264+N265</f>
        <v>13742.3</v>
      </c>
      <c r="O256" s="14"/>
      <c r="P256" s="14"/>
      <c r="Q256" s="14"/>
      <c r="R256" s="14"/>
      <c r="S256" s="14"/>
    </row>
    <row r="257" spans="1:19" ht="14.25" customHeight="1" x14ac:dyDescent="0.2">
      <c r="A257" s="1817" t="s">
        <v>97</v>
      </c>
      <c r="B257" s="1818"/>
      <c r="C257" s="1818"/>
      <c r="D257" s="1818"/>
      <c r="E257" s="1818"/>
      <c r="F257" s="1818"/>
      <c r="G257" s="1818"/>
      <c r="H257" s="1818"/>
      <c r="I257" s="1818"/>
      <c r="J257" s="1819"/>
      <c r="K257" s="1396">
        <f>K258+K259+K260+K261+K262</f>
        <v>18063.2</v>
      </c>
      <c r="L257" s="252">
        <f>SUM(L258:L262)</f>
        <v>34093</v>
      </c>
      <c r="M257" s="252">
        <f>SUM(M258:M262)</f>
        <v>27132.7</v>
      </c>
      <c r="N257" s="252">
        <f>SUM(N258:N262)</f>
        <v>13742.3</v>
      </c>
      <c r="O257" s="14"/>
      <c r="P257" s="14"/>
      <c r="Q257" s="14"/>
      <c r="R257" s="14"/>
      <c r="S257" s="14"/>
    </row>
    <row r="258" spans="1:19" ht="14.25" customHeight="1" x14ac:dyDescent="0.2">
      <c r="A258" s="1820" t="s">
        <v>19</v>
      </c>
      <c r="B258" s="1821"/>
      <c r="C258" s="1821"/>
      <c r="D258" s="1821"/>
      <c r="E258" s="1821"/>
      <c r="F258" s="1821"/>
      <c r="G258" s="1821"/>
      <c r="H258" s="1821"/>
      <c r="I258" s="1821"/>
      <c r="J258" s="1822"/>
      <c r="K258" s="1397">
        <f>SUMIF(J14:J250,"SB",K14:K250)</f>
        <v>10933.2</v>
      </c>
      <c r="L258" s="67">
        <f>SUMIF(J14:J250,"SB",L14:L250)</f>
        <v>20443.8</v>
      </c>
      <c r="M258" s="67">
        <f>SUMIF(J14:J250,"SB",M14:M250)</f>
        <v>19295.5</v>
      </c>
      <c r="N258" s="67">
        <f>SUMIF(J14:J250,"SB",N14:N250)</f>
        <v>11652.3</v>
      </c>
      <c r="O258" s="14"/>
      <c r="P258" s="14"/>
      <c r="Q258" s="14"/>
      <c r="R258" s="14"/>
      <c r="S258" s="14"/>
    </row>
    <row r="259" spans="1:19" ht="14.25" customHeight="1" x14ac:dyDescent="0.2">
      <c r="A259" s="1774" t="s">
        <v>20</v>
      </c>
      <c r="B259" s="1775"/>
      <c r="C259" s="1775"/>
      <c r="D259" s="1775"/>
      <c r="E259" s="1775"/>
      <c r="F259" s="1775"/>
      <c r="G259" s="1775"/>
      <c r="H259" s="1775"/>
      <c r="I259" s="1775"/>
      <c r="J259" s="1776"/>
      <c r="K259" s="1398">
        <f>SUMIF(J14:J250,"SB(P)",K14:K250)</f>
        <v>0</v>
      </c>
      <c r="L259" s="61">
        <f>SUMIF(J14:J250,"SB(P)",L14:L250)</f>
        <v>0</v>
      </c>
      <c r="M259" s="61">
        <f>SUMIF(J14:J250,"SB(P)",M14:M250)</f>
        <v>0</v>
      </c>
      <c r="N259" s="61">
        <f>SUMIF(J14:J250,"SB(P)",N14:N250)</f>
        <v>0</v>
      </c>
      <c r="O259" s="14"/>
      <c r="P259" s="14"/>
      <c r="Q259" s="14"/>
      <c r="R259" s="14"/>
      <c r="S259" s="14"/>
    </row>
    <row r="260" spans="1:19" ht="14.25" customHeight="1" x14ac:dyDescent="0.2">
      <c r="A260" s="1774" t="s">
        <v>71</v>
      </c>
      <c r="B260" s="1775"/>
      <c r="C260" s="1775"/>
      <c r="D260" s="1775"/>
      <c r="E260" s="1775"/>
      <c r="F260" s="1775"/>
      <c r="G260" s="1775"/>
      <c r="H260" s="1775"/>
      <c r="I260" s="1775"/>
      <c r="J260" s="1776"/>
      <c r="K260" s="1397">
        <f>SUMIF(J14:J250,"SB(VR)",K14:K250)</f>
        <v>1506.4</v>
      </c>
      <c r="L260" s="67">
        <f>SUMIF(J14:J250,"SB(VR)",L14:L250)</f>
        <v>1160.4000000000001</v>
      </c>
      <c r="M260" s="67">
        <f>SUMIF(J14:J250,"SB(VR)",M14:M250)</f>
        <v>1312.3</v>
      </c>
      <c r="N260" s="67">
        <f>SUMIF(J14:J250,"SB(VR)",N14:N250)</f>
        <v>565</v>
      </c>
      <c r="O260" s="14"/>
      <c r="P260" s="14"/>
      <c r="Q260" s="14"/>
      <c r="R260" s="14"/>
      <c r="S260" s="14"/>
    </row>
    <row r="261" spans="1:19" ht="14.25" customHeight="1" x14ac:dyDescent="0.2">
      <c r="A261" s="1811" t="s">
        <v>104</v>
      </c>
      <c r="B261" s="1812"/>
      <c r="C261" s="1812"/>
      <c r="D261" s="1812"/>
      <c r="E261" s="1812"/>
      <c r="F261" s="1812"/>
      <c r="G261" s="1812"/>
      <c r="H261" s="1812"/>
      <c r="I261" s="1812"/>
      <c r="J261" s="1813"/>
      <c r="K261" s="1397">
        <f>SUMIF(J14:J249,"SB(KPP)",K14:K249)</f>
        <v>3999.1</v>
      </c>
      <c r="L261" s="61">
        <f>SUMIF(J14:J249,"SB(KPP)",L14:L249)</f>
        <v>8018.1</v>
      </c>
      <c r="M261" s="61">
        <f>SUMIF(J14:J249,"SB(KPP)",M14:M249)</f>
        <v>6375</v>
      </c>
      <c r="N261" s="61">
        <f>SUMIF(J14:J249,"SB(KPP)",N14:N249)</f>
        <v>1525</v>
      </c>
      <c r="O261" s="14"/>
      <c r="P261" s="14"/>
      <c r="Q261" s="14"/>
      <c r="R261" s="14"/>
      <c r="S261" s="14"/>
    </row>
    <row r="262" spans="1:19" ht="14.25" customHeight="1" x14ac:dyDescent="0.2">
      <c r="A262" s="1804" t="s">
        <v>206</v>
      </c>
      <c r="B262" s="1805"/>
      <c r="C262" s="1805"/>
      <c r="D262" s="1805"/>
      <c r="E262" s="1805"/>
      <c r="F262" s="1805"/>
      <c r="G262" s="1805"/>
      <c r="H262" s="1805"/>
      <c r="I262" s="1805"/>
      <c r="J262" s="1806"/>
      <c r="K262" s="1398">
        <f>SUMIF(J13:J244,"SB(ES)",K13:K244)</f>
        <v>1624.5</v>
      </c>
      <c r="L262" s="61">
        <f>SUMIF(J13:J244,"SB(ES)",L13:L244)</f>
        <v>4470.7</v>
      </c>
      <c r="M262" s="61">
        <f>SUMIF(J13:J246,"SB(ES)",M13:M246)</f>
        <v>149.9</v>
      </c>
      <c r="N262" s="61">
        <f>SUMIF(J13:J244,"SB(ES)",N13:N244)</f>
        <v>0</v>
      </c>
      <c r="O262" s="14"/>
      <c r="P262" s="14"/>
      <c r="Q262" s="14"/>
      <c r="R262" s="14"/>
      <c r="S262" s="14"/>
    </row>
    <row r="263" spans="1:19" ht="14.25" customHeight="1" x14ac:dyDescent="0.2">
      <c r="A263" s="1807" t="s">
        <v>102</v>
      </c>
      <c r="B263" s="1808"/>
      <c r="C263" s="1808"/>
      <c r="D263" s="1808"/>
      <c r="E263" s="1808"/>
      <c r="F263" s="1808"/>
      <c r="G263" s="1808"/>
      <c r="H263" s="1808"/>
      <c r="I263" s="1808"/>
      <c r="J263" s="1809"/>
      <c r="K263" s="1399">
        <f>SUMIF(J14:J249,"SB(VRL)",K14:K249)</f>
        <v>768.9</v>
      </c>
      <c r="L263" s="336">
        <f>SUMIF(J17:J249,"SB(VRL)",L17:L249)</f>
        <v>0</v>
      </c>
      <c r="M263" s="336">
        <f>SUMIF(J14:J249,"SB(VRL)",M14:M249)</f>
        <v>0</v>
      </c>
      <c r="N263" s="336">
        <f>SUMIF(J14:J249,"SB(VRL)",N14:N249)</f>
        <v>0</v>
      </c>
      <c r="O263" s="14"/>
      <c r="P263" s="14"/>
      <c r="Q263" s="14"/>
      <c r="R263" s="14"/>
      <c r="S263" s="14"/>
    </row>
    <row r="264" spans="1:19" ht="14.25" customHeight="1" x14ac:dyDescent="0.2">
      <c r="A264" s="1810" t="s">
        <v>103</v>
      </c>
      <c r="B264" s="1808"/>
      <c r="C264" s="1808"/>
      <c r="D264" s="1808"/>
      <c r="E264" s="1808"/>
      <c r="F264" s="1808"/>
      <c r="G264" s="1808"/>
      <c r="H264" s="1808"/>
      <c r="I264" s="1808"/>
      <c r="J264" s="1809"/>
      <c r="K264" s="1399">
        <f>SUMIF(J10:J250,"SB(ŽPL)",K10:K250)</f>
        <v>1527.4</v>
      </c>
      <c r="L264" s="336">
        <f>SUMIF(J17:J250,"SB(ŽPL)",L17:L250)</f>
        <v>198.4</v>
      </c>
      <c r="M264" s="336">
        <f>SUMIF(J14:J250,"SB(ŽPL)",M14:M250)</f>
        <v>0</v>
      </c>
      <c r="N264" s="336">
        <f>SUMIF(J14:J250,"SB(ŽPL)",N14:N250)</f>
        <v>0</v>
      </c>
      <c r="O264" s="14"/>
      <c r="P264" s="14"/>
      <c r="Q264" s="14"/>
      <c r="R264" s="14"/>
      <c r="S264" s="14"/>
    </row>
    <row r="265" spans="1:19" ht="14.25" customHeight="1" x14ac:dyDescent="0.2">
      <c r="A265" s="1798" t="s">
        <v>221</v>
      </c>
      <c r="B265" s="1799"/>
      <c r="C265" s="1799"/>
      <c r="D265" s="1799"/>
      <c r="E265" s="1799"/>
      <c r="F265" s="1799"/>
      <c r="G265" s="1799"/>
      <c r="H265" s="1799"/>
      <c r="I265" s="1799"/>
      <c r="J265" s="1800"/>
      <c r="K265" s="1399">
        <f>SUMIF(J14:J250,"SB(L)",K14:K250)</f>
        <v>5656</v>
      </c>
      <c r="L265" s="336">
        <f>SUMIF(J14:J250,"SB(L)",L14:L250)</f>
        <v>32</v>
      </c>
      <c r="M265" s="336">
        <f>SUMIF(J14:J250,"SB(L)",M14:M250)</f>
        <v>0</v>
      </c>
      <c r="N265" s="336">
        <f>SUMIF(J14:J248,"SB(L)",N14:N250)</f>
        <v>0</v>
      </c>
      <c r="O265" s="14"/>
      <c r="P265" s="14"/>
      <c r="Q265" s="14"/>
      <c r="R265" s="14"/>
      <c r="S265" s="14"/>
    </row>
    <row r="266" spans="1:19" ht="14.25" customHeight="1" x14ac:dyDescent="0.2">
      <c r="A266" s="1801" t="s">
        <v>15</v>
      </c>
      <c r="B266" s="1802"/>
      <c r="C266" s="1802"/>
      <c r="D266" s="1802"/>
      <c r="E266" s="1802"/>
      <c r="F266" s="1802"/>
      <c r="G266" s="1802"/>
      <c r="H266" s="1802"/>
      <c r="I266" s="1802"/>
      <c r="J266" s="1803"/>
      <c r="K266" s="1400">
        <f>SUM(K267:K270)</f>
        <v>2277.3000000000002</v>
      </c>
      <c r="L266" s="337">
        <f>L268+L269+L270+L267</f>
        <v>2356.6</v>
      </c>
      <c r="M266" s="337">
        <f>M268+M269+M270+M267</f>
        <v>2724</v>
      </c>
      <c r="N266" s="337">
        <f>N268+N269+N270+N267</f>
        <v>1091</v>
      </c>
      <c r="O266" s="14"/>
      <c r="P266" s="14"/>
      <c r="Q266" s="14"/>
      <c r="R266" s="14"/>
      <c r="S266" s="14"/>
    </row>
    <row r="267" spans="1:19" ht="14.25" customHeight="1" x14ac:dyDescent="0.2">
      <c r="A267" s="1804" t="s">
        <v>21</v>
      </c>
      <c r="B267" s="1805"/>
      <c r="C267" s="1805"/>
      <c r="D267" s="1805"/>
      <c r="E267" s="1805"/>
      <c r="F267" s="1805"/>
      <c r="G267" s="1805"/>
      <c r="H267" s="1805"/>
      <c r="I267" s="1805"/>
      <c r="J267" s="1806"/>
      <c r="K267" s="1398">
        <f>SUMIF(J13:J250,"ES",K13:K250)</f>
        <v>579.5</v>
      </c>
      <c r="L267" s="61">
        <f>SUMIF(J13:J250,"ES",L13:L250)</f>
        <v>634.1</v>
      </c>
      <c r="M267" s="61">
        <f>SUMIF(J13:J250,"ES",M13:M250)</f>
        <v>1129</v>
      </c>
      <c r="N267" s="61">
        <f>SUMIF(J13:J250,"ES",N13:N250)</f>
        <v>1091</v>
      </c>
      <c r="O267" s="14"/>
      <c r="P267" s="14"/>
      <c r="Q267" s="14"/>
      <c r="R267" s="14"/>
      <c r="S267" s="14"/>
    </row>
    <row r="268" spans="1:19" ht="14.25" customHeight="1" x14ac:dyDescent="0.2">
      <c r="A268" s="1792" t="s">
        <v>22</v>
      </c>
      <c r="B268" s="1793"/>
      <c r="C268" s="1793"/>
      <c r="D268" s="1793"/>
      <c r="E268" s="1793"/>
      <c r="F268" s="1793"/>
      <c r="G268" s="1793"/>
      <c r="H268" s="1793"/>
      <c r="I268" s="1793"/>
      <c r="J268" s="1794"/>
      <c r="K268" s="1398">
        <f>SUMIF(J14:J250,"KVJUD",K14:K250)</f>
        <v>1593.4</v>
      </c>
      <c r="L268" s="61">
        <f>SUMIF(J14:J250,"KVJUD",L14:L250)</f>
        <v>1500</v>
      </c>
      <c r="M268" s="61">
        <f>SUMIF(J14:J250,"KVJUD",M14:M250)</f>
        <v>1500</v>
      </c>
      <c r="N268" s="61">
        <f>SUMIF(J14:J250,"KVJUD",N14:N250)</f>
        <v>0</v>
      </c>
      <c r="O268" s="54"/>
      <c r="P268" s="54"/>
      <c r="Q268" s="54"/>
      <c r="R268" s="54"/>
      <c r="S268" s="54"/>
    </row>
    <row r="269" spans="1:19" ht="14.25" customHeight="1" x14ac:dyDescent="0.2">
      <c r="A269" s="1774" t="s">
        <v>23</v>
      </c>
      <c r="B269" s="1775"/>
      <c r="C269" s="1775"/>
      <c r="D269" s="1775"/>
      <c r="E269" s="1775"/>
      <c r="F269" s="1775"/>
      <c r="G269" s="1775"/>
      <c r="H269" s="1775"/>
      <c r="I269" s="1775"/>
      <c r="J269" s="1776"/>
      <c r="K269" s="1398">
        <f>SUMIF(J14:J250,"LRVB",K14:K250)</f>
        <v>0</v>
      </c>
      <c r="L269" s="61">
        <f>SUMIF(J14:J250,"LRVB",L14:L250)</f>
        <v>0</v>
      </c>
      <c r="M269" s="61">
        <f>SUMIF(J14:J250,"LRVB",M14:M250)</f>
        <v>0</v>
      </c>
      <c r="N269" s="61">
        <f>SUMIF(J14:J250,"LRVB",N14:N250)</f>
        <v>0</v>
      </c>
      <c r="O269" s="54"/>
      <c r="P269" s="54"/>
      <c r="Q269" s="54"/>
      <c r="R269" s="54"/>
      <c r="S269" s="54"/>
    </row>
    <row r="270" spans="1:19" ht="14.25" customHeight="1" x14ac:dyDescent="0.2">
      <c r="A270" s="1795" t="s">
        <v>24</v>
      </c>
      <c r="B270" s="1796"/>
      <c r="C270" s="1796"/>
      <c r="D270" s="1796"/>
      <c r="E270" s="1796"/>
      <c r="F270" s="1796"/>
      <c r="G270" s="1796"/>
      <c r="H270" s="1796"/>
      <c r="I270" s="1796"/>
      <c r="J270" s="1797"/>
      <c r="K270" s="1398">
        <f>SUMIF(J14:J250,"Kt",K14:K250)</f>
        <v>104.4</v>
      </c>
      <c r="L270" s="61">
        <f>SUMIF(J14:J250,"Kt",L14:L250)</f>
        <v>222.5</v>
      </c>
      <c r="M270" s="61">
        <f>SUMIF(J14:J250,"Kt",M14:M250)</f>
        <v>95</v>
      </c>
      <c r="N270" s="61">
        <f>SUMIF(J14:J250,"Kt",N14:N250)</f>
        <v>0</v>
      </c>
      <c r="O270" s="54"/>
      <c r="P270" s="54"/>
      <c r="Q270" s="54"/>
      <c r="R270" s="54"/>
      <c r="S270" s="54"/>
    </row>
    <row r="271" spans="1:19" ht="14.25" customHeight="1" thickBot="1" x14ac:dyDescent="0.25">
      <c r="A271" s="1743" t="s">
        <v>16</v>
      </c>
      <c r="B271" s="1744"/>
      <c r="C271" s="1744"/>
      <c r="D271" s="1744"/>
      <c r="E271" s="1744"/>
      <c r="F271" s="1744"/>
      <c r="G271" s="1744"/>
      <c r="H271" s="1744"/>
      <c r="I271" s="1744"/>
      <c r="J271" s="1745"/>
      <c r="K271" s="1393">
        <f>SUM(K256,K266)</f>
        <v>28292.799999999999</v>
      </c>
      <c r="L271" s="338">
        <f>SUM(L256,L266)</f>
        <v>36680</v>
      </c>
      <c r="M271" s="338">
        <f>SUM(M256,M266)</f>
        <v>29856.7</v>
      </c>
      <c r="N271" s="338">
        <f>SUM(N256,N266)</f>
        <v>14833.3</v>
      </c>
      <c r="O271" s="54"/>
      <c r="P271" s="54"/>
      <c r="Q271" s="54"/>
      <c r="R271" s="54"/>
      <c r="S271" s="54"/>
    </row>
    <row r="272" spans="1:19" x14ac:dyDescent="0.2">
      <c r="J272" s="1237"/>
      <c r="K272" s="1238"/>
      <c r="L272" s="1238"/>
      <c r="M272" s="1238"/>
      <c r="N272" s="1238"/>
      <c r="O272" s="4"/>
    </row>
    <row r="273" spans="1:19" x14ac:dyDescent="0.2">
      <c r="J273" s="1237"/>
      <c r="K273" s="1353"/>
      <c r="L273" s="4"/>
      <c r="M273" s="4"/>
      <c r="N273" s="4"/>
      <c r="O273" s="4"/>
    </row>
    <row r="274" spans="1:19" x14ac:dyDescent="0.2">
      <c r="J274" s="1237"/>
      <c r="K274" s="4"/>
      <c r="L274" s="1353"/>
      <c r="M274" s="1353"/>
      <c r="N274" s="4"/>
      <c r="O274" s="4"/>
    </row>
    <row r="275" spans="1:19" x14ac:dyDescent="0.2">
      <c r="A275" s="1"/>
      <c r="B275" s="1"/>
      <c r="C275" s="1"/>
      <c r="D275" s="1"/>
      <c r="E275" s="1"/>
      <c r="F275" s="1"/>
      <c r="G275" s="1"/>
      <c r="H275" s="1"/>
      <c r="I275" s="1"/>
      <c r="J275" s="1"/>
      <c r="K275" s="54"/>
      <c r="L275" s="54"/>
      <c r="M275" s="54"/>
      <c r="N275" s="54"/>
      <c r="O275" s="1"/>
      <c r="P275" s="1"/>
      <c r="Q275" s="1"/>
      <c r="R275" s="1"/>
      <c r="S275" s="1"/>
    </row>
    <row r="276" spans="1:19" x14ac:dyDescent="0.2">
      <c r="A276" s="1"/>
      <c r="B276" s="1"/>
      <c r="C276" s="1"/>
      <c r="D276" s="1"/>
      <c r="E276" s="1"/>
      <c r="F276" s="1"/>
      <c r="G276" s="1"/>
      <c r="H276" s="1"/>
      <c r="I276" s="1"/>
      <c r="J276" s="1"/>
      <c r="K276" s="54"/>
      <c r="L276" s="54"/>
      <c r="M276" s="54"/>
      <c r="N276" s="54"/>
      <c r="O276" s="1"/>
      <c r="P276" s="1"/>
      <c r="Q276" s="1"/>
      <c r="R276" s="1"/>
      <c r="S276" s="1"/>
    </row>
  </sheetData>
  <mergeCells count="390">
    <mergeCell ref="F244:F247"/>
    <mergeCell ref="A190:A191"/>
    <mergeCell ref="F181:F184"/>
    <mergeCell ref="F187:F189"/>
    <mergeCell ref="F190:F192"/>
    <mergeCell ref="G181:G184"/>
    <mergeCell ref="E181:E184"/>
    <mergeCell ref="E187:E189"/>
    <mergeCell ref="E178:E179"/>
    <mergeCell ref="B190:B191"/>
    <mergeCell ref="F185:F186"/>
    <mergeCell ref="E190:E192"/>
    <mergeCell ref="G233:G237"/>
    <mergeCell ref="A231:A232"/>
    <mergeCell ref="C193:C195"/>
    <mergeCell ref="D193:D195"/>
    <mergeCell ref="G190:G192"/>
    <mergeCell ref="G187:G189"/>
    <mergeCell ref="A200:A202"/>
    <mergeCell ref="B200:B202"/>
    <mergeCell ref="C200:C202"/>
    <mergeCell ref="D200:D202"/>
    <mergeCell ref="E200:E202"/>
    <mergeCell ref="F200:F202"/>
    <mergeCell ref="P236:P237"/>
    <mergeCell ref="A256:J256"/>
    <mergeCell ref="A260:J260"/>
    <mergeCell ref="A254:J254"/>
    <mergeCell ref="D233:D237"/>
    <mergeCell ref="A258:J258"/>
    <mergeCell ref="A257:J257"/>
    <mergeCell ref="O231:O232"/>
    <mergeCell ref="A233:A237"/>
    <mergeCell ref="B250:J250"/>
    <mergeCell ref="I244:I247"/>
    <mergeCell ref="E244:E247"/>
    <mergeCell ref="O236:O237"/>
    <mergeCell ref="O246:O247"/>
    <mergeCell ref="C248:J248"/>
    <mergeCell ref="H244:H247"/>
    <mergeCell ref="A255:J255"/>
    <mergeCell ref="B233:B237"/>
    <mergeCell ref="E240:E242"/>
    <mergeCell ref="O238:O239"/>
    <mergeCell ref="G240:G242"/>
    <mergeCell ref="E238:E239"/>
    <mergeCell ref="B249:J249"/>
    <mergeCell ref="A251:N251"/>
    <mergeCell ref="O69:O70"/>
    <mergeCell ref="O73:O74"/>
    <mergeCell ref="F69:F74"/>
    <mergeCell ref="E69:E74"/>
    <mergeCell ref="D69:D74"/>
    <mergeCell ref="D77:D79"/>
    <mergeCell ref="O204:S204"/>
    <mergeCell ref="C204:J204"/>
    <mergeCell ref="G228:G230"/>
    <mergeCell ref="O110:O112"/>
    <mergeCell ref="I98:I104"/>
    <mergeCell ref="E86:E89"/>
    <mergeCell ref="H181:H184"/>
    <mergeCell ref="I178:I179"/>
    <mergeCell ref="I143:I145"/>
    <mergeCell ref="E143:E145"/>
    <mergeCell ref="I190:I191"/>
    <mergeCell ref="G174:G177"/>
    <mergeCell ref="C181:C184"/>
    <mergeCell ref="D181:D184"/>
    <mergeCell ref="E174:E175"/>
    <mergeCell ref="O78:O79"/>
    <mergeCell ref="G150:G152"/>
    <mergeCell ref="H150:H152"/>
    <mergeCell ref="D44:D45"/>
    <mergeCell ref="E44:E45"/>
    <mergeCell ref="F44:F45"/>
    <mergeCell ref="H44:H45"/>
    <mergeCell ref="E46:E47"/>
    <mergeCell ref="A271:J271"/>
    <mergeCell ref="A270:J270"/>
    <mergeCell ref="A259:J259"/>
    <mergeCell ref="A269:J269"/>
    <mergeCell ref="A265:J265"/>
    <mergeCell ref="A263:J263"/>
    <mergeCell ref="A261:J261"/>
    <mergeCell ref="A268:J268"/>
    <mergeCell ref="A266:J266"/>
    <mergeCell ref="A267:J267"/>
    <mergeCell ref="A264:J264"/>
    <mergeCell ref="A262:J262"/>
    <mergeCell ref="B231:B232"/>
    <mergeCell ref="B193:B195"/>
    <mergeCell ref="G231:G232"/>
    <mergeCell ref="C205:S205"/>
    <mergeCell ref="H233:H237"/>
    <mergeCell ref="G238:G239"/>
    <mergeCell ref="E231:E232"/>
    <mergeCell ref="C52:C59"/>
    <mergeCell ref="D52:D59"/>
    <mergeCell ref="E52:E53"/>
    <mergeCell ref="F52:F59"/>
    <mergeCell ref="G52:G59"/>
    <mergeCell ref="H52:H59"/>
    <mergeCell ref="I52:I58"/>
    <mergeCell ref="H48:H49"/>
    <mergeCell ref="I48:I49"/>
    <mergeCell ref="E48:E49"/>
    <mergeCell ref="D48:D49"/>
    <mergeCell ref="F48:F49"/>
    <mergeCell ref="G48:G49"/>
    <mergeCell ref="F63:F64"/>
    <mergeCell ref="G60:G62"/>
    <mergeCell ref="E63:E64"/>
    <mergeCell ref="E65:E66"/>
    <mergeCell ref="H65:H66"/>
    <mergeCell ref="G63:G64"/>
    <mergeCell ref="I44:I45"/>
    <mergeCell ref="O60:O61"/>
    <mergeCell ref="E60:E62"/>
    <mergeCell ref="O52:O53"/>
    <mergeCell ref="G44:G45"/>
    <mergeCell ref="D31:D32"/>
    <mergeCell ref="E33:E34"/>
    <mergeCell ref="G33:G34"/>
    <mergeCell ref="D41:D43"/>
    <mergeCell ref="E29:E30"/>
    <mergeCell ref="G29:G30"/>
    <mergeCell ref="G37:G40"/>
    <mergeCell ref="G27:G28"/>
    <mergeCell ref="G41:G43"/>
    <mergeCell ref="G31:G32"/>
    <mergeCell ref="E27:E28"/>
    <mergeCell ref="A9:S9"/>
    <mergeCell ref="A10:S10"/>
    <mergeCell ref="B11:S11"/>
    <mergeCell ref="C12:S12"/>
    <mergeCell ref="O20:O21"/>
    <mergeCell ref="E20:E23"/>
    <mergeCell ref="C17:C19"/>
    <mergeCell ref="E24:E26"/>
    <mergeCell ref="F18:F19"/>
    <mergeCell ref="B14:B16"/>
    <mergeCell ref="I17:I20"/>
    <mergeCell ref="A14:A16"/>
    <mergeCell ref="A24:A26"/>
    <mergeCell ref="A17:A19"/>
    <mergeCell ref="H17:H19"/>
    <mergeCell ref="D17:D19"/>
    <mergeCell ref="C24:C26"/>
    <mergeCell ref="D14:D16"/>
    <mergeCell ref="E14:E16"/>
    <mergeCell ref="C14:C16"/>
    <mergeCell ref="D24:D26"/>
    <mergeCell ref="B24:B26"/>
    <mergeCell ref="B17:B19"/>
    <mergeCell ref="E17:E19"/>
    <mergeCell ref="H24:H26"/>
    <mergeCell ref="G20:G23"/>
    <mergeCell ref="F21:F23"/>
    <mergeCell ref="F15:F16"/>
    <mergeCell ref="O15:O16"/>
    <mergeCell ref="I37:I40"/>
    <mergeCell ref="E31:E32"/>
    <mergeCell ref="O41:O42"/>
    <mergeCell ref="H37:H40"/>
    <mergeCell ref="G14:G16"/>
    <mergeCell ref="H31:H32"/>
    <mergeCell ref="E41:E43"/>
    <mergeCell ref="I14:I16"/>
    <mergeCell ref="H14:H16"/>
    <mergeCell ref="G17:G19"/>
    <mergeCell ref="G24:G26"/>
    <mergeCell ref="O1:S1"/>
    <mergeCell ref="A2:S2"/>
    <mergeCell ref="A6:A8"/>
    <mergeCell ref="B6:B8"/>
    <mergeCell ref="C6:C8"/>
    <mergeCell ref="D6:D8"/>
    <mergeCell ref="E6:E8"/>
    <mergeCell ref="F6:F8"/>
    <mergeCell ref="G6:G8"/>
    <mergeCell ref="H6:H8"/>
    <mergeCell ref="I6:I8"/>
    <mergeCell ref="J6:J8"/>
    <mergeCell ref="L6:L8"/>
    <mergeCell ref="N6:N8"/>
    <mergeCell ref="O6:S6"/>
    <mergeCell ref="A3:S3"/>
    <mergeCell ref="O5:S5"/>
    <mergeCell ref="K6:K8"/>
    <mergeCell ref="O7:O8"/>
    <mergeCell ref="A4:S4"/>
    <mergeCell ref="M6:M8"/>
    <mergeCell ref="P7:S7"/>
    <mergeCell ref="S130:S131"/>
    <mergeCell ref="Q130:Q131"/>
    <mergeCell ref="G86:G89"/>
    <mergeCell ref="C115:S115"/>
    <mergeCell ref="I86:I89"/>
    <mergeCell ref="F87:F89"/>
    <mergeCell ref="G98:G104"/>
    <mergeCell ref="E105:E107"/>
    <mergeCell ref="E118:E120"/>
    <mergeCell ref="E128:E129"/>
    <mergeCell ref="C114:J114"/>
    <mergeCell ref="P130:P131"/>
    <mergeCell ref="R130:R131"/>
    <mergeCell ref="O250:S250"/>
    <mergeCell ref="O248:S248"/>
    <mergeCell ref="O249:S249"/>
    <mergeCell ref="G244:G247"/>
    <mergeCell ref="C233:C237"/>
    <mergeCell ref="E233:E235"/>
    <mergeCell ref="D244:D246"/>
    <mergeCell ref="C143:C145"/>
    <mergeCell ref="E185:E186"/>
    <mergeCell ref="G169:G170"/>
    <mergeCell ref="C190:C191"/>
    <mergeCell ref="F233:F237"/>
    <mergeCell ref="D208:D215"/>
    <mergeCell ref="E228:E230"/>
    <mergeCell ref="D216:D223"/>
    <mergeCell ref="D224:D227"/>
    <mergeCell ref="C231:C232"/>
    <mergeCell ref="S236:S237"/>
    <mergeCell ref="E196:E198"/>
    <mergeCell ref="I196:I198"/>
    <mergeCell ref="I207:I208"/>
    <mergeCell ref="Q236:Q237"/>
    <mergeCell ref="H193:H195"/>
    <mergeCell ref="I193:I195"/>
    <mergeCell ref="B37:B40"/>
    <mergeCell ref="C37:C40"/>
    <mergeCell ref="E37:E40"/>
    <mergeCell ref="B41:B43"/>
    <mergeCell ref="A130:A131"/>
    <mergeCell ref="B130:B131"/>
    <mergeCell ref="G130:G131"/>
    <mergeCell ref="O130:O131"/>
    <mergeCell ref="F130:F131"/>
    <mergeCell ref="O128:O129"/>
    <mergeCell ref="O82:O84"/>
    <mergeCell ref="O86:O87"/>
    <mergeCell ref="I82:I85"/>
    <mergeCell ref="G82:G85"/>
    <mergeCell ref="C130:C131"/>
    <mergeCell ref="D130:D131"/>
    <mergeCell ref="E130:E131"/>
    <mergeCell ref="H130:H131"/>
    <mergeCell ref="A52:A59"/>
    <mergeCell ref="I63:I64"/>
    <mergeCell ref="D60:D62"/>
    <mergeCell ref="H60:H62"/>
    <mergeCell ref="E75:E76"/>
    <mergeCell ref="F60:F62"/>
    <mergeCell ref="I137:I138"/>
    <mergeCell ref="A41:A43"/>
    <mergeCell ref="H41:H43"/>
    <mergeCell ref="A37:A40"/>
    <mergeCell ref="C41:C43"/>
    <mergeCell ref="F75:F76"/>
    <mergeCell ref="G75:G76"/>
    <mergeCell ref="H75:H76"/>
    <mergeCell ref="H77:H79"/>
    <mergeCell ref="I75:I76"/>
    <mergeCell ref="I65:I66"/>
    <mergeCell ref="I60:I62"/>
    <mergeCell ref="I69:I74"/>
    <mergeCell ref="F77:F79"/>
    <mergeCell ref="I77:I79"/>
    <mergeCell ref="B52:B59"/>
    <mergeCell ref="D63:D64"/>
    <mergeCell ref="D65:D66"/>
    <mergeCell ref="H63:H64"/>
    <mergeCell ref="G65:G66"/>
    <mergeCell ref="B77:B79"/>
    <mergeCell ref="G135:G136"/>
    <mergeCell ref="C132:C134"/>
    <mergeCell ref="A132:A134"/>
    <mergeCell ref="C157:S157"/>
    <mergeCell ref="G159:G165"/>
    <mergeCell ref="I159:I168"/>
    <mergeCell ref="F159:F161"/>
    <mergeCell ref="O167:O168"/>
    <mergeCell ref="Q171:Q172"/>
    <mergeCell ref="S171:S172"/>
    <mergeCell ref="H143:H145"/>
    <mergeCell ref="G143:G149"/>
    <mergeCell ref="D143:D145"/>
    <mergeCell ref="R171:R172"/>
    <mergeCell ref="G153:G155"/>
    <mergeCell ref="H153:H155"/>
    <mergeCell ref="I153:I155"/>
    <mergeCell ref="P174:P175"/>
    <mergeCell ref="I150:I152"/>
    <mergeCell ref="E171:E173"/>
    <mergeCell ref="E159:E168"/>
    <mergeCell ref="G178:G179"/>
    <mergeCell ref="O144:O145"/>
    <mergeCell ref="I140:I141"/>
    <mergeCell ref="I132:I134"/>
    <mergeCell ref="A75:A76"/>
    <mergeCell ref="B75:B76"/>
    <mergeCell ref="C75:C76"/>
    <mergeCell ref="D75:D76"/>
    <mergeCell ref="E123:E124"/>
    <mergeCell ref="E98:E104"/>
    <mergeCell ref="G105:G107"/>
    <mergeCell ref="I109:I110"/>
    <mergeCell ref="C77:C79"/>
    <mergeCell ref="G77:G79"/>
    <mergeCell ref="E77:E79"/>
    <mergeCell ref="E82:E85"/>
    <mergeCell ref="G117:G120"/>
    <mergeCell ref="I117:I120"/>
    <mergeCell ref="H132:H134"/>
    <mergeCell ref="A77:A79"/>
    <mergeCell ref="B132:B134"/>
    <mergeCell ref="F132:F134"/>
    <mergeCell ref="G132:G134"/>
    <mergeCell ref="E146:E147"/>
    <mergeCell ref="E137:E138"/>
    <mergeCell ref="G137:G138"/>
    <mergeCell ref="B135:B136"/>
    <mergeCell ref="D135:D136"/>
    <mergeCell ref="D132:D134"/>
    <mergeCell ref="E135:E136"/>
    <mergeCell ref="E139:E141"/>
    <mergeCell ref="G139:G141"/>
    <mergeCell ref="F139:F140"/>
    <mergeCell ref="O178:O179"/>
    <mergeCell ref="H135:H136"/>
    <mergeCell ref="I174:I175"/>
    <mergeCell ref="I181:I184"/>
    <mergeCell ref="A143:A145"/>
    <mergeCell ref="B143:B145"/>
    <mergeCell ref="A135:A136"/>
    <mergeCell ref="O174:O175"/>
    <mergeCell ref="O150:O151"/>
    <mergeCell ref="O156:S156"/>
    <mergeCell ref="S174:S175"/>
    <mergeCell ref="Q174:Q175"/>
    <mergeCell ref="A150:A152"/>
    <mergeCell ref="B150:B152"/>
    <mergeCell ref="C150:C152"/>
    <mergeCell ref="D150:D152"/>
    <mergeCell ref="C135:C136"/>
    <mergeCell ref="O153:O154"/>
    <mergeCell ref="A153:A155"/>
    <mergeCell ref="B153:B155"/>
    <mergeCell ref="C153:C155"/>
    <mergeCell ref="F135:F136"/>
    <mergeCell ref="C156:J156"/>
    <mergeCell ref="D153:D155"/>
    <mergeCell ref="R174:R175"/>
    <mergeCell ref="R236:R237"/>
    <mergeCell ref="H69:H74"/>
    <mergeCell ref="G69:G74"/>
    <mergeCell ref="E90:E91"/>
    <mergeCell ref="G90:G91"/>
    <mergeCell ref="I90:I91"/>
    <mergeCell ref="E94:E95"/>
    <mergeCell ref="G94:G95"/>
    <mergeCell ref="I94:I95"/>
    <mergeCell ref="E92:E93"/>
    <mergeCell ref="R92:R93"/>
    <mergeCell ref="O123:O125"/>
    <mergeCell ref="F196:F198"/>
    <mergeCell ref="O200:O201"/>
    <mergeCell ref="O233:O234"/>
    <mergeCell ref="E132:E134"/>
    <mergeCell ref="G171:G173"/>
    <mergeCell ref="I171:I172"/>
    <mergeCell ref="O171:O172"/>
    <mergeCell ref="P171:P172"/>
    <mergeCell ref="E150:E151"/>
    <mergeCell ref="E153:E154"/>
    <mergeCell ref="F153:F155"/>
    <mergeCell ref="A181:A184"/>
    <mergeCell ref="B181:B184"/>
    <mergeCell ref="G193:G195"/>
    <mergeCell ref="G200:G202"/>
    <mergeCell ref="H200:H202"/>
    <mergeCell ref="I200:I202"/>
    <mergeCell ref="A193:A195"/>
    <mergeCell ref="C187:C189"/>
    <mergeCell ref="I187:I189"/>
    <mergeCell ref="F193:F195"/>
    <mergeCell ref="E193:E195"/>
    <mergeCell ref="A187:A189"/>
    <mergeCell ref="B187:B189"/>
  </mergeCells>
  <phoneticPr fontId="13" type="noConversion"/>
  <printOptions horizontalCentered="1"/>
  <pageMargins left="0" right="0" top="0.59055118110236227" bottom="0.19685039370078741" header="0" footer="0"/>
  <pageSetup paperSize="9" scale="90" orientation="landscape" r:id="rId1"/>
  <headerFooter alignWithMargins="0"/>
  <rowBreaks count="4" manualBreakCount="4">
    <brk id="30" max="18" man="1"/>
    <brk id="51" max="18" man="1"/>
    <brk id="127" max="18" man="1"/>
    <brk id="149"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6 programa</vt:lpstr>
      <vt:lpstr>Lyginamasis variantas</vt:lpstr>
      <vt:lpstr>aiškinamoji lentelė</vt:lpstr>
      <vt:lpstr>'6 programa'!Print_Area</vt:lpstr>
      <vt:lpstr>'aiškinamoji lentelė'!Print_Area</vt:lpstr>
      <vt:lpstr>'Lyginamasis variantas'!Print_Area</vt:lpstr>
      <vt:lpstr>'6 programa'!Print_Titles</vt:lpstr>
      <vt:lpstr>'aiškinamoji lentelė'!Print_Titles</vt:lpstr>
      <vt:lpstr>'Lyginamasis variantas'!Print_Titles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2018-12-06T13:51:48Z</cp:lastPrinted>
  <dcterms:created xsi:type="dcterms:W3CDTF">2007-07-27T10:32:34Z</dcterms:created>
  <dcterms:modified xsi:type="dcterms:W3CDTF">2018-12-10T07:24:03Z</dcterms:modified>
</cp:coreProperties>
</file>