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.Demidova\Desktop\projektai\"/>
    </mc:Choice>
  </mc:AlternateContent>
  <bookViews>
    <workbookView xWindow="-315" yWindow="0" windowWidth="19440" windowHeight="10740" activeTab="4"/>
  </bookViews>
  <sheets>
    <sheet name="1 pr. pajamos " sheetId="9" r:id="rId1"/>
    <sheet name="1 pr. asignavimai" sheetId="10" r:id="rId2"/>
    <sheet name="2 pr." sheetId="5" r:id="rId3"/>
    <sheet name="3 pr." sheetId="17" r:id="rId4"/>
    <sheet name="4 pr." sheetId="14" r:id="rId5"/>
    <sheet name="5 pr." sheetId="16" r:id="rId6"/>
    <sheet name="6 pr." sheetId="15" r:id="rId7"/>
  </sheets>
  <definedNames>
    <definedName name="_xlnm._FilterDatabase" localSheetId="1" hidden="1">'1 pr. asignavimai'!$B$1:$B$143</definedName>
    <definedName name="_xlnm._FilterDatabase" localSheetId="2" hidden="1">'2 pr.'!$C$1:$C$61</definedName>
    <definedName name="_xlnm._FilterDatabase" localSheetId="4" hidden="1">'4 pr.'!$B$1:$B$128</definedName>
    <definedName name="_xlnm.Print_Area" localSheetId="4">'4 pr.'!$A$1:$F$128</definedName>
    <definedName name="_xlnm.Print_Titles" localSheetId="1">'1 pr. asignavimai'!$2:$5</definedName>
    <definedName name="_xlnm.Print_Titles" localSheetId="0">'1 pr. pajamos '!$8:$9</definedName>
    <definedName name="_xlnm.Print_Titles" localSheetId="2">'2 pr.'!$9:$12</definedName>
    <definedName name="_xlnm.Print_Titles" localSheetId="4">'4 pr.'!$8:$11</definedName>
    <definedName name="_xlnm.Print_Titles" localSheetId="5">'5 pr.'!$8:$12</definedName>
    <definedName name="_xlnm.Print_Titles" localSheetId="6">'6 pr.'!$9:$11</definedName>
  </definedNames>
  <calcPr calcId="162913" fullPrecision="0"/>
</workbook>
</file>

<file path=xl/calcChain.xml><?xml version="1.0" encoding="utf-8"?>
<calcChain xmlns="http://schemas.openxmlformats.org/spreadsheetml/2006/main">
  <c r="D126" i="10" l="1"/>
  <c r="D117" i="10"/>
  <c r="D96" i="10"/>
  <c r="F96" i="10"/>
  <c r="D50" i="14"/>
  <c r="F50" i="14"/>
  <c r="F89" i="14"/>
  <c r="E22" i="14" l="1"/>
  <c r="F43" i="10" l="1"/>
  <c r="D84" i="14"/>
  <c r="E84" i="14"/>
  <c r="C89" i="14"/>
  <c r="F88" i="14"/>
  <c r="E138" i="10" l="1"/>
  <c r="C38" i="16"/>
  <c r="C37" i="16"/>
  <c r="C36" i="16"/>
  <c r="C35" i="16"/>
  <c r="C34" i="16"/>
  <c r="C33" i="16"/>
  <c r="C32" i="16"/>
  <c r="C31" i="16"/>
  <c r="C30" i="16"/>
  <c r="C29" i="16"/>
  <c r="C10" i="17" l="1"/>
  <c r="C12" i="17" s="1"/>
  <c r="D59" i="5" l="1"/>
  <c r="C159" i="10"/>
  <c r="C46" i="9" l="1"/>
  <c r="E19" i="14" l="1"/>
  <c r="F19" i="14"/>
  <c r="E64" i="10"/>
  <c r="C17" i="9" l="1"/>
  <c r="D17" i="14"/>
  <c r="E80" i="14" l="1"/>
  <c r="F60" i="10"/>
  <c r="E60" i="10"/>
  <c r="D60" i="10"/>
  <c r="F77" i="14"/>
  <c r="C89" i="10" l="1"/>
  <c r="F78" i="10"/>
  <c r="E78" i="10"/>
  <c r="D78" i="10"/>
  <c r="E79" i="14"/>
  <c r="F79" i="14"/>
  <c r="D79" i="14"/>
  <c r="F86" i="10"/>
  <c r="D86" i="10"/>
  <c r="E86" i="10"/>
  <c r="F72" i="10"/>
  <c r="D72" i="10"/>
  <c r="E73" i="10"/>
  <c r="D73" i="10"/>
  <c r="C78" i="14"/>
  <c r="C80" i="14"/>
  <c r="C77" i="14"/>
  <c r="D81" i="14"/>
  <c r="E81" i="14"/>
  <c r="F81" i="14"/>
  <c r="C82" i="14"/>
  <c r="D69" i="10"/>
  <c r="F49" i="10"/>
  <c r="E49" i="10"/>
  <c r="D49" i="10"/>
  <c r="D18" i="14"/>
  <c r="C81" i="14" l="1"/>
  <c r="C17" i="14"/>
  <c r="E75" i="14"/>
  <c r="C18" i="14"/>
  <c r="C79" i="14"/>
  <c r="F76" i="14"/>
  <c r="D76" i="14"/>
  <c r="D22" i="14"/>
  <c r="C64" i="14"/>
  <c r="D135" i="10"/>
  <c r="D28" i="14"/>
  <c r="D27" i="14"/>
  <c r="D124" i="14"/>
  <c r="E124" i="14"/>
  <c r="F124" i="14"/>
  <c r="D126" i="14"/>
  <c r="D20" i="14"/>
  <c r="D120" i="14"/>
  <c r="E120" i="14"/>
  <c r="F120" i="14"/>
  <c r="F23" i="16"/>
  <c r="D19" i="16"/>
  <c r="E19" i="16"/>
  <c r="F19" i="16"/>
  <c r="E16" i="16"/>
  <c r="F16" i="16"/>
  <c r="C16" i="16" s="1"/>
  <c r="D19" i="14" l="1"/>
  <c r="D75" i="14"/>
  <c r="F75" i="14"/>
  <c r="C76" i="14"/>
  <c r="E90" i="14"/>
  <c r="F90" i="14"/>
  <c r="C94" i="14"/>
  <c r="D79" i="10"/>
  <c r="E79" i="10"/>
  <c r="E106" i="14"/>
  <c r="F76" i="10"/>
  <c r="C122" i="14"/>
  <c r="E117" i="10"/>
  <c r="C75" i="14" l="1"/>
  <c r="F15" i="10"/>
  <c r="C41" i="9"/>
  <c r="D110" i="14" l="1"/>
  <c r="D111" i="14"/>
  <c r="E135" i="10"/>
  <c r="D73" i="14"/>
  <c r="E73" i="14"/>
  <c r="C74" i="14"/>
  <c r="D106" i="14" l="1"/>
  <c r="D108" i="10"/>
  <c r="D107" i="10"/>
  <c r="D104" i="10"/>
  <c r="D101" i="10"/>
  <c r="C126" i="14"/>
  <c r="C119" i="14"/>
  <c r="C118" i="14"/>
  <c r="C117" i="14"/>
  <c r="C116" i="14"/>
  <c r="C115" i="14"/>
  <c r="C113" i="14"/>
  <c r="C112" i="14"/>
  <c r="C111" i="14"/>
  <c r="C109" i="14"/>
  <c r="C46" i="14"/>
  <c r="F85" i="14" l="1"/>
  <c r="F84" i="14" s="1"/>
  <c r="D24" i="16"/>
  <c r="D23" i="16" l="1"/>
  <c r="E15" i="10"/>
  <c r="E53" i="14"/>
  <c r="C120" i="10"/>
  <c r="D122" i="10" l="1"/>
  <c r="C43" i="9"/>
  <c r="F69" i="10"/>
  <c r="F66" i="10" s="1"/>
  <c r="E69" i="10"/>
  <c r="E66" i="10" s="1"/>
  <c r="C68" i="10"/>
  <c r="D66" i="10" l="1"/>
  <c r="C69" i="10"/>
  <c r="C66" i="10" s="1"/>
  <c r="F65" i="10"/>
  <c r="E131" i="10"/>
  <c r="D131" i="10"/>
  <c r="D72" i="14"/>
  <c r="D71" i="14" s="1"/>
  <c r="E72" i="14"/>
  <c r="E71" i="14" s="1"/>
  <c r="F72" i="14"/>
  <c r="F71" i="14" s="1"/>
  <c r="C73" i="14"/>
  <c r="D113" i="10"/>
  <c r="D57" i="14"/>
  <c r="E57" i="14"/>
  <c r="F57" i="14"/>
  <c r="C58" i="14"/>
  <c r="F82" i="10"/>
  <c r="E147" i="10"/>
  <c r="D147" i="10"/>
  <c r="D153" i="10"/>
  <c r="D142" i="10"/>
  <c r="D140" i="10"/>
  <c r="D139" i="10"/>
  <c r="D138" i="10"/>
  <c r="D141" i="10"/>
  <c r="C57" i="14" l="1"/>
  <c r="C72" i="14"/>
  <c r="C71" i="14" s="1"/>
  <c r="F79" i="10"/>
  <c r="D91" i="14"/>
  <c r="C28" i="16"/>
  <c r="C27" i="16"/>
  <c r="C26" i="16"/>
  <c r="E24" i="16"/>
  <c r="C22" i="16"/>
  <c r="C21" i="16"/>
  <c r="C20" i="16"/>
  <c r="C18" i="16"/>
  <c r="E15" i="16"/>
  <c r="D15" i="16"/>
  <c r="C14" i="16"/>
  <c r="F13" i="16"/>
  <c r="E13" i="16"/>
  <c r="D13" i="16"/>
  <c r="F114" i="14"/>
  <c r="D26" i="14"/>
  <c r="E26" i="14"/>
  <c r="F26" i="14"/>
  <c r="D16" i="14"/>
  <c r="E16" i="14"/>
  <c r="F16" i="14"/>
  <c r="D14" i="14"/>
  <c r="E14" i="14"/>
  <c r="F14" i="14"/>
  <c r="C20" i="14"/>
  <c r="C21" i="14"/>
  <c r="C22" i="14"/>
  <c r="C23" i="14"/>
  <c r="C24" i="14"/>
  <c r="C25" i="14"/>
  <c r="C27" i="14"/>
  <c r="C28" i="14"/>
  <c r="C15" i="14"/>
  <c r="D12" i="14" l="1"/>
  <c r="E12" i="14"/>
  <c r="F12" i="14"/>
  <c r="C13" i="16"/>
  <c r="E23" i="16"/>
  <c r="C19" i="16"/>
  <c r="D90" i="14"/>
  <c r="C14" i="14"/>
  <c r="F106" i="14"/>
  <c r="C24" i="16"/>
  <c r="C23" i="16" s="1"/>
  <c r="C16" i="14"/>
  <c r="C19" i="14"/>
  <c r="C26" i="14"/>
  <c r="C12" i="14" l="1"/>
  <c r="C15" i="16"/>
  <c r="C127" i="14"/>
  <c r="C125" i="14"/>
  <c r="C123" i="14"/>
  <c r="C121" i="14"/>
  <c r="C114" i="14"/>
  <c r="C110" i="14"/>
  <c r="C108" i="14"/>
  <c r="C107" i="14"/>
  <c r="C105" i="14"/>
  <c r="F104" i="14"/>
  <c r="E104" i="14"/>
  <c r="D104" i="14"/>
  <c r="C103" i="14"/>
  <c r="C102" i="14"/>
  <c r="C101" i="14"/>
  <c r="C100" i="14"/>
  <c r="C99" i="14"/>
  <c r="C98" i="14"/>
  <c r="C96" i="14"/>
  <c r="C95" i="14"/>
  <c r="C93" i="14"/>
  <c r="C92" i="14"/>
  <c r="C91" i="14"/>
  <c r="C88" i="14"/>
  <c r="C87" i="14"/>
  <c r="C86" i="14"/>
  <c r="C70" i="14"/>
  <c r="F69" i="14"/>
  <c r="E69" i="14"/>
  <c r="D69" i="14"/>
  <c r="C68" i="14"/>
  <c r="F67" i="14"/>
  <c r="E67" i="14"/>
  <c r="D67" i="14"/>
  <c r="F63" i="14"/>
  <c r="E63" i="14"/>
  <c r="D63" i="14"/>
  <c r="F62" i="14"/>
  <c r="E61" i="14"/>
  <c r="D61" i="14"/>
  <c r="C60" i="14"/>
  <c r="C56" i="14"/>
  <c r="F55" i="14"/>
  <c r="F54" i="14" s="1"/>
  <c r="E55" i="14"/>
  <c r="E54" i="14" s="1"/>
  <c r="D55" i="14"/>
  <c r="C53" i="14"/>
  <c r="F52" i="14"/>
  <c r="F51" i="14" s="1"/>
  <c r="E52" i="14"/>
  <c r="E51" i="14" s="1"/>
  <c r="D52" i="14"/>
  <c r="C50" i="14"/>
  <c r="F49" i="14"/>
  <c r="F47" i="14" s="1"/>
  <c r="E49" i="14"/>
  <c r="E47" i="14" s="1"/>
  <c r="D49" i="14"/>
  <c r="C45" i="14"/>
  <c r="F44" i="14"/>
  <c r="E44" i="14"/>
  <c r="D44" i="14"/>
  <c r="C43" i="14"/>
  <c r="F42" i="14"/>
  <c r="E42" i="14"/>
  <c r="D42" i="14"/>
  <c r="C39" i="14"/>
  <c r="F38" i="14"/>
  <c r="F37" i="14" s="1"/>
  <c r="E38" i="14"/>
  <c r="E37" i="14" s="1"/>
  <c r="D38" i="14"/>
  <c r="C36" i="14"/>
  <c r="F35" i="14"/>
  <c r="E35" i="14"/>
  <c r="D35" i="14"/>
  <c r="C34" i="14"/>
  <c r="F33" i="14"/>
  <c r="E33" i="14"/>
  <c r="D33" i="14"/>
  <c r="C52" i="14" l="1"/>
  <c r="C51" i="14" s="1"/>
  <c r="C67" i="14"/>
  <c r="C90" i="14"/>
  <c r="F61" i="14"/>
  <c r="F59" i="14" s="1"/>
  <c r="D51" i="14"/>
  <c r="C69" i="14"/>
  <c r="D83" i="14"/>
  <c r="C63" i="14"/>
  <c r="C33" i="14"/>
  <c r="C42" i="14"/>
  <c r="C44" i="14"/>
  <c r="C49" i="14"/>
  <c r="C47" i="14" s="1"/>
  <c r="E83" i="14"/>
  <c r="C104" i="14"/>
  <c r="C55" i="14"/>
  <c r="C54" i="14" s="1"/>
  <c r="D54" i="14"/>
  <c r="C35" i="14"/>
  <c r="C38" i="14"/>
  <c r="C37" i="14" s="1"/>
  <c r="D37" i="14"/>
  <c r="D47" i="14"/>
  <c r="F83" i="14"/>
  <c r="C106" i="14"/>
  <c r="C120" i="14"/>
  <c r="D59" i="14"/>
  <c r="C124" i="14"/>
  <c r="E32" i="14"/>
  <c r="F40" i="14"/>
  <c r="F32" i="14"/>
  <c r="D32" i="14"/>
  <c r="E40" i="14"/>
  <c r="F65" i="14"/>
  <c r="E65" i="14"/>
  <c r="D40" i="14"/>
  <c r="E59" i="14"/>
  <c r="D65" i="14"/>
  <c r="C85" i="14"/>
  <c r="C84" i="14" s="1"/>
  <c r="C62" i="14"/>
  <c r="C61" i="14" s="1"/>
  <c r="E54" i="5"/>
  <c r="F54" i="5"/>
  <c r="G54" i="5"/>
  <c r="E52" i="5"/>
  <c r="F52" i="5"/>
  <c r="G52" i="5"/>
  <c r="E53" i="5"/>
  <c r="F53" i="5"/>
  <c r="G53" i="5"/>
  <c r="E47" i="5"/>
  <c r="F47" i="5"/>
  <c r="G47" i="5"/>
  <c r="E49" i="5"/>
  <c r="F49" i="5"/>
  <c r="G49" i="5"/>
  <c r="E41" i="5"/>
  <c r="F41" i="5"/>
  <c r="G41" i="5"/>
  <c r="E43" i="5"/>
  <c r="F43" i="5"/>
  <c r="G43" i="5"/>
  <c r="E45" i="5"/>
  <c r="F45" i="5"/>
  <c r="G45" i="5"/>
  <c r="E36" i="5"/>
  <c r="F36" i="5"/>
  <c r="G36" i="5"/>
  <c r="E35" i="5"/>
  <c r="F35" i="5"/>
  <c r="G35" i="5"/>
  <c r="E33" i="5"/>
  <c r="F33" i="5"/>
  <c r="G33" i="5"/>
  <c r="E27" i="5"/>
  <c r="F27" i="5"/>
  <c r="G27" i="5"/>
  <c r="E28" i="5"/>
  <c r="F28" i="5"/>
  <c r="G28" i="5"/>
  <c r="G23" i="5"/>
  <c r="G25" i="5"/>
  <c r="E23" i="5"/>
  <c r="F23" i="5"/>
  <c r="E25" i="5"/>
  <c r="F25" i="5"/>
  <c r="E19" i="5"/>
  <c r="F19" i="5"/>
  <c r="G19" i="5"/>
  <c r="D124" i="10"/>
  <c r="E124" i="10"/>
  <c r="F124" i="10"/>
  <c r="D111" i="10"/>
  <c r="E111" i="10"/>
  <c r="F111" i="10"/>
  <c r="C127" i="10"/>
  <c r="C126" i="10"/>
  <c r="C123" i="10"/>
  <c r="C122" i="10"/>
  <c r="C121" i="10"/>
  <c r="C119" i="10"/>
  <c r="C118" i="10"/>
  <c r="C117" i="10"/>
  <c r="C114" i="10"/>
  <c r="C113" i="10"/>
  <c r="C109" i="10"/>
  <c r="D102" i="10"/>
  <c r="E102" i="10"/>
  <c r="F102" i="10"/>
  <c r="C96" i="10"/>
  <c r="D97" i="10"/>
  <c r="E97" i="10"/>
  <c r="F97" i="10"/>
  <c r="C108" i="10"/>
  <c r="C107" i="10"/>
  <c r="C106" i="10"/>
  <c r="C105" i="10"/>
  <c r="C104" i="10"/>
  <c r="C101" i="10"/>
  <c r="C100" i="10"/>
  <c r="C99" i="10"/>
  <c r="D91" i="10"/>
  <c r="E91" i="10"/>
  <c r="F91" i="10"/>
  <c r="G21" i="5" s="1"/>
  <c r="C94" i="10"/>
  <c r="C95" i="10"/>
  <c r="C93" i="10"/>
  <c r="D76" i="10"/>
  <c r="F29" i="5" l="1"/>
  <c r="F30" i="5" s="1"/>
  <c r="F38" i="5"/>
  <c r="G29" i="5"/>
  <c r="G38" i="5"/>
  <c r="C65" i="14"/>
  <c r="F32" i="5"/>
  <c r="G44" i="5"/>
  <c r="C32" i="14"/>
  <c r="C40" i="14"/>
  <c r="G32" i="5"/>
  <c r="F44" i="5"/>
  <c r="C59" i="14"/>
  <c r="D25" i="5"/>
  <c r="E32" i="5"/>
  <c r="D30" i="14"/>
  <c r="D54" i="5"/>
  <c r="E30" i="14"/>
  <c r="E128" i="14" s="1"/>
  <c r="D49" i="5"/>
  <c r="E44" i="5"/>
  <c r="D33" i="5"/>
  <c r="D43" i="5"/>
  <c r="E38" i="5"/>
  <c r="F30" i="14"/>
  <c r="F128" i="14" s="1"/>
  <c r="C97" i="10"/>
  <c r="E90" i="10"/>
  <c r="E29" i="5"/>
  <c r="E30" i="5" s="1"/>
  <c r="D90" i="10"/>
  <c r="C102" i="10"/>
  <c r="E21" i="5"/>
  <c r="F21" i="5"/>
  <c r="G30" i="5"/>
  <c r="F90" i="10"/>
  <c r="C111" i="10"/>
  <c r="C124" i="10"/>
  <c r="C91" i="10"/>
  <c r="D83" i="10"/>
  <c r="E83" i="10"/>
  <c r="F83" i="10"/>
  <c r="C87" i="10"/>
  <c r="C86" i="10"/>
  <c r="C85" i="10"/>
  <c r="C82" i="10"/>
  <c r="C81" i="10"/>
  <c r="D74" i="10"/>
  <c r="E74" i="10"/>
  <c r="F74" i="10"/>
  <c r="C77" i="10"/>
  <c r="C78" i="10"/>
  <c r="C76" i="10"/>
  <c r="E70" i="10"/>
  <c r="C73" i="10"/>
  <c r="D29" i="5" l="1"/>
  <c r="D32" i="5"/>
  <c r="C30" i="14"/>
  <c r="D53" i="5"/>
  <c r="D44" i="5"/>
  <c r="D38" i="5"/>
  <c r="D128" i="14"/>
  <c r="C83" i="14"/>
  <c r="F42" i="5"/>
  <c r="F46" i="5" s="1"/>
  <c r="E37" i="5"/>
  <c r="G42" i="5"/>
  <c r="G46" i="5" s="1"/>
  <c r="E48" i="5"/>
  <c r="F37" i="5"/>
  <c r="F48" i="5"/>
  <c r="F31" i="5"/>
  <c r="F34" i="5" s="1"/>
  <c r="G37" i="5"/>
  <c r="E42" i="5"/>
  <c r="E46" i="5" s="1"/>
  <c r="G48" i="5"/>
  <c r="C90" i="10"/>
  <c r="D21" i="5"/>
  <c r="C79" i="10"/>
  <c r="C83" i="10"/>
  <c r="C74" i="10"/>
  <c r="D115" i="10"/>
  <c r="E115" i="10"/>
  <c r="F115" i="10"/>
  <c r="C115" i="10"/>
  <c r="D48" i="5" l="1"/>
  <c r="C128" i="14"/>
  <c r="D37" i="5"/>
  <c r="D42" i="5"/>
  <c r="D110" i="10"/>
  <c r="E39" i="5"/>
  <c r="E40" i="5" s="1"/>
  <c r="E110" i="10"/>
  <c r="F39" i="5"/>
  <c r="F40" i="5" s="1"/>
  <c r="C110" i="10"/>
  <c r="D39" i="5"/>
  <c r="F110" i="10"/>
  <c r="G39" i="5"/>
  <c r="G40" i="5" s="1"/>
  <c r="D28" i="5"/>
  <c r="D70" i="10" l="1"/>
  <c r="C72" i="10"/>
  <c r="F70" i="10"/>
  <c r="D57" i="10"/>
  <c r="E57" i="10"/>
  <c r="F57" i="10"/>
  <c r="C60" i="10"/>
  <c r="C61" i="10"/>
  <c r="C59" i="10"/>
  <c r="D62" i="10"/>
  <c r="E62" i="10"/>
  <c r="F62" i="10"/>
  <c r="C65" i="10"/>
  <c r="C64" i="10"/>
  <c r="C70" i="10" l="1"/>
  <c r="C88" i="10"/>
  <c r="E24" i="5"/>
  <c r="E26" i="5" s="1"/>
  <c r="D88" i="10"/>
  <c r="F24" i="5"/>
  <c r="F26" i="5" s="1"/>
  <c r="G31" i="5"/>
  <c r="G34" i="5" s="1"/>
  <c r="E31" i="5"/>
  <c r="E34" i="5" s="1"/>
  <c r="E88" i="10"/>
  <c r="G24" i="5"/>
  <c r="G26" i="5" s="1"/>
  <c r="E20" i="5"/>
  <c r="E22" i="5" s="1"/>
  <c r="F88" i="10"/>
  <c r="F20" i="5"/>
  <c r="F22" i="5" s="1"/>
  <c r="G20" i="5"/>
  <c r="G22" i="5" s="1"/>
  <c r="C62" i="10"/>
  <c r="C57" i="10"/>
  <c r="F131" i="10"/>
  <c r="C132" i="10"/>
  <c r="C133" i="10"/>
  <c r="C135" i="10"/>
  <c r="D31" i="5" l="1"/>
  <c r="D34" i="5" s="1"/>
  <c r="D24" i="5"/>
  <c r="D20" i="5"/>
  <c r="D22" i="5" s="1"/>
  <c r="C131" i="10"/>
  <c r="C56" i="10"/>
  <c r="C52" i="10"/>
  <c r="D46" i="10"/>
  <c r="E46" i="10"/>
  <c r="F46" i="10"/>
  <c r="C49" i="10"/>
  <c r="C48" i="10"/>
  <c r="C14" i="10"/>
  <c r="C15" i="10"/>
  <c r="C16" i="10"/>
  <c r="C17" i="10"/>
  <c r="C13" i="10"/>
  <c r="E13" i="5"/>
  <c r="F13" i="5"/>
  <c r="G13" i="5"/>
  <c r="D13" i="5"/>
  <c r="D19" i="5" l="1"/>
  <c r="G14" i="5"/>
  <c r="E14" i="5"/>
  <c r="C46" i="10"/>
  <c r="F14" i="5"/>
  <c r="D150" i="10"/>
  <c r="E150" i="10"/>
  <c r="F150" i="10"/>
  <c r="F143" i="10" s="1"/>
  <c r="C154" i="10"/>
  <c r="C146" i="10"/>
  <c r="C147" i="10"/>
  <c r="C148" i="10"/>
  <c r="C149" i="10"/>
  <c r="C151" i="10"/>
  <c r="C152" i="10"/>
  <c r="C153" i="10"/>
  <c r="C155" i="10"/>
  <c r="C156" i="10"/>
  <c r="C145" i="10"/>
  <c r="D45" i="5" l="1"/>
  <c r="G55" i="5"/>
  <c r="G56" i="5" s="1"/>
  <c r="D143" i="10"/>
  <c r="E143" i="10"/>
  <c r="D14" i="5"/>
  <c r="C150" i="10"/>
  <c r="C19" i="9"/>
  <c r="F55" i="5" l="1"/>
  <c r="F56" i="5" s="1"/>
  <c r="E55" i="5"/>
  <c r="E56" i="5" s="1"/>
  <c r="C143" i="10"/>
  <c r="D53" i="10"/>
  <c r="E53" i="10"/>
  <c r="E50" i="10" s="1"/>
  <c r="F53" i="10"/>
  <c r="F50" i="10" s="1"/>
  <c r="C55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20" i="10"/>
  <c r="D18" i="10"/>
  <c r="E18" i="10"/>
  <c r="F18" i="10"/>
  <c r="D55" i="5" l="1"/>
  <c r="D50" i="10"/>
  <c r="C53" i="10"/>
  <c r="C50" i="10" s="1"/>
  <c r="F11" i="10"/>
  <c r="D52" i="5"/>
  <c r="D35" i="5"/>
  <c r="D36" i="5"/>
  <c r="D40" i="5" s="1"/>
  <c r="E45" i="10"/>
  <c r="F16" i="5"/>
  <c r="D11" i="10"/>
  <c r="D41" i="5"/>
  <c r="D46" i="5" s="1"/>
  <c r="D23" i="5"/>
  <c r="D26" i="5" s="1"/>
  <c r="F45" i="10"/>
  <c r="G16" i="5"/>
  <c r="E11" i="10"/>
  <c r="D47" i="5"/>
  <c r="D27" i="5"/>
  <c r="D30" i="5" s="1"/>
  <c r="C18" i="10"/>
  <c r="C11" i="9"/>
  <c r="D136" i="10"/>
  <c r="E136" i="10"/>
  <c r="F136" i="10"/>
  <c r="C139" i="10"/>
  <c r="C140" i="10"/>
  <c r="C141" i="10"/>
  <c r="C142" i="10"/>
  <c r="C134" i="10"/>
  <c r="C138" i="10"/>
  <c r="D7" i="10"/>
  <c r="E7" i="10"/>
  <c r="F7" i="10"/>
  <c r="C9" i="10"/>
  <c r="D45" i="10" l="1"/>
  <c r="D16" i="5"/>
  <c r="C45" i="10"/>
  <c r="E16" i="5"/>
  <c r="D56" i="5"/>
  <c r="F6" i="10"/>
  <c r="G17" i="5"/>
  <c r="E10" i="10"/>
  <c r="F15" i="5"/>
  <c r="D10" i="10"/>
  <c r="E15" i="5"/>
  <c r="F10" i="10"/>
  <c r="G15" i="5"/>
  <c r="D6" i="10"/>
  <c r="E17" i="5"/>
  <c r="E6" i="10"/>
  <c r="F17" i="5"/>
  <c r="C11" i="10"/>
  <c r="F129" i="10"/>
  <c r="C7" i="10"/>
  <c r="D129" i="10"/>
  <c r="E129" i="10"/>
  <c r="C136" i="10"/>
  <c r="C60" i="9"/>
  <c r="C62" i="9"/>
  <c r="C61" i="9" s="1"/>
  <c r="C55" i="9"/>
  <c r="C42" i="9"/>
  <c r="C18" i="9" l="1"/>
  <c r="C50" i="9"/>
  <c r="C129" i="10"/>
  <c r="E18" i="5"/>
  <c r="C6" i="10"/>
  <c r="D17" i="5"/>
  <c r="E128" i="10"/>
  <c r="E157" i="10" s="1"/>
  <c r="E160" i="10" s="1"/>
  <c r="F50" i="5"/>
  <c r="F51" i="5" s="1"/>
  <c r="D128" i="10"/>
  <c r="E50" i="5"/>
  <c r="E51" i="5" s="1"/>
  <c r="F128" i="10"/>
  <c r="F157" i="10" s="1"/>
  <c r="F160" i="10" s="1"/>
  <c r="G50" i="5"/>
  <c r="G51" i="5" s="1"/>
  <c r="C10" i="10"/>
  <c r="D15" i="5"/>
  <c r="G18" i="5"/>
  <c r="F18" i="5"/>
  <c r="C10" i="9"/>
  <c r="D22" i="15"/>
  <c r="E22" i="15"/>
  <c r="F22" i="15"/>
  <c r="D17" i="15"/>
  <c r="E17" i="15"/>
  <c r="F17" i="15"/>
  <c r="D13" i="15"/>
  <c r="E13" i="15"/>
  <c r="F13" i="15"/>
  <c r="C26" i="15"/>
  <c r="C25" i="15"/>
  <c r="C24" i="15"/>
  <c r="C21" i="15"/>
  <c r="C20" i="15"/>
  <c r="C19" i="15"/>
  <c r="C16" i="15"/>
  <c r="C15" i="15"/>
  <c r="C12" i="15"/>
  <c r="F27" i="15" l="1"/>
  <c r="D50" i="5"/>
  <c r="D51" i="5" s="1"/>
  <c r="C128" i="10"/>
  <c r="C157" i="10" s="1"/>
  <c r="C160" i="10" s="1"/>
  <c r="E27" i="15"/>
  <c r="C17" i="15"/>
  <c r="D27" i="15"/>
  <c r="C22" i="15"/>
  <c r="D157" i="10"/>
  <c r="D160" i="10" s="1"/>
  <c r="C13" i="15"/>
  <c r="C16" i="9"/>
  <c r="C65" i="9" s="1"/>
  <c r="E57" i="5"/>
  <c r="E60" i="5" s="1"/>
  <c r="F57" i="5"/>
  <c r="F60" i="5" s="1"/>
  <c r="G57" i="5"/>
  <c r="G60" i="5" s="1"/>
  <c r="D18" i="5"/>
  <c r="D57" i="5" l="1"/>
  <c r="D60" i="5" s="1"/>
  <c r="C27" i="15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</calcChain>
</file>

<file path=xl/sharedStrings.xml><?xml version="1.0" encoding="utf-8"?>
<sst xmlns="http://schemas.openxmlformats.org/spreadsheetml/2006/main" count="536" uniqueCount="272">
  <si>
    <t>Eil. Nr.</t>
  </si>
  <si>
    <t>Iš viso</t>
  </si>
  <si>
    <t>iš jų:</t>
  </si>
  <si>
    <t>Savivaldybės administracija</t>
  </si>
  <si>
    <t>Miesto ūkio departamentas</t>
  </si>
  <si>
    <t>Ugdymo ir kultūros departamentas</t>
  </si>
  <si>
    <t>Socialinių reikalų departamentas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</si>
  <si>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</si>
  <si>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</si>
  <si>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</si>
  <si>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</si>
  <si>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</si>
  <si>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</si>
  <si>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</si>
  <si>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</si>
  <si>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</si>
  <si>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</si>
  <si>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</si>
  <si>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</si>
  <si>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</si>
  <si>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</si>
  <si>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</si>
  <si>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</si>
  <si>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</si>
  <si>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</si>
  <si>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</si>
  <si>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</si>
  <si>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</si>
  <si>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</si>
  <si>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</si>
  <si>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</si>
  <si>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</si>
  <si>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</si>
  <si>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</si>
  <si>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</si>
  <si>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</si>
  <si>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</si>
  <si>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</si>
  <si>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</si>
  <si>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tarybos aptarnavimas (savivaldybės biudžeto lėšos)</t>
  </si>
  <si>
    <t>Savivaldybės sekretoriato aptarnavimas (savivaldybės biudžeto lėšos)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</si>
  <si>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</si>
  <si>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</si>
  <si>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</si>
  <si>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</si>
  <si>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</si>
  <si>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</si>
  <si>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</si>
  <si>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</si>
  <si>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Investicijų ir ekonomikos departamentas</t>
  </si>
  <si>
    <t>Savivaldybės valdymo  programa (savivaldybės biudžeto lėšos)</t>
  </si>
  <si>
    <t xml:space="preserve">Aplinkos apsaugos programa </t>
  </si>
  <si>
    <t>Aplinkos apsaugos programa (savivaldybės biudžeto lėšos)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</si>
  <si>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</si>
  <si>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</si>
  <si>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</si>
  <si>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</si>
  <si>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</si>
  <si>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</si>
  <si>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</si>
  <si>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Urbanistinės plėtros departamentas</t>
  </si>
  <si>
    <t>Aplinkos apsaugos programa</t>
  </si>
  <si>
    <t xml:space="preserve">Miesto infrastruktūros objektų priežiūros ir modernizavimo programa 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</si>
  <si>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</si>
  <si>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</si>
  <si>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</t>
  </si>
  <si>
    <t>Ugdymo proceso užtikrinimo programa  (savivaldybės biudžeto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</si>
  <si>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</si>
  <si>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</si>
  <si>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</t>
  </si>
  <si>
    <t>Kūno kultūros ir sporto plėtros programa (savivaldybės biudžeto lėšos)</t>
  </si>
  <si>
    <t>Kūno kultūros ir sporto plėtros programa (asignavimų valdytojo pajamų įmokos)</t>
  </si>
  <si>
    <t>Socialinės atskirties mažinimo programa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</si>
  <si>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</si>
  <si>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</si>
  <si>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</si>
  <si>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</si>
  <si>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</si>
  <si>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</si>
  <si>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</si>
  <si>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</si>
  <si>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</si>
  <si>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</si>
  <si>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 xml:space="preserve">                       Klaipėdos miesto savivaldybės tarybos</t>
  </si>
  <si>
    <t xml:space="preserve">                       2 priedas</t>
  </si>
  <si>
    <t>Programos pavadinimas</t>
  </si>
  <si>
    <t>Asignavimų valdytojas</t>
  </si>
  <si>
    <t>Smulkiojo ir vidutinio verslo plėtros programa</t>
  </si>
  <si>
    <t>Susisiekimo sistemos priežiūros ir plėtros programa</t>
  </si>
  <si>
    <t xml:space="preserve">                                                            Klaipėdos miesto savivaldybės tarybos</t>
  </si>
  <si>
    <t xml:space="preserve">                                                            1 priedas</t>
  </si>
  <si>
    <t>Klaipėdos miesto savivaldybės tarybos</t>
  </si>
  <si>
    <t>14.</t>
  </si>
  <si>
    <t>1.</t>
  </si>
  <si>
    <t>Miesto urbanistinio planavimo programa</t>
  </si>
  <si>
    <t>Iš viso programai</t>
  </si>
  <si>
    <t>2.</t>
  </si>
  <si>
    <t>Subalansuoto turizmo skatinimo ir vystymo programa</t>
  </si>
  <si>
    <t>3.</t>
  </si>
  <si>
    <t>5.</t>
  </si>
  <si>
    <t>6.</t>
  </si>
  <si>
    <t>7.</t>
  </si>
  <si>
    <t>9.</t>
  </si>
  <si>
    <t>Jaunimo politikos plėtros programa</t>
  </si>
  <si>
    <t>10.</t>
  </si>
  <si>
    <t>11.</t>
  </si>
  <si>
    <t>12.</t>
  </si>
  <si>
    <t xml:space="preserve">Iš viso: </t>
  </si>
  <si>
    <t>8.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</si>
  <si>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</si>
  <si>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</si>
  <si>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</si>
  <si>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</si>
  <si>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</si>
  <si>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</si>
  <si>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</si>
  <si>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</si>
  <si>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>Iš viso:</t>
  </si>
  <si>
    <t xml:space="preserve">        Tūkst. Eur</t>
  </si>
  <si>
    <t>1. Asignavimų valdytojų pajamų įmokų likučio metų pradžioje lėšos</t>
  </si>
  <si>
    <t xml:space="preserve">Ugdymo ir kultūros departamentas </t>
  </si>
  <si>
    <t>2. Tikslinės paskirties lėšų likučio metų pradžioje lėšos</t>
  </si>
  <si>
    <t>2.1. Aplinkos apsaugos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</si>
  <si>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</si>
  <si>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 xml:space="preserve">Miesto urbanistinio planavimo programa </t>
  </si>
  <si>
    <t>2.2. Visuomenės sveikatos rėmimo specialiosios programos lėšų likučio metų pradžioje lėšos</t>
  </si>
  <si>
    <t>3. Savivaldybės biudžeto lėšų likučio metų pradžioje lėšos</t>
  </si>
  <si>
    <t>Miesto infrastruktūros objektų priežiūros ir modernizavimo programa</t>
  </si>
  <si>
    <t>Kitos neišvardytos pajamos</t>
  </si>
  <si>
    <t>Finansavimo šaltinis / asignavimų valdytojas / programos pavadinimas</t>
  </si>
  <si>
    <t>Neveiksnių asmenų būklės peržiūrėjimui užtikrinti</t>
  </si>
  <si>
    <t xml:space="preserve">Savivaldybės valdymo  programa  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</si>
  <si>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</si>
  <si>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</si>
  <si>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</si>
  <si>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>Subalansuoto turizmo skatinimo ir vystymo programa  (savivaldybės biudžeto lėšos)</t>
  </si>
  <si>
    <t xml:space="preserve">Subalansuoto turizmo skatinimo ir vystymo programa </t>
  </si>
  <si>
    <t xml:space="preserve">Socialinės atskirties mažinimo programa </t>
  </si>
  <si>
    <t>iš jų kreditiniam įsiskolinimui dengti</t>
  </si>
  <si>
    <t>13.</t>
  </si>
  <si>
    <t>4.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</si>
  <si>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</si>
  <si>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</si>
  <si>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</si>
  <si>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</si>
  <si>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</si>
  <si>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</si>
  <si>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 xml:space="preserve">2.6. Vietinės rinkliavos už leidimo prekiauti ar teikti paslaugas miesto viešosiose vietose išdavimą lėšų  likučio metų pradžioje lėšos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</si>
  <si>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</si>
  <si>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</si>
  <si>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</si>
  <si>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</si>
  <si>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</si>
  <si>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</si>
  <si>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</si>
  <si>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</si>
  <si>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</si>
  <si>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</si>
  <si>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</si>
  <si>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</si>
  <si>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</si>
  <si>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</si>
  <si>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Subalansuoto turizmo skatinimo ir vystymo programa  (Europos Sąjungos finansinės paramos ir bendrojo finansavimo lėšos)</t>
  </si>
  <si>
    <t>4 priedas</t>
  </si>
  <si>
    <t>Asignavimų valdytojo pavadinimas</t>
  </si>
  <si>
    <t xml:space="preserve">įmokos už išlaikymą švietimo, socialinės apsaugos ir kitose įstaigose </t>
  </si>
  <si>
    <t xml:space="preserve">pajamos už prekes ir paslaugas </t>
  </si>
  <si>
    <t xml:space="preserve">pajamos už ilgalaikio ir trumpalaikio materialiojo turto nuomą </t>
  </si>
  <si>
    <t>2</t>
  </si>
  <si>
    <t>3</t>
  </si>
  <si>
    <t>4</t>
  </si>
  <si>
    <t>6</t>
  </si>
  <si>
    <t>Biudžetinė įstaiga „Klaipėdos paplūdimiai“</t>
  </si>
  <si>
    <t>švietimo įstaigos</t>
  </si>
  <si>
    <t>sporto įstaigos</t>
  </si>
  <si>
    <t>kultūros įstaigos</t>
  </si>
  <si>
    <t>Socialinių reikalų departamentas (pajamos už gyvenamųjų patalpų nuomą)</t>
  </si>
  <si>
    <t>socialinės apsaugos įstaigos</t>
  </si>
  <si>
    <t>sveikatos apsaugos įstaigos</t>
  </si>
  <si>
    <t xml:space="preserve">2019 METŲ ASIGNAVIMŲ VALDYTOJŲ PAJAMŲ ĮMOKOS Į SAVIVALDYBĖS BIUDŽETĄ </t>
  </si>
  <si>
    <t>2019 m.                    d. sprendimo Nr. T2-</t>
  </si>
  <si>
    <t>2019 m.                       d. sprendimo Nr. T2-</t>
  </si>
  <si>
    <t xml:space="preserve">ASIGNAVIMAI IŠ APYVARTINIŲ LĖŠŲ 2019 M. SAUSIO 1 D. LIKUČIO </t>
  </si>
  <si>
    <t xml:space="preserve">                                                            2019 m.                 d. sprendimo Nr. T2-</t>
  </si>
  <si>
    <t>KLAIPĖDOS MIESTO SAVIVALDYBĖS 2019 METŲ BIUDŽETAS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</si>
  <si>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</si>
  <si>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</si>
  <si>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</si>
  <si>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</si>
  <si>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</si>
  <si>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</si>
  <si>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</si>
  <si>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t xml:space="preserve">                       2019 m.                d. sprendimo Nr. T2-</t>
  </si>
  <si>
    <t>KLAIPĖDOS MIESTO SAVIVALDYBĖS 2019 METŲ BIUDŽETO ASIGNAVIMAI                                  PAGAL PROGRAMAS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</si>
  <si>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</si>
  <si>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</si>
  <si>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</si>
  <si>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Ugdymo proceso užtikrinimo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</si>
  <si>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 xml:space="preserve">(savivaldybės biudžeto lėšos) </t>
    </r>
  </si>
  <si>
    <r>
      <t>Socialinės atskirties mažinimo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</si>
  <si>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 xml:space="preserve">Sveikatos apsaugos programa 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</si>
  <si>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sz val="12"/>
        <rFont val="Times New Roman"/>
        <family val="1"/>
        <charset val="186"/>
      </rPr>
      <t>Savivaldybės valdymo  programa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(specialios tikslinės dotacijos valstybinėms (valstybės perduotoms savivaldybėms) funkcijoms atlikti lėšos)</t>
    </r>
  </si>
  <si>
    <r>
      <t xml:space="preserve">Smulkiojo ir vidutinio verslo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</si>
  <si>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</si>
  <si>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t>Ugdymo proceso užtikrinimo programa (paskolų lėšos)</t>
  </si>
  <si>
    <r>
      <t xml:space="preserve">Sveikatos apsaugos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</si>
  <si>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Socialinės atskirties mažinimo programa </t>
    </r>
    <r>
      <rPr>
        <sz val="12"/>
        <rFont val="Times New Roman"/>
        <family val="1"/>
        <charset val="186"/>
      </rPr>
      <t>(savivaldybės biudžeto lėšos)</t>
    </r>
  </si>
  <si>
    <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</si>
  <si>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r>
      <t>Kultūros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</si>
  <si>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t>Susisiekimo sistemos priežiūros ir plėtros programa</t>
    </r>
    <r>
      <rPr>
        <sz val="12"/>
        <rFont val="Times New Roman"/>
        <family val="1"/>
        <charset val="186"/>
      </rPr>
      <t xml:space="preserve"> (savivaldybės biudžeto lėšos)</t>
    </r>
  </si>
  <si>
    <r>
      <rPr>
        <b/>
        <sz val="12"/>
        <rFont val="Times New Roman"/>
        <family val="1"/>
        <charset val="186"/>
      </rPr>
      <t xml:space="preserve">Kūno kultūros ir sporto plėtros programa </t>
    </r>
    <r>
      <rPr>
        <sz val="12"/>
        <rFont val="Times New Roman"/>
        <family val="1"/>
        <charset val="186"/>
      </rPr>
      <t>(savivaldybės biudžeto lėšos)</t>
    </r>
  </si>
  <si>
    <t>2.4. Vietinės rinkliavos už naudojimąsi nustatytomis mokamomis vietomis automobiliams statyti Klaipėdos mieste lėšų likučio metų pradžioje lėšos</t>
  </si>
  <si>
    <t xml:space="preserve">2.5. Vietinės rinkliavos už leidimo atlikti kasinėjimo darbus Savivaldybės viešojo naudojimo teritorijoje lėšų  likučio metų pradžioje lėšos </t>
  </si>
  <si>
    <t>2.7. Už žemės pardavimą gautų lėšų likučio metų pradžioje lėšos</t>
  </si>
  <si>
    <t>2.8. Už privatizuotus butus gautų lėšų likučio metų pradžioje lėšos</t>
  </si>
  <si>
    <t>Kultūros plėtros programa</t>
  </si>
  <si>
    <t xml:space="preserve">      Klaipėdos miesto savivaldybės tarybos</t>
  </si>
  <si>
    <t>Asignavimų valdytojo / programos / tikslinės paskirties lėšų pavadinimas</t>
  </si>
  <si>
    <t>pajamų įmokos</t>
  </si>
  <si>
    <t>savivaldy-bės biudžeto lėšų likutis</t>
  </si>
  <si>
    <t>Kultūros plėtros programa (kultūros įstaigos)</t>
  </si>
  <si>
    <t>Ugdymo proceso užtikrinimo programa (švietimo įstaigos)</t>
  </si>
  <si>
    <t>Kūno kultūros ir sporto plėtros programa (sporto įstaigos)</t>
  </si>
  <si>
    <t>Socialinių reikalų departamentas (asignavimų valdytojo pajamų už gyvenamųjų patalpų nuomą įmokos)</t>
  </si>
  <si>
    <t>Socialinės apsaugos įstaigos</t>
  </si>
  <si>
    <t>Sveikatos apsaugos programa (sveikatos apsaugos įstaigos)</t>
  </si>
  <si>
    <t>Už privatizuotus butus gautos lėšos</t>
  </si>
  <si>
    <t>Aplinkos apsaugos rėmimo specialiosios programos lėšos</t>
  </si>
  <si>
    <t>Visuomenės sveikatos rėmimo specialiosios programos lėšos</t>
  </si>
  <si>
    <t>Vietinės rinkliavos už leidimo atlikti kasinėjimo darbus Savivaldybės viešojo naudojimo teritorijoje lėšos</t>
  </si>
  <si>
    <t>Vietinės rinkliavos už leidimo prekiauti ar teikti paslaugas miesto viešosiose vietose išdavimą lėšos</t>
  </si>
  <si>
    <t>Vietinės rinkliavos už komunalinių atliekų surinkimą iš atliekų turėtojų ir atliekų tvarkytojų lėšos</t>
  </si>
  <si>
    <t>Vietinės rinkliavos už naudojimąsi nustatytomis mokamomis vietomis automobiliams statyti Klaipėdos mieste lėšos</t>
  </si>
  <si>
    <t>Už žemės pardavimą gautos lėšos</t>
  </si>
  <si>
    <t>Savivaldybės biudžeto lėšų likutis</t>
  </si>
  <si>
    <t xml:space="preserve">      2019 m.             d. sprendimo Nr. T2-</t>
  </si>
  <si>
    <t>2019 m. sausio 1 d. apyvartinių lėšų likutis</t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</si>
  <si>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</si>
  <si>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</si>
  <si>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</si>
  <si>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</si>
  <si>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</si>
  <si>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Ugdymo proceso užtikrinimo programa (dotacijos  atsinaujinančių energijos šaltinių įdiegimui lėšos)</t>
  </si>
  <si>
    <t>Dotacija atsinaujinančių energijos šaltinių įdiegimui (ilgalaikiam materialiajam ir nematerialiajam turtui įsigyti)</t>
  </si>
  <si>
    <t>DOTACIJOS (8+9+37)</t>
  </si>
  <si>
    <t>Valstybinėms (valstybės perduotoms savivaldybėms) funkcijoms atlikti (11+...+31)</t>
  </si>
  <si>
    <t>Kitos dotacijos ir lėšos iš kitų valdymo lygių (38+39+40)</t>
  </si>
  <si>
    <t>KITOS PAJAMOS (42+...+51)</t>
  </si>
  <si>
    <t>Iš viso pajamų (1+7+41+52)</t>
  </si>
  <si>
    <t>Savivaldybėms perduotoms įstaigoms išlaikyti (34+35)</t>
  </si>
  <si>
    <t>MATERIALIOJO IR NEMATERIALIOJO TURTO REALIZAVIMO PAJAMOS (53)</t>
  </si>
  <si>
    <t>Ilgalaikio materialiojo turto realizavimo pajamos (54+55)</t>
  </si>
  <si>
    <t>paskoloms grąžinti</t>
  </si>
  <si>
    <t>Iš viso asignavimų (152-154):</t>
  </si>
  <si>
    <t>15.</t>
  </si>
  <si>
    <t>16.</t>
  </si>
  <si>
    <t>17.</t>
  </si>
  <si>
    <t>Iš viso asignavimų (14-16):</t>
  </si>
  <si>
    <t xml:space="preserve">                                                            3 priedas</t>
  </si>
  <si>
    <t>Išlaidos turtui įsigyti</t>
  </si>
  <si>
    <t xml:space="preserve">                                                            2019 m.                     d. sprendimo Nr. T2-</t>
  </si>
  <si>
    <t>Iš viso išlaidų</t>
  </si>
  <si>
    <t>KLAIPĖDOS MIESTO SAVIVALDYBĖS 2019 M. BIUDŽETO ASIGNAVIMAI INVESTICIJŲ PROJEKTAMS FINANSUOTI IŠ PASKOLŲ LĖŠŲ</t>
  </si>
  <si>
    <t xml:space="preserve">Europos Sąjungos finansinės paramos ir bendrojo finansavimo lėšos  </t>
  </si>
  <si>
    <t xml:space="preserve">2.9. Europos Sąjungos finansinės paramos  ir bendrojo finansavimo lėšų likučio metų pradžioje lėšos </t>
  </si>
  <si>
    <t xml:space="preserve">      5 priedas</t>
  </si>
  <si>
    <t xml:space="preserve">2019 M. SAUSIO 1 D. APYVARTINIŲ LĖŠŲ LIKUTIS PAGAL PAJAMŲ RŪŠIS </t>
  </si>
  <si>
    <t>6 priedas</t>
  </si>
  <si>
    <t>Specialios tikslinės dotacijos (10+32+33+36)</t>
  </si>
  <si>
    <t>tikslinės paskirties lėšos</t>
  </si>
  <si>
    <t>Dotacija asbesto turinčių gaminių atliekų surinkimui apvažiavimo būdu, transportavimui ir saugiam šalinimui finansuoti</t>
  </si>
  <si>
    <t>Aplinkos apsaugos programa (dotacijos asbesto turinčių gaminių atliekų surinkimui apvažiavimo būdu, transportavimui ir saugiam šalinimui finansuoti  lėšos)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</si>
</sst>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General\.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2"/>
      <name val="Arial"/>
      <family val="2"/>
      <charset val="186"/>
    </font>
    <font>
      <sz val="12"/>
      <color rgb="FFFF000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1" applyFont="1"/>
    <xf numFmtId="0" fontId="1" fillId="0" borderId="0" xfId="1"/>
    <xf numFmtId="0" fontId="2" fillId="0" borderId="2" xfId="1" applyFont="1" applyBorder="1" applyAlignment="1">
      <alignment horizontal="center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164" fontId="1" fillId="0" borderId="0" xfId="1" applyNumberFormat="1"/>
    <xf numFmtId="9" fontId="1" fillId="0" borderId="0" xfId="8" applyFont="1"/>
    <xf numFmtId="164" fontId="0" fillId="0" borderId="0" xfId="0" applyNumberFormat="1"/>
    <xf numFmtId="0" fontId="2" fillId="0" borderId="0" xfId="7" applyFont="1" applyAlignment="1">
      <alignment horizontal="left"/>
    </xf>
    <xf numFmtId="0" fontId="2" fillId="0" borderId="0" xfId="7" applyFont="1"/>
    <xf numFmtId="0" fontId="1" fillId="0" borderId="0" xfId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8" fillId="0" borderId="0" xfId="1" applyFont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2" fillId="0" borderId="0" xfId="1" applyFont="1" applyBorder="1"/>
    <xf numFmtId="0" fontId="4" fillId="0" borderId="0" xfId="1" applyFont="1"/>
    <xf numFmtId="0" fontId="4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7" applyFont="1" applyBorder="1"/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164" fontId="4" fillId="0" borderId="2" xfId="3" applyNumberFormat="1" applyFont="1" applyFill="1" applyBorder="1" applyAlignment="1" applyProtection="1">
      <alignment wrapText="1"/>
      <protection hidden="1"/>
    </xf>
    <xf numFmtId="164" fontId="2" fillId="0" borderId="2" xfId="3" applyNumberFormat="1" applyFont="1" applyFill="1" applyBorder="1" applyAlignment="1" applyProtection="1">
      <alignment wrapText="1"/>
      <protection hidden="1"/>
    </xf>
    <xf numFmtId="0" fontId="2" fillId="0" borderId="2" xfId="1" applyFont="1" applyBorder="1" applyAlignment="1">
      <alignment wrapText="1"/>
    </xf>
    <xf numFmtId="164" fontId="4" fillId="0" borderId="2" xfId="3" applyNumberFormat="1" applyFont="1" applyBorder="1" applyAlignment="1" applyProtection="1">
      <alignment horizontal="right" wrapText="1"/>
      <protection hidden="1"/>
    </xf>
    <xf numFmtId="0" fontId="5" fillId="0" borderId="0" xfId="1" applyFont="1" applyFill="1" applyBorder="1"/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1" fillId="0" borderId="0" xfId="1" applyNumberFormat="1" applyBorder="1"/>
    <xf numFmtId="0" fontId="5" fillId="0" borderId="1" xfId="1" applyFont="1" applyFill="1" applyBorder="1"/>
    <xf numFmtId="164" fontId="4" fillId="0" borderId="1" xfId="3" applyNumberFormat="1" applyFont="1" applyBorder="1" applyAlignment="1" applyProtection="1">
      <alignment horizontal="right" wrapText="1"/>
      <protection hidden="1"/>
    </xf>
    <xf numFmtId="164" fontId="5" fillId="0" borderId="0" xfId="1" applyNumberFormat="1" applyFont="1" applyFill="1" applyBorder="1"/>
    <xf numFmtId="0" fontId="1" fillId="0" borderId="0" xfId="1" applyFont="1" applyFill="1" applyBorder="1"/>
    <xf numFmtId="164" fontId="9" fillId="0" borderId="0" xfId="1" applyNumberFormat="1" applyFont="1" applyBorder="1"/>
    <xf numFmtId="164" fontId="10" fillId="0" borderId="2" xfId="3" applyNumberFormat="1" applyFont="1" applyFill="1" applyBorder="1" applyAlignment="1" applyProtection="1">
      <alignment wrapText="1"/>
      <protection hidden="1"/>
    </xf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164" fontId="4" fillId="0" borderId="2" xfId="1" applyNumberFormat="1" applyFont="1" applyFill="1" applyBorder="1" applyAlignment="1">
      <alignment horizontal="left" wrapText="1"/>
    </xf>
    <xf numFmtId="0" fontId="4" fillId="0" borderId="0" xfId="1" applyFont="1" applyFill="1" applyAlignment="1"/>
    <xf numFmtId="0" fontId="2" fillId="0" borderId="0" xfId="1" applyFont="1" applyFill="1" applyAlignment="1">
      <alignment horizontal="center"/>
    </xf>
    <xf numFmtId="0" fontId="2" fillId="0" borderId="2" xfId="1" applyFont="1" applyFill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/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12" fillId="0" borderId="0" xfId="0" applyFont="1"/>
    <xf numFmtId="164" fontId="4" fillId="0" borderId="2" xfId="3" applyNumberFormat="1" applyFont="1" applyFill="1" applyBorder="1" applyAlignment="1" applyProtection="1">
      <alignment horizontal="right" wrapText="1"/>
      <protection hidden="1"/>
    </xf>
    <xf numFmtId="0" fontId="13" fillId="0" borderId="2" xfId="1" applyFont="1" applyFill="1" applyBorder="1" applyAlignment="1">
      <alignment horizontal="left" wrapText="1"/>
    </xf>
    <xf numFmtId="164" fontId="2" fillId="0" borderId="2" xfId="3" applyNumberFormat="1" applyFont="1" applyFill="1" applyBorder="1" applyAlignment="1" applyProtection="1">
      <alignment horizontal="right" wrapText="1"/>
      <protection hidden="1"/>
    </xf>
    <xf numFmtId="164" fontId="2" fillId="0" borderId="2" xfId="0" applyNumberFormat="1" applyFont="1" applyFill="1" applyBorder="1" applyAlignment="1">
      <alignment horizontal="right"/>
    </xf>
    <xf numFmtId="49" fontId="2" fillId="0" borderId="2" xfId="3" applyNumberFormat="1" applyFont="1" applyFill="1" applyBorder="1" applyAlignment="1" applyProtection="1">
      <alignment horizontal="center" wrapText="1"/>
      <protection hidden="1"/>
    </xf>
    <xf numFmtId="0" fontId="5" fillId="0" borderId="0" xfId="0" applyFont="1"/>
    <xf numFmtId="49" fontId="13" fillId="0" borderId="2" xfId="3" applyNumberFormat="1" applyFont="1" applyFill="1" applyBorder="1" applyAlignment="1" applyProtection="1">
      <alignment horizontal="left" wrapText="1"/>
      <protection hidden="1"/>
    </xf>
    <xf numFmtId="0" fontId="11" fillId="0" borderId="0" xfId="0" applyFont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2" xfId="0" applyFont="1" applyFill="1" applyBorder="1" applyAlignment="1">
      <alignment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2" xfId="1" applyFon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left" wrapText="1"/>
    </xf>
    <xf numFmtId="164" fontId="4" fillId="0" borderId="2" xfId="0" applyNumberFormat="1" applyFont="1" applyFill="1" applyBorder="1"/>
    <xf numFmtId="164" fontId="2" fillId="0" borderId="2" xfId="0" applyNumberFormat="1" applyFont="1" applyFill="1" applyBorder="1"/>
    <xf numFmtId="0" fontId="4" fillId="0" borderId="2" xfId="0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14" fillId="0" borderId="0" xfId="0" applyFont="1"/>
    <xf numFmtId="164" fontId="12" fillId="0" borderId="0" xfId="0" applyNumberFormat="1" applyFont="1"/>
    <xf numFmtId="0" fontId="12" fillId="0" borderId="1" xfId="0" applyFont="1" applyBorder="1"/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0" fontId="4" fillId="0" borderId="0" xfId="1" applyFont="1" applyFill="1" applyAlignment="1">
      <alignment horizontal="center"/>
    </xf>
    <xf numFmtId="9" fontId="2" fillId="0" borderId="0" xfId="8" applyFont="1" applyFill="1"/>
    <xf numFmtId="0" fontId="1" fillId="0" borderId="0" xfId="1" applyBorder="1"/>
    <xf numFmtId="0" fontId="0" fillId="0" borderId="1" xfId="0" applyBorder="1"/>
    <xf numFmtId="0" fontId="8" fillId="0" borderId="0" xfId="0" applyFont="1" applyFill="1"/>
    <xf numFmtId="0" fontId="12" fillId="0" borderId="0" xfId="0" applyFont="1" applyFill="1"/>
    <xf numFmtId="0" fontId="2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1" xfId="0" applyFont="1" applyBorder="1"/>
    <xf numFmtId="0" fontId="2" fillId="0" borderId="0" xfId="0" applyFont="1" applyFill="1" applyBorder="1" applyAlignment="1">
      <alignment horizontal="left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165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164" fontId="2" fillId="0" borderId="2" xfId="1" applyNumberFormat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opLeftCell="A34" zoomScale="115" zoomScaleNormal="115" workbookViewId="0">
      <selection activeCell="M51" sqref="M51"/>
    </sheetView>
  </sheetViews>
  <sheetFormatPr defaultRowHeight="12.75" x14ac:dyDescent="0.2"/>
  <cols>
    <col min="1" max="1" width="9.140625" style="2"/>
    <col min="2" max="2" width="60" style="2" customWidth="1"/>
    <col min="3" max="3" width="17.5703125" style="2" customWidth="1"/>
    <col min="4" max="184" width="9.140625" style="2"/>
    <col min="185" max="185" width="60" style="2" customWidth="1"/>
    <col min="186" max="186" width="17.28515625" style="2" customWidth="1"/>
    <col min="187" max="187" width="13.28515625" style="2" customWidth="1"/>
    <col min="188" max="188" width="12" style="2" customWidth="1"/>
    <col min="189" max="440" width="9.140625" style="2"/>
    <col min="441" max="441" width="60" style="2" customWidth="1"/>
    <col min="442" max="442" width="17.28515625" style="2" customWidth="1"/>
    <col min="443" max="443" width="13.28515625" style="2" customWidth="1"/>
    <col min="444" max="444" width="12" style="2" customWidth="1"/>
    <col min="445" max="696" width="9.140625" style="2"/>
    <col min="697" max="697" width="60" style="2" customWidth="1"/>
    <col min="698" max="698" width="17.28515625" style="2" customWidth="1"/>
    <col min="699" max="699" width="13.28515625" style="2" customWidth="1"/>
    <col min="700" max="700" width="12" style="2" customWidth="1"/>
    <col min="701" max="952" width="9.140625" style="2"/>
    <col min="953" max="953" width="60" style="2" customWidth="1"/>
    <col min="954" max="954" width="17.28515625" style="2" customWidth="1"/>
    <col min="955" max="955" width="13.28515625" style="2" customWidth="1"/>
    <col min="956" max="956" width="12" style="2" customWidth="1"/>
    <col min="957" max="1208" width="9.140625" style="2"/>
    <col min="1209" max="1209" width="60" style="2" customWidth="1"/>
    <col min="1210" max="1210" width="17.28515625" style="2" customWidth="1"/>
    <col min="1211" max="1211" width="13.28515625" style="2" customWidth="1"/>
    <col min="1212" max="1212" width="12" style="2" customWidth="1"/>
    <col min="1213" max="1464" width="9.140625" style="2"/>
    <col min="1465" max="1465" width="60" style="2" customWidth="1"/>
    <col min="1466" max="1466" width="17.28515625" style="2" customWidth="1"/>
    <col min="1467" max="1467" width="13.28515625" style="2" customWidth="1"/>
    <col min="1468" max="1468" width="12" style="2" customWidth="1"/>
    <col min="1469" max="1720" width="9.140625" style="2"/>
    <col min="1721" max="1721" width="60" style="2" customWidth="1"/>
    <col min="1722" max="1722" width="17.28515625" style="2" customWidth="1"/>
    <col min="1723" max="1723" width="13.28515625" style="2" customWidth="1"/>
    <col min="1724" max="1724" width="12" style="2" customWidth="1"/>
    <col min="1725" max="1976" width="9.140625" style="2"/>
    <col min="1977" max="1977" width="60" style="2" customWidth="1"/>
    <col min="1978" max="1978" width="17.28515625" style="2" customWidth="1"/>
    <col min="1979" max="1979" width="13.28515625" style="2" customWidth="1"/>
    <col min="1980" max="1980" width="12" style="2" customWidth="1"/>
    <col min="1981" max="2232" width="9.140625" style="2"/>
    <col min="2233" max="2233" width="60" style="2" customWidth="1"/>
    <col min="2234" max="2234" width="17.28515625" style="2" customWidth="1"/>
    <col min="2235" max="2235" width="13.28515625" style="2" customWidth="1"/>
    <col min="2236" max="2236" width="12" style="2" customWidth="1"/>
    <col min="2237" max="2488" width="9.140625" style="2"/>
    <col min="2489" max="2489" width="60" style="2" customWidth="1"/>
    <col min="2490" max="2490" width="17.28515625" style="2" customWidth="1"/>
    <col min="2491" max="2491" width="13.28515625" style="2" customWidth="1"/>
    <col min="2492" max="2492" width="12" style="2" customWidth="1"/>
    <col min="2493" max="2744" width="9.140625" style="2"/>
    <col min="2745" max="2745" width="60" style="2" customWidth="1"/>
    <col min="2746" max="2746" width="17.28515625" style="2" customWidth="1"/>
    <col min="2747" max="2747" width="13.28515625" style="2" customWidth="1"/>
    <col min="2748" max="2748" width="12" style="2" customWidth="1"/>
    <col min="2749" max="3000" width="9.140625" style="2"/>
    <col min="3001" max="3001" width="60" style="2" customWidth="1"/>
    <col min="3002" max="3002" width="17.28515625" style="2" customWidth="1"/>
    <col min="3003" max="3003" width="13.28515625" style="2" customWidth="1"/>
    <col min="3004" max="3004" width="12" style="2" customWidth="1"/>
    <col min="3005" max="3256" width="9.140625" style="2"/>
    <col min="3257" max="3257" width="60" style="2" customWidth="1"/>
    <col min="3258" max="3258" width="17.28515625" style="2" customWidth="1"/>
    <col min="3259" max="3259" width="13.28515625" style="2" customWidth="1"/>
    <col min="3260" max="3260" width="12" style="2" customWidth="1"/>
    <col min="3261" max="3512" width="9.140625" style="2"/>
    <col min="3513" max="3513" width="60" style="2" customWidth="1"/>
    <col min="3514" max="3514" width="17.28515625" style="2" customWidth="1"/>
    <col min="3515" max="3515" width="13.28515625" style="2" customWidth="1"/>
    <col min="3516" max="3516" width="12" style="2" customWidth="1"/>
    <col min="3517" max="3768" width="9.140625" style="2"/>
    <col min="3769" max="3769" width="60" style="2" customWidth="1"/>
    <col min="3770" max="3770" width="17.28515625" style="2" customWidth="1"/>
    <col min="3771" max="3771" width="13.28515625" style="2" customWidth="1"/>
    <col min="3772" max="3772" width="12" style="2" customWidth="1"/>
    <col min="3773" max="4024" width="9.140625" style="2"/>
    <col min="4025" max="4025" width="60" style="2" customWidth="1"/>
    <col min="4026" max="4026" width="17.28515625" style="2" customWidth="1"/>
    <col min="4027" max="4027" width="13.28515625" style="2" customWidth="1"/>
    <col min="4028" max="4028" width="12" style="2" customWidth="1"/>
    <col min="4029" max="4280" width="9.140625" style="2"/>
    <col min="4281" max="4281" width="60" style="2" customWidth="1"/>
    <col min="4282" max="4282" width="17.28515625" style="2" customWidth="1"/>
    <col min="4283" max="4283" width="13.28515625" style="2" customWidth="1"/>
    <col min="4284" max="4284" width="12" style="2" customWidth="1"/>
    <col min="4285" max="4536" width="9.140625" style="2"/>
    <col min="4537" max="4537" width="60" style="2" customWidth="1"/>
    <col min="4538" max="4538" width="17.28515625" style="2" customWidth="1"/>
    <col min="4539" max="4539" width="13.28515625" style="2" customWidth="1"/>
    <col min="4540" max="4540" width="12" style="2" customWidth="1"/>
    <col min="4541" max="4792" width="9.140625" style="2"/>
    <col min="4793" max="4793" width="60" style="2" customWidth="1"/>
    <col min="4794" max="4794" width="17.28515625" style="2" customWidth="1"/>
    <col min="4795" max="4795" width="13.28515625" style="2" customWidth="1"/>
    <col min="4796" max="4796" width="12" style="2" customWidth="1"/>
    <col min="4797" max="5048" width="9.140625" style="2"/>
    <col min="5049" max="5049" width="60" style="2" customWidth="1"/>
    <col min="5050" max="5050" width="17.28515625" style="2" customWidth="1"/>
    <col min="5051" max="5051" width="13.28515625" style="2" customWidth="1"/>
    <col min="5052" max="5052" width="12" style="2" customWidth="1"/>
    <col min="5053" max="5304" width="9.140625" style="2"/>
    <col min="5305" max="5305" width="60" style="2" customWidth="1"/>
    <col min="5306" max="5306" width="17.28515625" style="2" customWidth="1"/>
    <col min="5307" max="5307" width="13.28515625" style="2" customWidth="1"/>
    <col min="5308" max="5308" width="12" style="2" customWidth="1"/>
    <col min="5309" max="5560" width="9.140625" style="2"/>
    <col min="5561" max="5561" width="60" style="2" customWidth="1"/>
    <col min="5562" max="5562" width="17.28515625" style="2" customWidth="1"/>
    <col min="5563" max="5563" width="13.28515625" style="2" customWidth="1"/>
    <col min="5564" max="5564" width="12" style="2" customWidth="1"/>
    <col min="5565" max="5816" width="9.140625" style="2"/>
    <col min="5817" max="5817" width="60" style="2" customWidth="1"/>
    <col min="5818" max="5818" width="17.28515625" style="2" customWidth="1"/>
    <col min="5819" max="5819" width="13.28515625" style="2" customWidth="1"/>
    <col min="5820" max="5820" width="12" style="2" customWidth="1"/>
    <col min="5821" max="6072" width="9.140625" style="2"/>
    <col min="6073" max="6073" width="60" style="2" customWidth="1"/>
    <col min="6074" max="6074" width="17.28515625" style="2" customWidth="1"/>
    <col min="6075" max="6075" width="13.28515625" style="2" customWidth="1"/>
    <col min="6076" max="6076" width="12" style="2" customWidth="1"/>
    <col min="6077" max="6328" width="9.140625" style="2"/>
    <col min="6329" max="6329" width="60" style="2" customWidth="1"/>
    <col min="6330" max="6330" width="17.28515625" style="2" customWidth="1"/>
    <col min="6331" max="6331" width="13.28515625" style="2" customWidth="1"/>
    <col min="6332" max="6332" width="12" style="2" customWidth="1"/>
    <col min="6333" max="6584" width="9.140625" style="2"/>
    <col min="6585" max="6585" width="60" style="2" customWidth="1"/>
    <col min="6586" max="6586" width="17.28515625" style="2" customWidth="1"/>
    <col min="6587" max="6587" width="13.28515625" style="2" customWidth="1"/>
    <col min="6588" max="6588" width="12" style="2" customWidth="1"/>
    <col min="6589" max="6840" width="9.140625" style="2"/>
    <col min="6841" max="6841" width="60" style="2" customWidth="1"/>
    <col min="6842" max="6842" width="17.28515625" style="2" customWidth="1"/>
    <col min="6843" max="6843" width="13.28515625" style="2" customWidth="1"/>
    <col min="6844" max="6844" width="12" style="2" customWidth="1"/>
    <col min="6845" max="7096" width="9.140625" style="2"/>
    <col min="7097" max="7097" width="60" style="2" customWidth="1"/>
    <col min="7098" max="7098" width="17.28515625" style="2" customWidth="1"/>
    <col min="7099" max="7099" width="13.28515625" style="2" customWidth="1"/>
    <col min="7100" max="7100" width="12" style="2" customWidth="1"/>
    <col min="7101" max="7352" width="9.140625" style="2"/>
    <col min="7353" max="7353" width="60" style="2" customWidth="1"/>
    <col min="7354" max="7354" width="17.28515625" style="2" customWidth="1"/>
    <col min="7355" max="7355" width="13.28515625" style="2" customWidth="1"/>
    <col min="7356" max="7356" width="12" style="2" customWidth="1"/>
    <col min="7357" max="7608" width="9.140625" style="2"/>
    <col min="7609" max="7609" width="60" style="2" customWidth="1"/>
    <col min="7610" max="7610" width="17.28515625" style="2" customWidth="1"/>
    <col min="7611" max="7611" width="13.28515625" style="2" customWidth="1"/>
    <col min="7612" max="7612" width="12" style="2" customWidth="1"/>
    <col min="7613" max="7864" width="9.140625" style="2"/>
    <col min="7865" max="7865" width="60" style="2" customWidth="1"/>
    <col min="7866" max="7866" width="17.28515625" style="2" customWidth="1"/>
    <col min="7867" max="7867" width="13.28515625" style="2" customWidth="1"/>
    <col min="7868" max="7868" width="12" style="2" customWidth="1"/>
    <col min="7869" max="8120" width="9.140625" style="2"/>
    <col min="8121" max="8121" width="60" style="2" customWidth="1"/>
    <col min="8122" max="8122" width="17.28515625" style="2" customWidth="1"/>
    <col min="8123" max="8123" width="13.28515625" style="2" customWidth="1"/>
    <col min="8124" max="8124" width="12" style="2" customWidth="1"/>
    <col min="8125" max="8376" width="9.140625" style="2"/>
    <col min="8377" max="8377" width="60" style="2" customWidth="1"/>
    <col min="8378" max="8378" width="17.28515625" style="2" customWidth="1"/>
    <col min="8379" max="8379" width="13.28515625" style="2" customWidth="1"/>
    <col min="8380" max="8380" width="12" style="2" customWidth="1"/>
    <col min="8381" max="8632" width="9.140625" style="2"/>
    <col min="8633" max="8633" width="60" style="2" customWidth="1"/>
    <col min="8634" max="8634" width="17.28515625" style="2" customWidth="1"/>
    <col min="8635" max="8635" width="13.28515625" style="2" customWidth="1"/>
    <col min="8636" max="8636" width="12" style="2" customWidth="1"/>
    <col min="8637" max="8888" width="9.140625" style="2"/>
    <col min="8889" max="8889" width="60" style="2" customWidth="1"/>
    <col min="8890" max="8890" width="17.28515625" style="2" customWidth="1"/>
    <col min="8891" max="8891" width="13.28515625" style="2" customWidth="1"/>
    <col min="8892" max="8892" width="12" style="2" customWidth="1"/>
    <col min="8893" max="9144" width="9.140625" style="2"/>
    <col min="9145" max="9145" width="60" style="2" customWidth="1"/>
    <col min="9146" max="9146" width="17.28515625" style="2" customWidth="1"/>
    <col min="9147" max="9147" width="13.28515625" style="2" customWidth="1"/>
    <col min="9148" max="9148" width="12" style="2" customWidth="1"/>
    <col min="9149" max="9400" width="9.140625" style="2"/>
    <col min="9401" max="9401" width="60" style="2" customWidth="1"/>
    <col min="9402" max="9402" width="17.28515625" style="2" customWidth="1"/>
    <col min="9403" max="9403" width="13.28515625" style="2" customWidth="1"/>
    <col min="9404" max="9404" width="12" style="2" customWidth="1"/>
    <col min="9405" max="9656" width="9.140625" style="2"/>
    <col min="9657" max="9657" width="60" style="2" customWidth="1"/>
    <col min="9658" max="9658" width="17.28515625" style="2" customWidth="1"/>
    <col min="9659" max="9659" width="13.28515625" style="2" customWidth="1"/>
    <col min="9660" max="9660" width="12" style="2" customWidth="1"/>
    <col min="9661" max="9912" width="9.140625" style="2"/>
    <col min="9913" max="9913" width="60" style="2" customWidth="1"/>
    <col min="9914" max="9914" width="17.28515625" style="2" customWidth="1"/>
    <col min="9915" max="9915" width="13.28515625" style="2" customWidth="1"/>
    <col min="9916" max="9916" width="12" style="2" customWidth="1"/>
    <col min="9917" max="10168" width="9.140625" style="2"/>
    <col min="10169" max="10169" width="60" style="2" customWidth="1"/>
    <col min="10170" max="10170" width="17.28515625" style="2" customWidth="1"/>
    <col min="10171" max="10171" width="13.28515625" style="2" customWidth="1"/>
    <col min="10172" max="10172" width="12" style="2" customWidth="1"/>
    <col min="10173" max="10424" width="9.140625" style="2"/>
    <col min="10425" max="10425" width="60" style="2" customWidth="1"/>
    <col min="10426" max="10426" width="17.28515625" style="2" customWidth="1"/>
    <col min="10427" max="10427" width="13.28515625" style="2" customWidth="1"/>
    <col min="10428" max="10428" width="12" style="2" customWidth="1"/>
    <col min="10429" max="10680" width="9.140625" style="2"/>
    <col min="10681" max="10681" width="60" style="2" customWidth="1"/>
    <col min="10682" max="10682" width="17.28515625" style="2" customWidth="1"/>
    <col min="10683" max="10683" width="13.28515625" style="2" customWidth="1"/>
    <col min="10684" max="10684" width="12" style="2" customWidth="1"/>
    <col min="10685" max="10936" width="9.140625" style="2"/>
    <col min="10937" max="10937" width="60" style="2" customWidth="1"/>
    <col min="10938" max="10938" width="17.28515625" style="2" customWidth="1"/>
    <col min="10939" max="10939" width="13.28515625" style="2" customWidth="1"/>
    <col min="10940" max="10940" width="12" style="2" customWidth="1"/>
    <col min="10941" max="11192" width="9.140625" style="2"/>
    <col min="11193" max="11193" width="60" style="2" customWidth="1"/>
    <col min="11194" max="11194" width="17.28515625" style="2" customWidth="1"/>
    <col min="11195" max="11195" width="13.28515625" style="2" customWidth="1"/>
    <col min="11196" max="11196" width="12" style="2" customWidth="1"/>
    <col min="11197" max="11448" width="9.140625" style="2"/>
    <col min="11449" max="11449" width="60" style="2" customWidth="1"/>
    <col min="11450" max="11450" width="17.28515625" style="2" customWidth="1"/>
    <col min="11451" max="11451" width="13.28515625" style="2" customWidth="1"/>
    <col min="11452" max="11452" width="12" style="2" customWidth="1"/>
    <col min="11453" max="11704" width="9.140625" style="2"/>
    <col min="11705" max="11705" width="60" style="2" customWidth="1"/>
    <col min="11706" max="11706" width="17.28515625" style="2" customWidth="1"/>
    <col min="11707" max="11707" width="13.28515625" style="2" customWidth="1"/>
    <col min="11708" max="11708" width="12" style="2" customWidth="1"/>
    <col min="11709" max="11960" width="9.140625" style="2"/>
    <col min="11961" max="11961" width="60" style="2" customWidth="1"/>
    <col min="11962" max="11962" width="17.28515625" style="2" customWidth="1"/>
    <col min="11963" max="11963" width="13.28515625" style="2" customWidth="1"/>
    <col min="11964" max="11964" width="12" style="2" customWidth="1"/>
    <col min="11965" max="12216" width="9.140625" style="2"/>
    <col min="12217" max="12217" width="60" style="2" customWidth="1"/>
    <col min="12218" max="12218" width="17.28515625" style="2" customWidth="1"/>
    <col min="12219" max="12219" width="13.28515625" style="2" customWidth="1"/>
    <col min="12220" max="12220" width="12" style="2" customWidth="1"/>
    <col min="12221" max="12472" width="9.140625" style="2"/>
    <col min="12473" max="12473" width="60" style="2" customWidth="1"/>
    <col min="12474" max="12474" width="17.28515625" style="2" customWidth="1"/>
    <col min="12475" max="12475" width="13.28515625" style="2" customWidth="1"/>
    <col min="12476" max="12476" width="12" style="2" customWidth="1"/>
    <col min="12477" max="12728" width="9.140625" style="2"/>
    <col min="12729" max="12729" width="60" style="2" customWidth="1"/>
    <col min="12730" max="12730" width="17.28515625" style="2" customWidth="1"/>
    <col min="12731" max="12731" width="13.28515625" style="2" customWidth="1"/>
    <col min="12732" max="12732" width="12" style="2" customWidth="1"/>
    <col min="12733" max="12984" width="9.140625" style="2"/>
    <col min="12985" max="12985" width="60" style="2" customWidth="1"/>
    <col min="12986" max="12986" width="17.28515625" style="2" customWidth="1"/>
    <col min="12987" max="12987" width="13.28515625" style="2" customWidth="1"/>
    <col min="12988" max="12988" width="12" style="2" customWidth="1"/>
    <col min="12989" max="13240" width="9.140625" style="2"/>
    <col min="13241" max="13241" width="60" style="2" customWidth="1"/>
    <col min="13242" max="13242" width="17.28515625" style="2" customWidth="1"/>
    <col min="13243" max="13243" width="13.28515625" style="2" customWidth="1"/>
    <col min="13244" max="13244" width="12" style="2" customWidth="1"/>
    <col min="13245" max="13496" width="9.140625" style="2"/>
    <col min="13497" max="13497" width="60" style="2" customWidth="1"/>
    <col min="13498" max="13498" width="17.28515625" style="2" customWidth="1"/>
    <col min="13499" max="13499" width="13.28515625" style="2" customWidth="1"/>
    <col min="13500" max="13500" width="12" style="2" customWidth="1"/>
    <col min="13501" max="13752" width="9.140625" style="2"/>
    <col min="13753" max="13753" width="60" style="2" customWidth="1"/>
    <col min="13754" max="13754" width="17.28515625" style="2" customWidth="1"/>
    <col min="13755" max="13755" width="13.28515625" style="2" customWidth="1"/>
    <col min="13756" max="13756" width="12" style="2" customWidth="1"/>
    <col min="13757" max="14008" width="9.140625" style="2"/>
    <col min="14009" max="14009" width="60" style="2" customWidth="1"/>
    <col min="14010" max="14010" width="17.28515625" style="2" customWidth="1"/>
    <col min="14011" max="14011" width="13.28515625" style="2" customWidth="1"/>
    <col min="14012" max="14012" width="12" style="2" customWidth="1"/>
    <col min="14013" max="14264" width="9.140625" style="2"/>
    <col min="14265" max="14265" width="60" style="2" customWidth="1"/>
    <col min="14266" max="14266" width="17.28515625" style="2" customWidth="1"/>
    <col min="14267" max="14267" width="13.28515625" style="2" customWidth="1"/>
    <col min="14268" max="14268" width="12" style="2" customWidth="1"/>
    <col min="14269" max="14520" width="9.140625" style="2"/>
    <col min="14521" max="14521" width="60" style="2" customWidth="1"/>
    <col min="14522" max="14522" width="17.28515625" style="2" customWidth="1"/>
    <col min="14523" max="14523" width="13.28515625" style="2" customWidth="1"/>
    <col min="14524" max="14524" width="12" style="2" customWidth="1"/>
    <col min="14525" max="14776" width="9.140625" style="2"/>
    <col min="14777" max="14777" width="60" style="2" customWidth="1"/>
    <col min="14778" max="14778" width="17.28515625" style="2" customWidth="1"/>
    <col min="14779" max="14779" width="13.28515625" style="2" customWidth="1"/>
    <col min="14780" max="14780" width="12" style="2" customWidth="1"/>
    <col min="14781" max="15032" width="9.140625" style="2"/>
    <col min="15033" max="15033" width="60" style="2" customWidth="1"/>
    <col min="15034" max="15034" width="17.28515625" style="2" customWidth="1"/>
    <col min="15035" max="15035" width="13.28515625" style="2" customWidth="1"/>
    <col min="15036" max="15036" width="12" style="2" customWidth="1"/>
    <col min="15037" max="15288" width="9.140625" style="2"/>
    <col min="15289" max="15289" width="60" style="2" customWidth="1"/>
    <col min="15290" max="15290" width="17.28515625" style="2" customWidth="1"/>
    <col min="15291" max="15291" width="13.28515625" style="2" customWidth="1"/>
    <col min="15292" max="15292" width="12" style="2" customWidth="1"/>
    <col min="15293" max="15544" width="9.140625" style="2"/>
    <col min="15545" max="15545" width="60" style="2" customWidth="1"/>
    <col min="15546" max="15546" width="17.28515625" style="2" customWidth="1"/>
    <col min="15547" max="15547" width="13.28515625" style="2" customWidth="1"/>
    <col min="15548" max="15548" width="12" style="2" customWidth="1"/>
    <col min="15549" max="15800" width="9.140625" style="2"/>
    <col min="15801" max="15801" width="60" style="2" customWidth="1"/>
    <col min="15802" max="15802" width="17.28515625" style="2" customWidth="1"/>
    <col min="15803" max="15803" width="13.28515625" style="2" customWidth="1"/>
    <col min="15804" max="15804" width="12" style="2" customWidth="1"/>
    <col min="15805" max="16056" width="9.140625" style="2"/>
    <col min="16057" max="16057" width="60" style="2" customWidth="1"/>
    <col min="16058" max="16058" width="17.28515625" style="2" customWidth="1"/>
    <col min="16059" max="16059" width="13.28515625" style="2" customWidth="1"/>
    <col min="16060" max="16060" width="12" style="2" customWidth="1"/>
    <col min="16061" max="16384" width="9.140625" style="2"/>
  </cols>
  <sheetData>
    <row r="1" spans="1:3" customFormat="1" ht="16.5" customHeight="1" x14ac:dyDescent="0.25">
      <c r="A1" s="26"/>
      <c r="B1" s="131" t="s">
        <v>89</v>
      </c>
      <c r="C1" s="131"/>
    </row>
    <row r="2" spans="1:3" customFormat="1" ht="14.25" customHeight="1" x14ac:dyDescent="0.25">
      <c r="A2" s="26"/>
      <c r="B2" s="131" t="s">
        <v>183</v>
      </c>
      <c r="C2" s="131"/>
    </row>
    <row r="3" spans="1:3" customFormat="1" ht="15.75" x14ac:dyDescent="0.25">
      <c r="A3" s="27"/>
      <c r="B3" s="131" t="s">
        <v>90</v>
      </c>
      <c r="C3" s="131"/>
    </row>
    <row r="4" spans="1:3" ht="12.75" customHeight="1" x14ac:dyDescent="0.25">
      <c r="A4" s="28"/>
      <c r="B4" s="29"/>
      <c r="C4" s="29"/>
    </row>
    <row r="5" spans="1:3" ht="15.75" x14ac:dyDescent="0.25">
      <c r="A5" s="30"/>
      <c r="B5" s="31" t="s">
        <v>184</v>
      </c>
      <c r="C5" s="32"/>
    </row>
    <row r="6" spans="1:3" ht="11.25" customHeight="1" x14ac:dyDescent="0.25">
      <c r="A6" s="28"/>
      <c r="B6" s="31"/>
      <c r="C6" s="33"/>
    </row>
    <row r="7" spans="1:3" ht="15.75" x14ac:dyDescent="0.25">
      <c r="A7" s="28"/>
      <c r="B7" s="34" t="s">
        <v>7</v>
      </c>
      <c r="C7" s="32" t="s">
        <v>118</v>
      </c>
    </row>
    <row r="8" spans="1:3" ht="42.75" customHeight="1" x14ac:dyDescent="0.2">
      <c r="A8" s="89" t="s">
        <v>0</v>
      </c>
      <c r="B8" s="89" t="s">
        <v>8</v>
      </c>
      <c r="C8" s="89" t="s">
        <v>82</v>
      </c>
    </row>
    <row r="9" spans="1:3" s="10" customFormat="1" ht="15.75" x14ac:dyDescent="0.25">
      <c r="A9" s="87">
        <v>1</v>
      </c>
      <c r="B9" s="87">
        <v>2</v>
      </c>
      <c r="C9" s="87">
        <v>3</v>
      </c>
    </row>
    <row r="10" spans="1:3" ht="15.75" customHeight="1" x14ac:dyDescent="0.25">
      <c r="A10" s="13">
        <v>1</v>
      </c>
      <c r="B10" s="11" t="s">
        <v>185</v>
      </c>
      <c r="C10" s="16">
        <f>SUM(C11:C15)</f>
        <v>97959</v>
      </c>
    </row>
    <row r="11" spans="1:3" ht="15" customHeight="1" x14ac:dyDescent="0.25">
      <c r="A11" s="13">
        <v>2</v>
      </c>
      <c r="B11" s="12" t="s">
        <v>9</v>
      </c>
      <c r="C11" s="17">
        <f>88906+13+15</f>
        <v>88934</v>
      </c>
    </row>
    <row r="12" spans="1:3" ht="15" customHeight="1" x14ac:dyDescent="0.25">
      <c r="A12" s="13">
        <v>3</v>
      </c>
      <c r="B12" s="12" t="s">
        <v>10</v>
      </c>
      <c r="C12" s="17">
        <v>400</v>
      </c>
    </row>
    <row r="13" spans="1:3" ht="15" customHeight="1" x14ac:dyDescent="0.25">
      <c r="A13" s="13">
        <v>4</v>
      </c>
      <c r="B13" s="12" t="s">
        <v>11</v>
      </c>
      <c r="C13" s="17">
        <v>70</v>
      </c>
    </row>
    <row r="14" spans="1:3" ht="15" customHeight="1" x14ac:dyDescent="0.25">
      <c r="A14" s="13">
        <v>5</v>
      </c>
      <c r="B14" s="12" t="s">
        <v>12</v>
      </c>
      <c r="C14" s="17">
        <v>8170</v>
      </c>
    </row>
    <row r="15" spans="1:3" ht="15" customHeight="1" x14ac:dyDescent="0.25">
      <c r="A15" s="13">
        <v>6</v>
      </c>
      <c r="B15" s="12" t="s">
        <v>13</v>
      </c>
      <c r="C15" s="17">
        <v>385</v>
      </c>
    </row>
    <row r="16" spans="1:3" ht="15.75" x14ac:dyDescent="0.25">
      <c r="A16" s="13">
        <v>7</v>
      </c>
      <c r="B16" s="11" t="s">
        <v>244</v>
      </c>
      <c r="C16" s="16">
        <f>+C17+C18+C46</f>
        <v>65504.2</v>
      </c>
    </row>
    <row r="17" spans="1:3" ht="31.5" x14ac:dyDescent="0.25">
      <c r="A17" s="13">
        <v>8</v>
      </c>
      <c r="B17" s="11" t="s">
        <v>153</v>
      </c>
      <c r="C17" s="16">
        <f>152.6+18241.8</f>
        <v>18394.400000000001</v>
      </c>
    </row>
    <row r="18" spans="1:3" ht="15.75" customHeight="1" x14ac:dyDescent="0.25">
      <c r="A18" s="13">
        <v>9</v>
      </c>
      <c r="B18" s="11" t="s">
        <v>268</v>
      </c>
      <c r="C18" s="16">
        <f>+C19+C41+C42+C45</f>
        <v>46724.3</v>
      </c>
    </row>
    <row r="19" spans="1:3" ht="33.75" customHeight="1" x14ac:dyDescent="0.25">
      <c r="A19" s="13">
        <v>10</v>
      </c>
      <c r="B19" s="12" t="s">
        <v>245</v>
      </c>
      <c r="C19" s="83">
        <f>SUM(C20:C40)</f>
        <v>6163.3</v>
      </c>
    </row>
    <row r="20" spans="1:3" ht="15.75" x14ac:dyDescent="0.25">
      <c r="A20" s="13">
        <v>11</v>
      </c>
      <c r="B20" s="7" t="s">
        <v>16</v>
      </c>
      <c r="C20" s="17">
        <v>0.6</v>
      </c>
    </row>
    <row r="21" spans="1:3" ht="15.75" customHeight="1" x14ac:dyDescent="0.25">
      <c r="A21" s="13">
        <v>12</v>
      </c>
      <c r="B21" s="7" t="s">
        <v>17</v>
      </c>
      <c r="C21" s="17">
        <v>19</v>
      </c>
    </row>
    <row r="22" spans="1:3" ht="15.75" customHeight="1" x14ac:dyDescent="0.25">
      <c r="A22" s="13">
        <v>13</v>
      </c>
      <c r="B22" s="7" t="s">
        <v>20</v>
      </c>
      <c r="C22" s="17">
        <v>62</v>
      </c>
    </row>
    <row r="23" spans="1:3" ht="15.75" customHeight="1" x14ac:dyDescent="0.25">
      <c r="A23" s="13">
        <v>14</v>
      </c>
      <c r="B23" s="7" t="s">
        <v>18</v>
      </c>
      <c r="C23" s="17">
        <v>15</v>
      </c>
    </row>
    <row r="24" spans="1:3" ht="15.75" customHeight="1" x14ac:dyDescent="0.25">
      <c r="A24" s="13">
        <v>15</v>
      </c>
      <c r="B24" s="7" t="s">
        <v>113</v>
      </c>
      <c r="C24" s="17">
        <v>73.3</v>
      </c>
    </row>
    <row r="25" spans="1:3" ht="15.75" customHeight="1" x14ac:dyDescent="0.25">
      <c r="A25" s="13">
        <v>16</v>
      </c>
      <c r="B25" s="7" t="s">
        <v>145</v>
      </c>
      <c r="C25" s="17">
        <v>36.4</v>
      </c>
    </row>
    <row r="26" spans="1:3" ht="15.75" customHeight="1" x14ac:dyDescent="0.25">
      <c r="A26" s="13">
        <v>17</v>
      </c>
      <c r="B26" s="7" t="s">
        <v>19</v>
      </c>
      <c r="C26" s="17">
        <v>90.5</v>
      </c>
    </row>
    <row r="27" spans="1:3" ht="32.25" customHeight="1" x14ac:dyDescent="0.25">
      <c r="A27" s="13">
        <v>18</v>
      </c>
      <c r="B27" s="7" t="s">
        <v>109</v>
      </c>
      <c r="C27" s="17">
        <v>21.5</v>
      </c>
    </row>
    <row r="28" spans="1:3" ht="34.5" customHeight="1" x14ac:dyDescent="0.25">
      <c r="A28" s="13">
        <v>19</v>
      </c>
      <c r="B28" s="7" t="s">
        <v>21</v>
      </c>
      <c r="C28" s="17">
        <v>2.6</v>
      </c>
    </row>
    <row r="29" spans="1:3" ht="15.75" customHeight="1" x14ac:dyDescent="0.25">
      <c r="A29" s="13">
        <v>20</v>
      </c>
      <c r="B29" s="7" t="s">
        <v>114</v>
      </c>
      <c r="C29" s="17">
        <v>5.4</v>
      </c>
    </row>
    <row r="30" spans="1:3" ht="19.5" customHeight="1" x14ac:dyDescent="0.25">
      <c r="A30" s="13">
        <v>21</v>
      </c>
      <c r="B30" s="12" t="s">
        <v>45</v>
      </c>
      <c r="C30" s="17">
        <v>16</v>
      </c>
    </row>
    <row r="31" spans="1:3" ht="31.5" x14ac:dyDescent="0.25">
      <c r="A31" s="13">
        <v>22</v>
      </c>
      <c r="B31" s="7" t="s">
        <v>144</v>
      </c>
      <c r="C31" s="17">
        <v>219</v>
      </c>
    </row>
    <row r="32" spans="1:3" ht="15.75" customHeight="1" x14ac:dyDescent="0.25">
      <c r="A32" s="13">
        <v>23</v>
      </c>
      <c r="B32" s="7" t="s">
        <v>22</v>
      </c>
      <c r="C32" s="17">
        <v>3195.3</v>
      </c>
    </row>
    <row r="33" spans="1:3" ht="15.75" x14ac:dyDescent="0.25">
      <c r="A33" s="13">
        <v>24</v>
      </c>
      <c r="B33" s="7" t="s">
        <v>23</v>
      </c>
      <c r="C33" s="17">
        <v>835.1</v>
      </c>
    </row>
    <row r="34" spans="1:3" ht="15.75" customHeight="1" x14ac:dyDescent="0.25">
      <c r="A34" s="13">
        <v>25</v>
      </c>
      <c r="B34" s="7" t="s">
        <v>24</v>
      </c>
      <c r="C34" s="17">
        <v>395.5</v>
      </c>
    </row>
    <row r="35" spans="1:3" ht="15.75" x14ac:dyDescent="0.25">
      <c r="A35" s="13">
        <v>26</v>
      </c>
      <c r="B35" s="7" t="s">
        <v>146</v>
      </c>
      <c r="C35" s="17">
        <v>54.7</v>
      </c>
    </row>
    <row r="36" spans="1:3" ht="32.25" customHeight="1" x14ac:dyDescent="0.25">
      <c r="A36" s="13">
        <v>27</v>
      </c>
      <c r="B36" s="7" t="s">
        <v>151</v>
      </c>
      <c r="C36" s="17">
        <v>795.4</v>
      </c>
    </row>
    <row r="37" spans="1:3" ht="30" customHeight="1" x14ac:dyDescent="0.25">
      <c r="A37" s="13">
        <v>28</v>
      </c>
      <c r="B37" s="7" t="s">
        <v>150</v>
      </c>
      <c r="C37" s="17">
        <v>208.8</v>
      </c>
    </row>
    <row r="38" spans="1:3" ht="15.75" x14ac:dyDescent="0.25">
      <c r="A38" s="13">
        <v>29</v>
      </c>
      <c r="B38" s="7" t="s">
        <v>191</v>
      </c>
      <c r="C38" s="17">
        <v>63.3</v>
      </c>
    </row>
    <row r="39" spans="1:3" ht="18" customHeight="1" x14ac:dyDescent="0.25">
      <c r="A39" s="13">
        <v>30</v>
      </c>
      <c r="B39" s="7" t="s">
        <v>130</v>
      </c>
      <c r="C39" s="17">
        <v>4.5999999999999996</v>
      </c>
    </row>
    <row r="40" spans="1:3" ht="15" customHeight="1" x14ac:dyDescent="0.25">
      <c r="A40" s="13">
        <v>31</v>
      </c>
      <c r="B40" s="7" t="s">
        <v>188</v>
      </c>
      <c r="C40" s="17">
        <v>49.3</v>
      </c>
    </row>
    <row r="41" spans="1:3" ht="15" customHeight="1" x14ac:dyDescent="0.25">
      <c r="A41" s="13">
        <v>32</v>
      </c>
      <c r="B41" s="12" t="s">
        <v>186</v>
      </c>
      <c r="C41" s="83">
        <f>39373+1.9</f>
        <v>39374.9</v>
      </c>
    </row>
    <row r="42" spans="1:3" ht="16.5" customHeight="1" x14ac:dyDescent="0.25">
      <c r="A42" s="13">
        <v>33</v>
      </c>
      <c r="B42" s="12" t="s">
        <v>249</v>
      </c>
      <c r="C42" s="17">
        <f>SUM(C43:C44)</f>
        <v>1184.5999999999999</v>
      </c>
    </row>
    <row r="43" spans="1:3" ht="14.25" customHeight="1" x14ac:dyDescent="0.25">
      <c r="A43" s="13">
        <v>34</v>
      </c>
      <c r="B43" s="12" t="s">
        <v>187</v>
      </c>
      <c r="C43" s="17">
        <f>470.2+596.4</f>
        <v>1066.5999999999999</v>
      </c>
    </row>
    <row r="44" spans="1:3" ht="15.75" x14ac:dyDescent="0.25">
      <c r="A44" s="13">
        <v>35</v>
      </c>
      <c r="B44" s="12" t="s">
        <v>25</v>
      </c>
      <c r="C44" s="17">
        <v>118</v>
      </c>
    </row>
    <row r="45" spans="1:3" ht="31.5" x14ac:dyDescent="0.25">
      <c r="A45" s="13">
        <v>36</v>
      </c>
      <c r="B45" s="12" t="s">
        <v>26</v>
      </c>
      <c r="C45" s="83">
        <v>1.5</v>
      </c>
    </row>
    <row r="46" spans="1:3" ht="17.25" customHeight="1" x14ac:dyDescent="0.25">
      <c r="A46" s="13">
        <v>37</v>
      </c>
      <c r="B46" s="97" t="s">
        <v>246</v>
      </c>
      <c r="C46" s="18">
        <f>+C48+C49+C47</f>
        <v>385.5</v>
      </c>
    </row>
    <row r="47" spans="1:3" ht="29.25" customHeight="1" x14ac:dyDescent="0.25">
      <c r="A47" s="13">
        <v>38</v>
      </c>
      <c r="B47" s="12" t="s">
        <v>243</v>
      </c>
      <c r="C47" s="18">
        <v>143</v>
      </c>
    </row>
    <row r="48" spans="1:3" ht="15.75" x14ac:dyDescent="0.25">
      <c r="A48" s="13">
        <v>39</v>
      </c>
      <c r="B48" s="82" t="s">
        <v>239</v>
      </c>
      <c r="C48" s="17">
        <v>237.1</v>
      </c>
    </row>
    <row r="49" spans="1:3" ht="29.25" customHeight="1" x14ac:dyDescent="0.25">
      <c r="A49" s="13">
        <v>40</v>
      </c>
      <c r="B49" s="82" t="s">
        <v>270</v>
      </c>
      <c r="C49" s="17">
        <v>5.4</v>
      </c>
    </row>
    <row r="50" spans="1:3" ht="15.75" x14ac:dyDescent="0.25">
      <c r="A50" s="13">
        <v>41</v>
      </c>
      <c r="B50" s="11" t="s">
        <v>247</v>
      </c>
      <c r="C50" s="18">
        <f>SUM(C51:C60)</f>
        <v>18842.2</v>
      </c>
    </row>
    <row r="51" spans="1:3" ht="15.75" x14ac:dyDescent="0.25">
      <c r="A51" s="13">
        <v>42</v>
      </c>
      <c r="B51" s="12" t="s">
        <v>27</v>
      </c>
      <c r="C51" s="17">
        <v>632</v>
      </c>
    </row>
    <row r="52" spans="1:3" ht="15" customHeight="1" x14ac:dyDescent="0.25">
      <c r="A52" s="13">
        <v>43</v>
      </c>
      <c r="B52" s="12" t="s">
        <v>115</v>
      </c>
      <c r="C52" s="17">
        <v>2070</v>
      </c>
    </row>
    <row r="53" spans="1:3" ht="15.75" customHeight="1" x14ac:dyDescent="0.25">
      <c r="A53" s="13">
        <v>44</v>
      </c>
      <c r="B53" s="12" t="s">
        <v>28</v>
      </c>
      <c r="C53" s="17">
        <v>120</v>
      </c>
    </row>
    <row r="54" spans="1:3" ht="15.75" x14ac:dyDescent="0.25">
      <c r="A54" s="13">
        <v>45</v>
      </c>
      <c r="B54" s="12" t="s">
        <v>29</v>
      </c>
      <c r="C54" s="17">
        <v>1522.1</v>
      </c>
    </row>
    <row r="55" spans="1:3" ht="15.75" x14ac:dyDescent="0.25">
      <c r="A55" s="13">
        <v>46</v>
      </c>
      <c r="B55" s="12" t="s">
        <v>141</v>
      </c>
      <c r="C55" s="17">
        <f>284.7+1096.3</f>
        <v>1381</v>
      </c>
    </row>
    <row r="56" spans="1:3" ht="31.5" x14ac:dyDescent="0.25">
      <c r="A56" s="13">
        <v>47</v>
      </c>
      <c r="B56" s="12" t="s">
        <v>30</v>
      </c>
      <c r="C56" s="17">
        <v>5371.5</v>
      </c>
    </row>
    <row r="57" spans="1:3" ht="15" customHeight="1" x14ac:dyDescent="0.25">
      <c r="A57" s="13">
        <v>48</v>
      </c>
      <c r="B57" s="12" t="s">
        <v>14</v>
      </c>
      <c r="C57" s="17">
        <v>126</v>
      </c>
    </row>
    <row r="58" spans="1:3" ht="15.75" x14ac:dyDescent="0.25">
      <c r="A58" s="13">
        <v>49</v>
      </c>
      <c r="B58" s="12" t="s">
        <v>15</v>
      </c>
      <c r="C58" s="17">
        <v>7189.6</v>
      </c>
    </row>
    <row r="59" spans="1:3" ht="15.75" x14ac:dyDescent="0.25">
      <c r="A59" s="13">
        <v>50</v>
      </c>
      <c r="B59" s="12" t="s">
        <v>190</v>
      </c>
      <c r="C59" s="17">
        <v>250</v>
      </c>
    </row>
    <row r="60" spans="1:3" ht="15.75" x14ac:dyDescent="0.25">
      <c r="A60" s="13">
        <v>51</v>
      </c>
      <c r="B60" s="12" t="s">
        <v>128</v>
      </c>
      <c r="C60" s="17">
        <f>160+20</f>
        <v>180</v>
      </c>
    </row>
    <row r="61" spans="1:3" ht="31.5" x14ac:dyDescent="0.25">
      <c r="A61" s="13">
        <v>52</v>
      </c>
      <c r="B61" s="11" t="s">
        <v>250</v>
      </c>
      <c r="C61" s="61">
        <f>+C62</f>
        <v>1250</v>
      </c>
    </row>
    <row r="62" spans="1:3" ht="15.75" x14ac:dyDescent="0.25">
      <c r="A62" s="13">
        <v>53</v>
      </c>
      <c r="B62" s="11" t="s">
        <v>251</v>
      </c>
      <c r="C62" s="61">
        <f>+C63+C64</f>
        <v>1250</v>
      </c>
    </row>
    <row r="63" spans="1:3" ht="15.75" x14ac:dyDescent="0.25">
      <c r="A63" s="13">
        <v>54</v>
      </c>
      <c r="B63" s="12" t="s">
        <v>142</v>
      </c>
      <c r="C63" s="62">
        <v>800</v>
      </c>
    </row>
    <row r="64" spans="1:3" ht="15.75" x14ac:dyDescent="0.25">
      <c r="A64" s="13">
        <v>55</v>
      </c>
      <c r="B64" s="12" t="s">
        <v>143</v>
      </c>
      <c r="C64" s="62">
        <v>450</v>
      </c>
    </row>
    <row r="65" spans="1:3" ht="15.75" x14ac:dyDescent="0.25">
      <c r="A65" s="13">
        <v>56</v>
      </c>
      <c r="B65" s="11" t="s">
        <v>248</v>
      </c>
      <c r="C65" s="61">
        <f>+C61+C50+C16+C10</f>
        <v>183555.4</v>
      </c>
    </row>
  </sheetData>
  <mergeCells count="3">
    <mergeCell ref="B1:C1"/>
    <mergeCell ref="B2:C2"/>
    <mergeCell ref="B3:C3"/>
  </mergeCells>
  <pageMargins left="0.9055118110236221" right="0.31496062992125984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Zeros="0" zoomScaleNormal="100" workbookViewId="0">
      <pane xSplit="2" ySplit="5" topLeftCell="C154" activePane="bottomRight" state="frozen"/>
      <selection pane="topRight" activeCell="D1" sqref="D1"/>
      <selection pane="bottomLeft" activeCell="A7" sqref="A7"/>
      <selection pane="bottomRight" activeCell="I127" sqref="I127"/>
    </sheetView>
  </sheetViews>
  <sheetFormatPr defaultColWidth="10.140625" defaultRowHeight="15" x14ac:dyDescent="0.2"/>
  <cols>
    <col min="1" max="1" width="6" style="14" customWidth="1"/>
    <col min="2" max="2" width="44" style="2" customWidth="1"/>
    <col min="3" max="3" width="10.7109375" style="2" customWidth="1"/>
    <col min="4" max="4" width="10.140625" style="2" customWidth="1"/>
    <col min="5" max="5" width="10.7109375" style="2" customWidth="1"/>
    <col min="6" max="6" width="11.85546875" style="2" customWidth="1"/>
    <col min="7" max="15" width="10.140625" style="2" customWidth="1"/>
    <col min="16" max="84" width="10.140625" style="2"/>
    <col min="85" max="85" width="6" style="2" customWidth="1"/>
    <col min="86" max="86" width="44" style="2" customWidth="1"/>
    <col min="87" max="87" width="10.7109375" style="2" customWidth="1"/>
    <col min="88" max="88" width="10.140625" style="2" customWidth="1"/>
    <col min="89" max="89" width="10.7109375" style="2" customWidth="1"/>
    <col min="90" max="90" width="11.85546875" style="2" customWidth="1"/>
    <col min="91" max="340" width="10.140625" style="2"/>
    <col min="341" max="341" width="6" style="2" customWidth="1"/>
    <col min="342" max="342" width="44" style="2" customWidth="1"/>
    <col min="343" max="343" width="10.7109375" style="2" customWidth="1"/>
    <col min="344" max="344" width="10.140625" style="2" customWidth="1"/>
    <col min="345" max="345" width="10.7109375" style="2" customWidth="1"/>
    <col min="346" max="346" width="11.85546875" style="2" customWidth="1"/>
    <col min="347" max="596" width="10.140625" style="2"/>
    <col min="597" max="597" width="6" style="2" customWidth="1"/>
    <col min="598" max="598" width="44" style="2" customWidth="1"/>
    <col min="599" max="599" width="10.7109375" style="2" customWidth="1"/>
    <col min="600" max="600" width="10.140625" style="2" customWidth="1"/>
    <col min="601" max="601" width="10.7109375" style="2" customWidth="1"/>
    <col min="602" max="602" width="11.85546875" style="2" customWidth="1"/>
    <col min="603" max="852" width="10.140625" style="2"/>
    <col min="853" max="853" width="6" style="2" customWidth="1"/>
    <col min="854" max="854" width="44" style="2" customWidth="1"/>
    <col min="855" max="855" width="10.7109375" style="2" customWidth="1"/>
    <col min="856" max="856" width="10.140625" style="2" customWidth="1"/>
    <col min="857" max="857" width="10.7109375" style="2" customWidth="1"/>
    <col min="858" max="858" width="11.85546875" style="2" customWidth="1"/>
    <col min="859" max="1108" width="10.140625" style="2"/>
    <col min="1109" max="1109" width="6" style="2" customWidth="1"/>
    <col min="1110" max="1110" width="44" style="2" customWidth="1"/>
    <col min="1111" max="1111" width="10.7109375" style="2" customWidth="1"/>
    <col min="1112" max="1112" width="10.140625" style="2" customWidth="1"/>
    <col min="1113" max="1113" width="10.7109375" style="2" customWidth="1"/>
    <col min="1114" max="1114" width="11.85546875" style="2" customWidth="1"/>
    <col min="1115" max="1364" width="10.140625" style="2"/>
    <col min="1365" max="1365" width="6" style="2" customWidth="1"/>
    <col min="1366" max="1366" width="44" style="2" customWidth="1"/>
    <col min="1367" max="1367" width="10.7109375" style="2" customWidth="1"/>
    <col min="1368" max="1368" width="10.140625" style="2" customWidth="1"/>
    <col min="1369" max="1369" width="10.7109375" style="2" customWidth="1"/>
    <col min="1370" max="1370" width="11.85546875" style="2" customWidth="1"/>
    <col min="1371" max="1620" width="10.140625" style="2"/>
    <col min="1621" max="1621" width="6" style="2" customWidth="1"/>
    <col min="1622" max="1622" width="44" style="2" customWidth="1"/>
    <col min="1623" max="1623" width="10.7109375" style="2" customWidth="1"/>
    <col min="1624" max="1624" width="10.140625" style="2" customWidth="1"/>
    <col min="1625" max="1625" width="10.7109375" style="2" customWidth="1"/>
    <col min="1626" max="1626" width="11.85546875" style="2" customWidth="1"/>
    <col min="1627" max="1876" width="10.140625" style="2"/>
    <col min="1877" max="1877" width="6" style="2" customWidth="1"/>
    <col min="1878" max="1878" width="44" style="2" customWidth="1"/>
    <col min="1879" max="1879" width="10.7109375" style="2" customWidth="1"/>
    <col min="1880" max="1880" width="10.140625" style="2" customWidth="1"/>
    <col min="1881" max="1881" width="10.7109375" style="2" customWidth="1"/>
    <col min="1882" max="1882" width="11.85546875" style="2" customWidth="1"/>
    <col min="1883" max="2132" width="10.140625" style="2"/>
    <col min="2133" max="2133" width="6" style="2" customWidth="1"/>
    <col min="2134" max="2134" width="44" style="2" customWidth="1"/>
    <col min="2135" max="2135" width="10.7109375" style="2" customWidth="1"/>
    <col min="2136" max="2136" width="10.140625" style="2" customWidth="1"/>
    <col min="2137" max="2137" width="10.7109375" style="2" customWidth="1"/>
    <col min="2138" max="2138" width="11.85546875" style="2" customWidth="1"/>
    <col min="2139" max="2388" width="10.140625" style="2"/>
    <col min="2389" max="2389" width="6" style="2" customWidth="1"/>
    <col min="2390" max="2390" width="44" style="2" customWidth="1"/>
    <col min="2391" max="2391" width="10.7109375" style="2" customWidth="1"/>
    <col min="2392" max="2392" width="10.140625" style="2" customWidth="1"/>
    <col min="2393" max="2393" width="10.7109375" style="2" customWidth="1"/>
    <col min="2394" max="2394" width="11.85546875" style="2" customWidth="1"/>
    <col min="2395" max="2644" width="10.140625" style="2"/>
    <col min="2645" max="2645" width="6" style="2" customWidth="1"/>
    <col min="2646" max="2646" width="44" style="2" customWidth="1"/>
    <col min="2647" max="2647" width="10.7109375" style="2" customWidth="1"/>
    <col min="2648" max="2648" width="10.140625" style="2" customWidth="1"/>
    <col min="2649" max="2649" width="10.7109375" style="2" customWidth="1"/>
    <col min="2650" max="2650" width="11.85546875" style="2" customWidth="1"/>
    <col min="2651" max="2900" width="10.140625" style="2"/>
    <col min="2901" max="2901" width="6" style="2" customWidth="1"/>
    <col min="2902" max="2902" width="44" style="2" customWidth="1"/>
    <col min="2903" max="2903" width="10.7109375" style="2" customWidth="1"/>
    <col min="2904" max="2904" width="10.140625" style="2" customWidth="1"/>
    <col min="2905" max="2905" width="10.7109375" style="2" customWidth="1"/>
    <col min="2906" max="2906" width="11.85546875" style="2" customWidth="1"/>
    <col min="2907" max="3156" width="10.140625" style="2"/>
    <col min="3157" max="3157" width="6" style="2" customWidth="1"/>
    <col min="3158" max="3158" width="44" style="2" customWidth="1"/>
    <col min="3159" max="3159" width="10.7109375" style="2" customWidth="1"/>
    <col min="3160" max="3160" width="10.140625" style="2" customWidth="1"/>
    <col min="3161" max="3161" width="10.7109375" style="2" customWidth="1"/>
    <col min="3162" max="3162" width="11.85546875" style="2" customWidth="1"/>
    <col min="3163" max="3412" width="10.140625" style="2"/>
    <col min="3413" max="3413" width="6" style="2" customWidth="1"/>
    <col min="3414" max="3414" width="44" style="2" customWidth="1"/>
    <col min="3415" max="3415" width="10.7109375" style="2" customWidth="1"/>
    <col min="3416" max="3416" width="10.140625" style="2" customWidth="1"/>
    <col min="3417" max="3417" width="10.7109375" style="2" customWidth="1"/>
    <col min="3418" max="3418" width="11.85546875" style="2" customWidth="1"/>
    <col min="3419" max="3668" width="10.140625" style="2"/>
    <col min="3669" max="3669" width="6" style="2" customWidth="1"/>
    <col min="3670" max="3670" width="44" style="2" customWidth="1"/>
    <col min="3671" max="3671" width="10.7109375" style="2" customWidth="1"/>
    <col min="3672" max="3672" width="10.140625" style="2" customWidth="1"/>
    <col min="3673" max="3673" width="10.7109375" style="2" customWidth="1"/>
    <col min="3674" max="3674" width="11.85546875" style="2" customWidth="1"/>
    <col min="3675" max="3924" width="10.140625" style="2"/>
    <col min="3925" max="3925" width="6" style="2" customWidth="1"/>
    <col min="3926" max="3926" width="44" style="2" customWidth="1"/>
    <col min="3927" max="3927" width="10.7109375" style="2" customWidth="1"/>
    <col min="3928" max="3928" width="10.140625" style="2" customWidth="1"/>
    <col min="3929" max="3929" width="10.7109375" style="2" customWidth="1"/>
    <col min="3930" max="3930" width="11.85546875" style="2" customWidth="1"/>
    <col min="3931" max="4180" width="10.140625" style="2"/>
    <col min="4181" max="4181" width="6" style="2" customWidth="1"/>
    <col min="4182" max="4182" width="44" style="2" customWidth="1"/>
    <col min="4183" max="4183" width="10.7109375" style="2" customWidth="1"/>
    <col min="4184" max="4184" width="10.140625" style="2" customWidth="1"/>
    <col min="4185" max="4185" width="10.7109375" style="2" customWidth="1"/>
    <col min="4186" max="4186" width="11.85546875" style="2" customWidth="1"/>
    <col min="4187" max="4436" width="10.140625" style="2"/>
    <col min="4437" max="4437" width="6" style="2" customWidth="1"/>
    <col min="4438" max="4438" width="44" style="2" customWidth="1"/>
    <col min="4439" max="4439" width="10.7109375" style="2" customWidth="1"/>
    <col min="4440" max="4440" width="10.140625" style="2" customWidth="1"/>
    <col min="4441" max="4441" width="10.7109375" style="2" customWidth="1"/>
    <col min="4442" max="4442" width="11.85546875" style="2" customWidth="1"/>
    <col min="4443" max="4692" width="10.140625" style="2"/>
    <col min="4693" max="4693" width="6" style="2" customWidth="1"/>
    <col min="4694" max="4694" width="44" style="2" customWidth="1"/>
    <col min="4695" max="4695" width="10.7109375" style="2" customWidth="1"/>
    <col min="4696" max="4696" width="10.140625" style="2" customWidth="1"/>
    <col min="4697" max="4697" width="10.7109375" style="2" customWidth="1"/>
    <col min="4698" max="4698" width="11.85546875" style="2" customWidth="1"/>
    <col min="4699" max="4948" width="10.140625" style="2"/>
    <col min="4949" max="4949" width="6" style="2" customWidth="1"/>
    <col min="4950" max="4950" width="44" style="2" customWidth="1"/>
    <col min="4951" max="4951" width="10.7109375" style="2" customWidth="1"/>
    <col min="4952" max="4952" width="10.140625" style="2" customWidth="1"/>
    <col min="4953" max="4953" width="10.7109375" style="2" customWidth="1"/>
    <col min="4954" max="4954" width="11.85546875" style="2" customWidth="1"/>
    <col min="4955" max="5204" width="10.140625" style="2"/>
    <col min="5205" max="5205" width="6" style="2" customWidth="1"/>
    <col min="5206" max="5206" width="44" style="2" customWidth="1"/>
    <col min="5207" max="5207" width="10.7109375" style="2" customWidth="1"/>
    <col min="5208" max="5208" width="10.140625" style="2" customWidth="1"/>
    <col min="5209" max="5209" width="10.7109375" style="2" customWidth="1"/>
    <col min="5210" max="5210" width="11.85546875" style="2" customWidth="1"/>
    <col min="5211" max="5460" width="10.140625" style="2"/>
    <col min="5461" max="5461" width="6" style="2" customWidth="1"/>
    <col min="5462" max="5462" width="44" style="2" customWidth="1"/>
    <col min="5463" max="5463" width="10.7109375" style="2" customWidth="1"/>
    <col min="5464" max="5464" width="10.140625" style="2" customWidth="1"/>
    <col min="5465" max="5465" width="10.7109375" style="2" customWidth="1"/>
    <col min="5466" max="5466" width="11.85546875" style="2" customWidth="1"/>
    <col min="5467" max="5716" width="10.140625" style="2"/>
    <col min="5717" max="5717" width="6" style="2" customWidth="1"/>
    <col min="5718" max="5718" width="44" style="2" customWidth="1"/>
    <col min="5719" max="5719" width="10.7109375" style="2" customWidth="1"/>
    <col min="5720" max="5720" width="10.140625" style="2" customWidth="1"/>
    <col min="5721" max="5721" width="10.7109375" style="2" customWidth="1"/>
    <col min="5722" max="5722" width="11.85546875" style="2" customWidth="1"/>
    <col min="5723" max="5972" width="10.140625" style="2"/>
    <col min="5973" max="5973" width="6" style="2" customWidth="1"/>
    <col min="5974" max="5974" width="44" style="2" customWidth="1"/>
    <col min="5975" max="5975" width="10.7109375" style="2" customWidth="1"/>
    <col min="5976" max="5976" width="10.140625" style="2" customWidth="1"/>
    <col min="5977" max="5977" width="10.7109375" style="2" customWidth="1"/>
    <col min="5978" max="5978" width="11.85546875" style="2" customWidth="1"/>
    <col min="5979" max="6228" width="10.140625" style="2"/>
    <col min="6229" max="6229" width="6" style="2" customWidth="1"/>
    <col min="6230" max="6230" width="44" style="2" customWidth="1"/>
    <col min="6231" max="6231" width="10.7109375" style="2" customWidth="1"/>
    <col min="6232" max="6232" width="10.140625" style="2" customWidth="1"/>
    <col min="6233" max="6233" width="10.7109375" style="2" customWidth="1"/>
    <col min="6234" max="6234" width="11.85546875" style="2" customWidth="1"/>
    <col min="6235" max="6484" width="10.140625" style="2"/>
    <col min="6485" max="6485" width="6" style="2" customWidth="1"/>
    <col min="6486" max="6486" width="44" style="2" customWidth="1"/>
    <col min="6487" max="6487" width="10.7109375" style="2" customWidth="1"/>
    <col min="6488" max="6488" width="10.140625" style="2" customWidth="1"/>
    <col min="6489" max="6489" width="10.7109375" style="2" customWidth="1"/>
    <col min="6490" max="6490" width="11.85546875" style="2" customWidth="1"/>
    <col min="6491" max="6740" width="10.140625" style="2"/>
    <col min="6741" max="6741" width="6" style="2" customWidth="1"/>
    <col min="6742" max="6742" width="44" style="2" customWidth="1"/>
    <col min="6743" max="6743" width="10.7109375" style="2" customWidth="1"/>
    <col min="6744" max="6744" width="10.140625" style="2" customWidth="1"/>
    <col min="6745" max="6745" width="10.7109375" style="2" customWidth="1"/>
    <col min="6746" max="6746" width="11.85546875" style="2" customWidth="1"/>
    <col min="6747" max="6996" width="10.140625" style="2"/>
    <col min="6997" max="6997" width="6" style="2" customWidth="1"/>
    <col min="6998" max="6998" width="44" style="2" customWidth="1"/>
    <col min="6999" max="6999" width="10.7109375" style="2" customWidth="1"/>
    <col min="7000" max="7000" width="10.140625" style="2" customWidth="1"/>
    <col min="7001" max="7001" width="10.7109375" style="2" customWidth="1"/>
    <col min="7002" max="7002" width="11.85546875" style="2" customWidth="1"/>
    <col min="7003" max="7252" width="10.140625" style="2"/>
    <col min="7253" max="7253" width="6" style="2" customWidth="1"/>
    <col min="7254" max="7254" width="44" style="2" customWidth="1"/>
    <col min="7255" max="7255" width="10.7109375" style="2" customWidth="1"/>
    <col min="7256" max="7256" width="10.140625" style="2" customWidth="1"/>
    <col min="7257" max="7257" width="10.7109375" style="2" customWidth="1"/>
    <col min="7258" max="7258" width="11.85546875" style="2" customWidth="1"/>
    <col min="7259" max="7508" width="10.140625" style="2"/>
    <col min="7509" max="7509" width="6" style="2" customWidth="1"/>
    <col min="7510" max="7510" width="44" style="2" customWidth="1"/>
    <col min="7511" max="7511" width="10.7109375" style="2" customWidth="1"/>
    <col min="7512" max="7512" width="10.140625" style="2" customWidth="1"/>
    <col min="7513" max="7513" width="10.7109375" style="2" customWidth="1"/>
    <col min="7514" max="7514" width="11.85546875" style="2" customWidth="1"/>
    <col min="7515" max="7764" width="10.140625" style="2"/>
    <col min="7765" max="7765" width="6" style="2" customWidth="1"/>
    <col min="7766" max="7766" width="44" style="2" customWidth="1"/>
    <col min="7767" max="7767" width="10.7109375" style="2" customWidth="1"/>
    <col min="7768" max="7768" width="10.140625" style="2" customWidth="1"/>
    <col min="7769" max="7769" width="10.7109375" style="2" customWidth="1"/>
    <col min="7770" max="7770" width="11.85546875" style="2" customWidth="1"/>
    <col min="7771" max="8020" width="10.140625" style="2"/>
    <col min="8021" max="8021" width="6" style="2" customWidth="1"/>
    <col min="8022" max="8022" width="44" style="2" customWidth="1"/>
    <col min="8023" max="8023" width="10.7109375" style="2" customWidth="1"/>
    <col min="8024" max="8024" width="10.140625" style="2" customWidth="1"/>
    <col min="8025" max="8025" width="10.7109375" style="2" customWidth="1"/>
    <col min="8026" max="8026" width="11.85546875" style="2" customWidth="1"/>
    <col min="8027" max="8276" width="10.140625" style="2"/>
    <col min="8277" max="8277" width="6" style="2" customWidth="1"/>
    <col min="8278" max="8278" width="44" style="2" customWidth="1"/>
    <col min="8279" max="8279" width="10.7109375" style="2" customWidth="1"/>
    <col min="8280" max="8280" width="10.140625" style="2" customWidth="1"/>
    <col min="8281" max="8281" width="10.7109375" style="2" customWidth="1"/>
    <col min="8282" max="8282" width="11.85546875" style="2" customWidth="1"/>
    <col min="8283" max="8532" width="10.140625" style="2"/>
    <col min="8533" max="8533" width="6" style="2" customWidth="1"/>
    <col min="8534" max="8534" width="44" style="2" customWidth="1"/>
    <col min="8535" max="8535" width="10.7109375" style="2" customWidth="1"/>
    <col min="8536" max="8536" width="10.140625" style="2" customWidth="1"/>
    <col min="8537" max="8537" width="10.7109375" style="2" customWidth="1"/>
    <col min="8538" max="8538" width="11.85546875" style="2" customWidth="1"/>
    <col min="8539" max="8788" width="10.140625" style="2"/>
    <col min="8789" max="8789" width="6" style="2" customWidth="1"/>
    <col min="8790" max="8790" width="44" style="2" customWidth="1"/>
    <col min="8791" max="8791" width="10.7109375" style="2" customWidth="1"/>
    <col min="8792" max="8792" width="10.140625" style="2" customWidth="1"/>
    <col min="8793" max="8793" width="10.7109375" style="2" customWidth="1"/>
    <col min="8794" max="8794" width="11.85546875" style="2" customWidth="1"/>
    <col min="8795" max="9044" width="10.140625" style="2"/>
    <col min="9045" max="9045" width="6" style="2" customWidth="1"/>
    <col min="9046" max="9046" width="44" style="2" customWidth="1"/>
    <col min="9047" max="9047" width="10.7109375" style="2" customWidth="1"/>
    <col min="9048" max="9048" width="10.140625" style="2" customWidth="1"/>
    <col min="9049" max="9049" width="10.7109375" style="2" customWidth="1"/>
    <col min="9050" max="9050" width="11.85546875" style="2" customWidth="1"/>
    <col min="9051" max="9300" width="10.140625" style="2"/>
    <col min="9301" max="9301" width="6" style="2" customWidth="1"/>
    <col min="9302" max="9302" width="44" style="2" customWidth="1"/>
    <col min="9303" max="9303" width="10.7109375" style="2" customWidth="1"/>
    <col min="9304" max="9304" width="10.140625" style="2" customWidth="1"/>
    <col min="9305" max="9305" width="10.7109375" style="2" customWidth="1"/>
    <col min="9306" max="9306" width="11.85546875" style="2" customWidth="1"/>
    <col min="9307" max="9556" width="10.140625" style="2"/>
    <col min="9557" max="9557" width="6" style="2" customWidth="1"/>
    <col min="9558" max="9558" width="44" style="2" customWidth="1"/>
    <col min="9559" max="9559" width="10.7109375" style="2" customWidth="1"/>
    <col min="9560" max="9560" width="10.140625" style="2" customWidth="1"/>
    <col min="9561" max="9561" width="10.7109375" style="2" customWidth="1"/>
    <col min="9562" max="9562" width="11.85546875" style="2" customWidth="1"/>
    <col min="9563" max="9812" width="10.140625" style="2"/>
    <col min="9813" max="9813" width="6" style="2" customWidth="1"/>
    <col min="9814" max="9814" width="44" style="2" customWidth="1"/>
    <col min="9815" max="9815" width="10.7109375" style="2" customWidth="1"/>
    <col min="9816" max="9816" width="10.140625" style="2" customWidth="1"/>
    <col min="9817" max="9817" width="10.7109375" style="2" customWidth="1"/>
    <col min="9818" max="9818" width="11.85546875" style="2" customWidth="1"/>
    <col min="9819" max="10068" width="10.140625" style="2"/>
    <col min="10069" max="10069" width="6" style="2" customWidth="1"/>
    <col min="10070" max="10070" width="44" style="2" customWidth="1"/>
    <col min="10071" max="10071" width="10.7109375" style="2" customWidth="1"/>
    <col min="10072" max="10072" width="10.140625" style="2" customWidth="1"/>
    <col min="10073" max="10073" width="10.7109375" style="2" customWidth="1"/>
    <col min="10074" max="10074" width="11.85546875" style="2" customWidth="1"/>
    <col min="10075" max="10324" width="10.140625" style="2"/>
    <col min="10325" max="10325" width="6" style="2" customWidth="1"/>
    <col min="10326" max="10326" width="44" style="2" customWidth="1"/>
    <col min="10327" max="10327" width="10.7109375" style="2" customWidth="1"/>
    <col min="10328" max="10328" width="10.140625" style="2" customWidth="1"/>
    <col min="10329" max="10329" width="10.7109375" style="2" customWidth="1"/>
    <col min="10330" max="10330" width="11.85546875" style="2" customWidth="1"/>
    <col min="10331" max="10580" width="10.140625" style="2"/>
    <col min="10581" max="10581" width="6" style="2" customWidth="1"/>
    <col min="10582" max="10582" width="44" style="2" customWidth="1"/>
    <col min="10583" max="10583" width="10.7109375" style="2" customWidth="1"/>
    <col min="10584" max="10584" width="10.140625" style="2" customWidth="1"/>
    <col min="10585" max="10585" width="10.7109375" style="2" customWidth="1"/>
    <col min="10586" max="10586" width="11.85546875" style="2" customWidth="1"/>
    <col min="10587" max="10836" width="10.140625" style="2"/>
    <col min="10837" max="10837" width="6" style="2" customWidth="1"/>
    <col min="10838" max="10838" width="44" style="2" customWidth="1"/>
    <col min="10839" max="10839" width="10.7109375" style="2" customWidth="1"/>
    <col min="10840" max="10840" width="10.140625" style="2" customWidth="1"/>
    <col min="10841" max="10841" width="10.7109375" style="2" customWidth="1"/>
    <col min="10842" max="10842" width="11.85546875" style="2" customWidth="1"/>
    <col min="10843" max="11092" width="10.140625" style="2"/>
    <col min="11093" max="11093" width="6" style="2" customWidth="1"/>
    <col min="11094" max="11094" width="44" style="2" customWidth="1"/>
    <col min="11095" max="11095" width="10.7109375" style="2" customWidth="1"/>
    <col min="11096" max="11096" width="10.140625" style="2" customWidth="1"/>
    <col min="11097" max="11097" width="10.7109375" style="2" customWidth="1"/>
    <col min="11098" max="11098" width="11.85546875" style="2" customWidth="1"/>
    <col min="11099" max="11348" width="10.140625" style="2"/>
    <col min="11349" max="11349" width="6" style="2" customWidth="1"/>
    <col min="11350" max="11350" width="44" style="2" customWidth="1"/>
    <col min="11351" max="11351" width="10.7109375" style="2" customWidth="1"/>
    <col min="11352" max="11352" width="10.140625" style="2" customWidth="1"/>
    <col min="11353" max="11353" width="10.7109375" style="2" customWidth="1"/>
    <col min="11354" max="11354" width="11.85546875" style="2" customWidth="1"/>
    <col min="11355" max="11604" width="10.140625" style="2"/>
    <col min="11605" max="11605" width="6" style="2" customWidth="1"/>
    <col min="11606" max="11606" width="44" style="2" customWidth="1"/>
    <col min="11607" max="11607" width="10.7109375" style="2" customWidth="1"/>
    <col min="11608" max="11608" width="10.140625" style="2" customWidth="1"/>
    <col min="11609" max="11609" width="10.7109375" style="2" customWidth="1"/>
    <col min="11610" max="11610" width="11.85546875" style="2" customWidth="1"/>
    <col min="11611" max="11860" width="10.140625" style="2"/>
    <col min="11861" max="11861" width="6" style="2" customWidth="1"/>
    <col min="11862" max="11862" width="44" style="2" customWidth="1"/>
    <col min="11863" max="11863" width="10.7109375" style="2" customWidth="1"/>
    <col min="11864" max="11864" width="10.140625" style="2" customWidth="1"/>
    <col min="11865" max="11865" width="10.7109375" style="2" customWidth="1"/>
    <col min="11866" max="11866" width="11.85546875" style="2" customWidth="1"/>
    <col min="11867" max="12116" width="10.140625" style="2"/>
    <col min="12117" max="12117" width="6" style="2" customWidth="1"/>
    <col min="12118" max="12118" width="44" style="2" customWidth="1"/>
    <col min="12119" max="12119" width="10.7109375" style="2" customWidth="1"/>
    <col min="12120" max="12120" width="10.140625" style="2" customWidth="1"/>
    <col min="12121" max="12121" width="10.7109375" style="2" customWidth="1"/>
    <col min="12122" max="12122" width="11.85546875" style="2" customWidth="1"/>
    <col min="12123" max="12372" width="10.140625" style="2"/>
    <col min="12373" max="12373" width="6" style="2" customWidth="1"/>
    <col min="12374" max="12374" width="44" style="2" customWidth="1"/>
    <col min="12375" max="12375" width="10.7109375" style="2" customWidth="1"/>
    <col min="12376" max="12376" width="10.140625" style="2" customWidth="1"/>
    <col min="12377" max="12377" width="10.7109375" style="2" customWidth="1"/>
    <col min="12378" max="12378" width="11.85546875" style="2" customWidth="1"/>
    <col min="12379" max="12628" width="10.140625" style="2"/>
    <col min="12629" max="12629" width="6" style="2" customWidth="1"/>
    <col min="12630" max="12630" width="44" style="2" customWidth="1"/>
    <col min="12631" max="12631" width="10.7109375" style="2" customWidth="1"/>
    <col min="12632" max="12632" width="10.140625" style="2" customWidth="1"/>
    <col min="12633" max="12633" width="10.7109375" style="2" customWidth="1"/>
    <col min="12634" max="12634" width="11.85546875" style="2" customWidth="1"/>
    <col min="12635" max="12884" width="10.140625" style="2"/>
    <col min="12885" max="12885" width="6" style="2" customWidth="1"/>
    <col min="12886" max="12886" width="44" style="2" customWidth="1"/>
    <col min="12887" max="12887" width="10.7109375" style="2" customWidth="1"/>
    <col min="12888" max="12888" width="10.140625" style="2" customWidth="1"/>
    <col min="12889" max="12889" width="10.7109375" style="2" customWidth="1"/>
    <col min="12890" max="12890" width="11.85546875" style="2" customWidth="1"/>
    <col min="12891" max="13140" width="10.140625" style="2"/>
    <col min="13141" max="13141" width="6" style="2" customWidth="1"/>
    <col min="13142" max="13142" width="44" style="2" customWidth="1"/>
    <col min="13143" max="13143" width="10.7109375" style="2" customWidth="1"/>
    <col min="13144" max="13144" width="10.140625" style="2" customWidth="1"/>
    <col min="13145" max="13145" width="10.7109375" style="2" customWidth="1"/>
    <col min="13146" max="13146" width="11.85546875" style="2" customWidth="1"/>
    <col min="13147" max="13396" width="10.140625" style="2"/>
    <col min="13397" max="13397" width="6" style="2" customWidth="1"/>
    <col min="13398" max="13398" width="44" style="2" customWidth="1"/>
    <col min="13399" max="13399" width="10.7109375" style="2" customWidth="1"/>
    <col min="13400" max="13400" width="10.140625" style="2" customWidth="1"/>
    <col min="13401" max="13401" width="10.7109375" style="2" customWidth="1"/>
    <col min="13402" max="13402" width="11.85546875" style="2" customWidth="1"/>
    <col min="13403" max="13652" width="10.140625" style="2"/>
    <col min="13653" max="13653" width="6" style="2" customWidth="1"/>
    <col min="13654" max="13654" width="44" style="2" customWidth="1"/>
    <col min="13655" max="13655" width="10.7109375" style="2" customWidth="1"/>
    <col min="13656" max="13656" width="10.140625" style="2" customWidth="1"/>
    <col min="13657" max="13657" width="10.7109375" style="2" customWidth="1"/>
    <col min="13658" max="13658" width="11.85546875" style="2" customWidth="1"/>
    <col min="13659" max="13908" width="10.140625" style="2"/>
    <col min="13909" max="13909" width="6" style="2" customWidth="1"/>
    <col min="13910" max="13910" width="44" style="2" customWidth="1"/>
    <col min="13911" max="13911" width="10.7109375" style="2" customWidth="1"/>
    <col min="13912" max="13912" width="10.140625" style="2" customWidth="1"/>
    <col min="13913" max="13913" width="10.7109375" style="2" customWidth="1"/>
    <col min="13914" max="13914" width="11.85546875" style="2" customWidth="1"/>
    <col min="13915" max="14164" width="10.140625" style="2"/>
    <col min="14165" max="14165" width="6" style="2" customWidth="1"/>
    <col min="14166" max="14166" width="44" style="2" customWidth="1"/>
    <col min="14167" max="14167" width="10.7109375" style="2" customWidth="1"/>
    <col min="14168" max="14168" width="10.140625" style="2" customWidth="1"/>
    <col min="14169" max="14169" width="10.7109375" style="2" customWidth="1"/>
    <col min="14170" max="14170" width="11.85546875" style="2" customWidth="1"/>
    <col min="14171" max="14420" width="10.140625" style="2"/>
    <col min="14421" max="14421" width="6" style="2" customWidth="1"/>
    <col min="14422" max="14422" width="44" style="2" customWidth="1"/>
    <col min="14423" max="14423" width="10.7109375" style="2" customWidth="1"/>
    <col min="14424" max="14424" width="10.140625" style="2" customWidth="1"/>
    <col min="14425" max="14425" width="10.7109375" style="2" customWidth="1"/>
    <col min="14426" max="14426" width="11.85546875" style="2" customWidth="1"/>
    <col min="14427" max="14676" width="10.140625" style="2"/>
    <col min="14677" max="14677" width="6" style="2" customWidth="1"/>
    <col min="14678" max="14678" width="44" style="2" customWidth="1"/>
    <col min="14679" max="14679" width="10.7109375" style="2" customWidth="1"/>
    <col min="14680" max="14680" width="10.140625" style="2" customWidth="1"/>
    <col min="14681" max="14681" width="10.7109375" style="2" customWidth="1"/>
    <col min="14682" max="14682" width="11.85546875" style="2" customWidth="1"/>
    <col min="14683" max="14932" width="10.140625" style="2"/>
    <col min="14933" max="14933" width="6" style="2" customWidth="1"/>
    <col min="14934" max="14934" width="44" style="2" customWidth="1"/>
    <col min="14935" max="14935" width="10.7109375" style="2" customWidth="1"/>
    <col min="14936" max="14936" width="10.140625" style="2" customWidth="1"/>
    <col min="14937" max="14937" width="10.7109375" style="2" customWidth="1"/>
    <col min="14938" max="14938" width="11.85546875" style="2" customWidth="1"/>
    <col min="14939" max="15188" width="10.140625" style="2"/>
    <col min="15189" max="15189" width="6" style="2" customWidth="1"/>
    <col min="15190" max="15190" width="44" style="2" customWidth="1"/>
    <col min="15191" max="15191" width="10.7109375" style="2" customWidth="1"/>
    <col min="15192" max="15192" width="10.140625" style="2" customWidth="1"/>
    <col min="15193" max="15193" width="10.7109375" style="2" customWidth="1"/>
    <col min="15194" max="15194" width="11.85546875" style="2" customWidth="1"/>
    <col min="15195" max="15444" width="10.140625" style="2"/>
    <col min="15445" max="15445" width="6" style="2" customWidth="1"/>
    <col min="15446" max="15446" width="44" style="2" customWidth="1"/>
    <col min="15447" max="15447" width="10.7109375" style="2" customWidth="1"/>
    <col min="15448" max="15448" width="10.140625" style="2" customWidth="1"/>
    <col min="15449" max="15449" width="10.7109375" style="2" customWidth="1"/>
    <col min="15450" max="15450" width="11.85546875" style="2" customWidth="1"/>
    <col min="15451" max="15700" width="10.140625" style="2"/>
    <col min="15701" max="15701" width="6" style="2" customWidth="1"/>
    <col min="15702" max="15702" width="44" style="2" customWidth="1"/>
    <col min="15703" max="15703" width="10.7109375" style="2" customWidth="1"/>
    <col min="15704" max="15704" width="10.140625" style="2" customWidth="1"/>
    <col min="15705" max="15705" width="10.7109375" style="2" customWidth="1"/>
    <col min="15706" max="15706" width="11.85546875" style="2" customWidth="1"/>
    <col min="15707" max="15956" width="10.140625" style="2"/>
    <col min="15957" max="15957" width="6" style="2" customWidth="1"/>
    <col min="15958" max="15958" width="44" style="2" customWidth="1"/>
    <col min="15959" max="15959" width="10.7109375" style="2" customWidth="1"/>
    <col min="15960" max="15960" width="10.140625" style="2" customWidth="1"/>
    <col min="15961" max="15961" width="10.7109375" style="2" customWidth="1"/>
    <col min="15962" max="15962" width="11.85546875" style="2" customWidth="1"/>
    <col min="15963" max="16384" width="10.140625" style="2"/>
  </cols>
  <sheetData>
    <row r="1" spans="1:6" ht="15.75" x14ac:dyDescent="0.25">
      <c r="A1" s="98" t="s">
        <v>31</v>
      </c>
      <c r="B1" s="9"/>
      <c r="C1" s="9"/>
      <c r="D1" s="9"/>
      <c r="E1" s="9"/>
      <c r="F1" s="9" t="s">
        <v>116</v>
      </c>
    </row>
    <row r="2" spans="1:6" ht="13.5" customHeight="1" x14ac:dyDescent="0.25">
      <c r="A2" s="132" t="s">
        <v>0</v>
      </c>
      <c r="B2" s="132" t="s">
        <v>32</v>
      </c>
      <c r="C2" s="132" t="s">
        <v>1</v>
      </c>
      <c r="D2" s="133" t="s">
        <v>2</v>
      </c>
      <c r="E2" s="133"/>
      <c r="F2" s="133"/>
    </row>
    <row r="3" spans="1:6" ht="15.75" customHeight="1" x14ac:dyDescent="0.25">
      <c r="A3" s="132"/>
      <c r="B3" s="132"/>
      <c r="C3" s="132"/>
      <c r="D3" s="132" t="s">
        <v>33</v>
      </c>
      <c r="E3" s="132"/>
      <c r="F3" s="132" t="s">
        <v>34</v>
      </c>
    </row>
    <row r="4" spans="1:6" ht="48" customHeight="1" x14ac:dyDescent="0.25">
      <c r="A4" s="132"/>
      <c r="B4" s="132"/>
      <c r="C4" s="132"/>
      <c r="D4" s="12" t="s">
        <v>35</v>
      </c>
      <c r="E4" s="12" t="s">
        <v>36</v>
      </c>
      <c r="F4" s="132"/>
    </row>
    <row r="5" spans="1:6" ht="15.75" x14ac:dyDescent="0.25">
      <c r="A5" s="88">
        <v>1</v>
      </c>
      <c r="B5" s="87">
        <v>2</v>
      </c>
      <c r="C5" s="88">
        <v>3</v>
      </c>
      <c r="D5" s="88">
        <v>4</v>
      </c>
      <c r="E5" s="88">
        <v>5</v>
      </c>
      <c r="F5" s="88">
        <v>6</v>
      </c>
    </row>
    <row r="6" spans="1:6" ht="15.75" x14ac:dyDescent="0.25">
      <c r="A6" s="13">
        <v>1</v>
      </c>
      <c r="B6" s="8" t="s">
        <v>37</v>
      </c>
      <c r="C6" s="61">
        <f>+C7</f>
        <v>234</v>
      </c>
      <c r="D6" s="61">
        <f t="shared" ref="D6:F6" si="0">+D7</f>
        <v>233</v>
      </c>
      <c r="E6" s="61">
        <f t="shared" si="0"/>
        <v>221.5</v>
      </c>
      <c r="F6" s="61">
        <f t="shared" si="0"/>
        <v>1</v>
      </c>
    </row>
    <row r="7" spans="1:6" ht="15.75" x14ac:dyDescent="0.25">
      <c r="A7" s="13">
        <f>+A6+1</f>
        <v>2</v>
      </c>
      <c r="B7" s="8" t="s">
        <v>38</v>
      </c>
      <c r="C7" s="61">
        <f>+C9</f>
        <v>234</v>
      </c>
      <c r="D7" s="61">
        <f t="shared" ref="D7:F7" si="1">+D9</f>
        <v>233</v>
      </c>
      <c r="E7" s="61">
        <f t="shared" si="1"/>
        <v>221.5</v>
      </c>
      <c r="F7" s="61">
        <f t="shared" si="1"/>
        <v>1</v>
      </c>
    </row>
    <row r="8" spans="1:6" ht="15.75" x14ac:dyDescent="0.25">
      <c r="A8" s="13">
        <f t="shared" ref="A8:A71" si="2">+A7+1</f>
        <v>3</v>
      </c>
      <c r="B8" s="87" t="s">
        <v>2</v>
      </c>
      <c r="C8" s="61"/>
      <c r="D8" s="61"/>
      <c r="E8" s="61"/>
      <c r="F8" s="61"/>
    </row>
    <row r="9" spans="1:6" ht="31.5" x14ac:dyDescent="0.25">
      <c r="A9" s="13">
        <f t="shared" si="2"/>
        <v>4</v>
      </c>
      <c r="B9" s="7" t="s">
        <v>50</v>
      </c>
      <c r="C9" s="62">
        <f>+D9+F9</f>
        <v>234</v>
      </c>
      <c r="D9" s="62">
        <v>233</v>
      </c>
      <c r="E9" s="62">
        <v>221.5</v>
      </c>
      <c r="F9" s="62">
        <v>1</v>
      </c>
    </row>
    <row r="10" spans="1:6" ht="15.75" x14ac:dyDescent="0.25">
      <c r="A10" s="13">
        <f t="shared" si="2"/>
        <v>5</v>
      </c>
      <c r="B10" s="8" t="s">
        <v>3</v>
      </c>
      <c r="C10" s="61">
        <f>+C11+C38+C39+C40+C41+C42+C43+C44</f>
        <v>15321.5</v>
      </c>
      <c r="D10" s="61">
        <f>+D11+D38+D39+D40+D41+D42+D43+D44</f>
        <v>11461.8</v>
      </c>
      <c r="E10" s="61">
        <f>+E11+E38+E39+E40+E41+E42+E43+E44</f>
        <v>8296.7000000000007</v>
      </c>
      <c r="F10" s="61">
        <f>+F11+F38+F39+F40+F41+F42+F43+F44</f>
        <v>3859.7</v>
      </c>
    </row>
    <row r="11" spans="1:6" ht="15.75" x14ac:dyDescent="0.25">
      <c r="A11" s="13">
        <f t="shared" si="2"/>
        <v>6</v>
      </c>
      <c r="B11" s="8" t="s">
        <v>38</v>
      </c>
      <c r="C11" s="61">
        <f>SUM(C13:C18)+C37</f>
        <v>13969.1</v>
      </c>
      <c r="D11" s="61">
        <f>SUM(D13:D18)+D37</f>
        <v>10844.2</v>
      </c>
      <c r="E11" s="61">
        <f>SUM(E13:E18)+E37</f>
        <v>8296.7000000000007</v>
      </c>
      <c r="F11" s="61">
        <f>SUM(F13:F18)+F37</f>
        <v>3124.9</v>
      </c>
    </row>
    <row r="12" spans="1:6" ht="15.75" x14ac:dyDescent="0.25">
      <c r="A12" s="13">
        <f t="shared" si="2"/>
        <v>7</v>
      </c>
      <c r="B12" s="87" t="s">
        <v>2</v>
      </c>
      <c r="C12" s="61"/>
      <c r="D12" s="62"/>
      <c r="E12" s="62"/>
      <c r="F12" s="62"/>
    </row>
    <row r="13" spans="1:6" ht="31.5" x14ac:dyDescent="0.25">
      <c r="A13" s="13">
        <f t="shared" si="2"/>
        <v>8</v>
      </c>
      <c r="B13" s="7" t="s">
        <v>39</v>
      </c>
      <c r="C13" s="62">
        <f>+D13+F13</f>
        <v>366.7</v>
      </c>
      <c r="D13" s="62">
        <v>366.7</v>
      </c>
      <c r="E13" s="62">
        <v>155.9</v>
      </c>
      <c r="F13" s="62"/>
    </row>
    <row r="14" spans="1:6" ht="31.5" x14ac:dyDescent="0.25">
      <c r="A14" s="13">
        <f t="shared" si="2"/>
        <v>9</v>
      </c>
      <c r="B14" s="7" t="s">
        <v>40</v>
      </c>
      <c r="C14" s="62">
        <f t="shared" ref="C14:C17" si="3">+D14+F14</f>
        <v>215.1</v>
      </c>
      <c r="D14" s="62">
        <v>215.1</v>
      </c>
      <c r="E14" s="62">
        <v>198.9</v>
      </c>
      <c r="F14" s="62"/>
    </row>
    <row r="15" spans="1:6" ht="47.25" x14ac:dyDescent="0.25">
      <c r="A15" s="13">
        <f t="shared" si="2"/>
        <v>10</v>
      </c>
      <c r="B15" s="7" t="s">
        <v>41</v>
      </c>
      <c r="C15" s="62">
        <f t="shared" si="3"/>
        <v>12695.5</v>
      </c>
      <c r="D15" s="62">
        <v>9685.7999999999993</v>
      </c>
      <c r="E15" s="62">
        <f>7480.6-0.1</f>
        <v>7480.5</v>
      </c>
      <c r="F15" s="62">
        <f>105.5+2904.2</f>
        <v>3009.7</v>
      </c>
    </row>
    <row r="16" spans="1:6" ht="31.5" x14ac:dyDescent="0.25">
      <c r="A16" s="13">
        <f t="shared" si="2"/>
        <v>11</v>
      </c>
      <c r="B16" s="7" t="s">
        <v>42</v>
      </c>
      <c r="C16" s="62">
        <f t="shared" si="3"/>
        <v>29</v>
      </c>
      <c r="D16" s="62">
        <v>29</v>
      </c>
      <c r="E16" s="62"/>
      <c r="F16" s="62"/>
    </row>
    <row r="17" spans="1:6" ht="31.5" x14ac:dyDescent="0.25">
      <c r="A17" s="13">
        <f t="shared" si="2"/>
        <v>12</v>
      </c>
      <c r="B17" s="7" t="s">
        <v>43</v>
      </c>
      <c r="C17" s="62">
        <f t="shared" si="3"/>
        <v>150</v>
      </c>
      <c r="D17" s="62">
        <v>34.799999999999997</v>
      </c>
      <c r="E17" s="62"/>
      <c r="F17" s="62">
        <v>115.2</v>
      </c>
    </row>
    <row r="18" spans="1:6" ht="63" x14ac:dyDescent="0.25">
      <c r="A18" s="13">
        <f t="shared" si="2"/>
        <v>13</v>
      </c>
      <c r="B18" s="7" t="s">
        <v>44</v>
      </c>
      <c r="C18" s="62">
        <f>SUM(C20:C36)</f>
        <v>508.3</v>
      </c>
      <c r="D18" s="62">
        <f t="shared" ref="D18:F18" si="4">SUM(D20:D36)</f>
        <v>508.3</v>
      </c>
      <c r="E18" s="62">
        <f t="shared" si="4"/>
        <v>457</v>
      </c>
      <c r="F18" s="62">
        <f t="shared" si="4"/>
        <v>0</v>
      </c>
    </row>
    <row r="19" spans="1:6" ht="15.75" x14ac:dyDescent="0.25">
      <c r="A19" s="13">
        <f t="shared" si="2"/>
        <v>14</v>
      </c>
      <c r="B19" s="87" t="s">
        <v>2</v>
      </c>
      <c r="C19" s="61"/>
      <c r="D19" s="62"/>
      <c r="E19" s="62"/>
      <c r="F19" s="62"/>
    </row>
    <row r="20" spans="1:6" ht="31.5" x14ac:dyDescent="0.25">
      <c r="A20" s="13">
        <f t="shared" si="2"/>
        <v>15</v>
      </c>
      <c r="B20" s="7" t="s">
        <v>16</v>
      </c>
      <c r="C20" s="62">
        <f>+D20+F20</f>
        <v>0.6</v>
      </c>
      <c r="D20" s="62">
        <v>0.6</v>
      </c>
      <c r="E20" s="62">
        <v>0.6</v>
      </c>
      <c r="F20" s="62"/>
    </row>
    <row r="21" spans="1:6" ht="15.75" x14ac:dyDescent="0.25">
      <c r="A21" s="13">
        <f t="shared" si="2"/>
        <v>16</v>
      </c>
      <c r="B21" s="7" t="s">
        <v>17</v>
      </c>
      <c r="C21" s="62">
        <f t="shared" ref="C21:C44" si="5">+D21+F21</f>
        <v>19</v>
      </c>
      <c r="D21" s="62">
        <v>19</v>
      </c>
      <c r="E21" s="62">
        <v>17.5</v>
      </c>
      <c r="F21" s="62"/>
    </row>
    <row r="22" spans="1:6" ht="31.5" x14ac:dyDescent="0.25">
      <c r="A22" s="13">
        <f t="shared" si="2"/>
        <v>17</v>
      </c>
      <c r="B22" s="7" t="s">
        <v>18</v>
      </c>
      <c r="C22" s="62">
        <f t="shared" si="5"/>
        <v>15</v>
      </c>
      <c r="D22" s="62">
        <v>15</v>
      </c>
      <c r="E22" s="62">
        <v>14.5</v>
      </c>
      <c r="F22" s="62"/>
    </row>
    <row r="23" spans="1:6" ht="31.5" x14ac:dyDescent="0.25">
      <c r="A23" s="13">
        <f t="shared" si="2"/>
        <v>18</v>
      </c>
      <c r="B23" s="7" t="s">
        <v>113</v>
      </c>
      <c r="C23" s="62">
        <f t="shared" si="5"/>
        <v>73.3</v>
      </c>
      <c r="D23" s="62">
        <v>73.3</v>
      </c>
      <c r="E23" s="62">
        <v>57.5</v>
      </c>
      <c r="F23" s="62"/>
    </row>
    <row r="24" spans="1:6" ht="31.5" x14ac:dyDescent="0.25">
      <c r="A24" s="13">
        <f t="shared" si="2"/>
        <v>19</v>
      </c>
      <c r="B24" s="7" t="s">
        <v>145</v>
      </c>
      <c r="C24" s="62">
        <f t="shared" si="5"/>
        <v>36.4</v>
      </c>
      <c r="D24" s="62">
        <v>36.4</v>
      </c>
      <c r="E24" s="62">
        <v>32.200000000000003</v>
      </c>
      <c r="F24" s="62"/>
    </row>
    <row r="25" spans="1:6" ht="15.75" x14ac:dyDescent="0.25">
      <c r="A25" s="13">
        <f t="shared" si="2"/>
        <v>20</v>
      </c>
      <c r="B25" s="7" t="s">
        <v>19</v>
      </c>
      <c r="C25" s="62">
        <f t="shared" si="5"/>
        <v>90.5</v>
      </c>
      <c r="D25" s="62">
        <v>90.5</v>
      </c>
      <c r="E25" s="62">
        <v>88.8</v>
      </c>
      <c r="F25" s="62"/>
    </row>
    <row r="26" spans="1:6" ht="47.25" x14ac:dyDescent="0.25">
      <c r="A26" s="13">
        <f t="shared" si="2"/>
        <v>21</v>
      </c>
      <c r="B26" s="7" t="s">
        <v>109</v>
      </c>
      <c r="C26" s="62">
        <f t="shared" si="5"/>
        <v>21.5</v>
      </c>
      <c r="D26" s="62">
        <v>21.5</v>
      </c>
      <c r="E26" s="62">
        <v>21.1</v>
      </c>
      <c r="F26" s="62"/>
    </row>
    <row r="27" spans="1:6" ht="31.5" x14ac:dyDescent="0.25">
      <c r="A27" s="13">
        <f t="shared" si="2"/>
        <v>22</v>
      </c>
      <c r="B27" s="7" t="s">
        <v>21</v>
      </c>
      <c r="C27" s="62">
        <f t="shared" si="5"/>
        <v>2.6</v>
      </c>
      <c r="D27" s="62">
        <v>2.6</v>
      </c>
      <c r="E27" s="62"/>
      <c r="F27" s="62"/>
    </row>
    <row r="28" spans="1:6" ht="15.75" x14ac:dyDescent="0.25">
      <c r="A28" s="13">
        <f t="shared" si="2"/>
        <v>23</v>
      </c>
      <c r="B28" s="7" t="s">
        <v>20</v>
      </c>
      <c r="C28" s="62">
        <f t="shared" si="5"/>
        <v>62</v>
      </c>
      <c r="D28" s="62">
        <v>62</v>
      </c>
      <c r="E28" s="62">
        <v>52</v>
      </c>
      <c r="F28" s="62"/>
    </row>
    <row r="29" spans="1:6" ht="15.75" x14ac:dyDescent="0.25">
      <c r="A29" s="13">
        <f t="shared" si="2"/>
        <v>24</v>
      </c>
      <c r="B29" s="12" t="s">
        <v>45</v>
      </c>
      <c r="C29" s="62">
        <f t="shared" si="5"/>
        <v>16</v>
      </c>
      <c r="D29" s="62">
        <v>16</v>
      </c>
      <c r="E29" s="62">
        <v>15.3</v>
      </c>
      <c r="F29" s="62"/>
    </row>
    <row r="30" spans="1:6" ht="31.5" x14ac:dyDescent="0.25">
      <c r="A30" s="13">
        <f t="shared" si="2"/>
        <v>25</v>
      </c>
      <c r="B30" s="7" t="s">
        <v>148</v>
      </c>
      <c r="C30" s="62">
        <f t="shared" si="5"/>
        <v>8.4</v>
      </c>
      <c r="D30" s="62">
        <v>8.4</v>
      </c>
      <c r="E30" s="62">
        <v>8.1999999999999993</v>
      </c>
      <c r="F30" s="62"/>
    </row>
    <row r="31" spans="1:6" ht="15.75" x14ac:dyDescent="0.25">
      <c r="A31" s="13">
        <f t="shared" si="2"/>
        <v>26</v>
      </c>
      <c r="B31" s="7" t="s">
        <v>46</v>
      </c>
      <c r="C31" s="62">
        <f t="shared" si="5"/>
        <v>70.7</v>
      </c>
      <c r="D31" s="62">
        <v>70.7</v>
      </c>
      <c r="E31" s="62">
        <v>69.2</v>
      </c>
      <c r="F31" s="62"/>
    </row>
    <row r="32" spans="1:6" ht="31.5" x14ac:dyDescent="0.25">
      <c r="A32" s="13">
        <f t="shared" si="2"/>
        <v>27</v>
      </c>
      <c r="B32" s="7" t="s">
        <v>47</v>
      </c>
      <c r="C32" s="62">
        <f t="shared" si="5"/>
        <v>24.3</v>
      </c>
      <c r="D32" s="62">
        <v>24.3</v>
      </c>
      <c r="E32" s="62">
        <v>19.8</v>
      </c>
      <c r="F32" s="62"/>
    </row>
    <row r="33" spans="1:6" ht="15.75" x14ac:dyDescent="0.25">
      <c r="A33" s="13">
        <f t="shared" si="2"/>
        <v>28</v>
      </c>
      <c r="B33" s="7" t="s">
        <v>48</v>
      </c>
      <c r="C33" s="62">
        <f t="shared" si="5"/>
        <v>15.2</v>
      </c>
      <c r="D33" s="62">
        <v>15.2</v>
      </c>
      <c r="E33" s="62">
        <v>13.6</v>
      </c>
      <c r="F33" s="62"/>
    </row>
    <row r="34" spans="1:6" ht="31.5" x14ac:dyDescent="0.25">
      <c r="A34" s="13">
        <f t="shared" si="2"/>
        <v>29</v>
      </c>
      <c r="B34" s="7" t="s">
        <v>149</v>
      </c>
      <c r="C34" s="62">
        <f t="shared" si="5"/>
        <v>2.1</v>
      </c>
      <c r="D34" s="62">
        <v>2.1</v>
      </c>
      <c r="E34" s="62">
        <v>2</v>
      </c>
      <c r="F34" s="62"/>
    </row>
    <row r="35" spans="1:6" ht="47.25" x14ac:dyDescent="0.25">
      <c r="A35" s="13">
        <f t="shared" si="2"/>
        <v>30</v>
      </c>
      <c r="B35" s="7" t="s">
        <v>150</v>
      </c>
      <c r="C35" s="62">
        <f t="shared" si="5"/>
        <v>1.4</v>
      </c>
      <c r="D35" s="62">
        <v>1.4</v>
      </c>
      <c r="E35" s="62">
        <v>1.4</v>
      </c>
      <c r="F35" s="62"/>
    </row>
    <row r="36" spans="1:6" ht="31.5" x14ac:dyDescent="0.25">
      <c r="A36" s="13">
        <f t="shared" si="2"/>
        <v>31</v>
      </c>
      <c r="B36" s="7" t="s">
        <v>188</v>
      </c>
      <c r="C36" s="62">
        <f t="shared" si="5"/>
        <v>49.3</v>
      </c>
      <c r="D36" s="62">
        <v>49.3</v>
      </c>
      <c r="E36" s="62">
        <v>43.3</v>
      </c>
      <c r="F36" s="62"/>
    </row>
    <row r="37" spans="1:6" ht="47.25" x14ac:dyDescent="0.25">
      <c r="A37" s="13">
        <f t="shared" si="2"/>
        <v>32</v>
      </c>
      <c r="B37" s="99" t="s">
        <v>152</v>
      </c>
      <c r="C37" s="62">
        <f t="shared" si="5"/>
        <v>4.5</v>
      </c>
      <c r="D37" s="62">
        <v>4.5</v>
      </c>
      <c r="E37" s="62">
        <v>4.4000000000000004</v>
      </c>
      <c r="F37" s="61"/>
    </row>
    <row r="38" spans="1:6" ht="31.5" x14ac:dyDescent="0.25">
      <c r="A38" s="13">
        <f t="shared" si="2"/>
        <v>33</v>
      </c>
      <c r="B38" s="7" t="s">
        <v>194</v>
      </c>
      <c r="C38" s="61">
        <f t="shared" si="5"/>
        <v>136.80000000000001</v>
      </c>
      <c r="D38" s="61">
        <v>136.80000000000001</v>
      </c>
      <c r="E38" s="61"/>
      <c r="F38" s="61"/>
    </row>
    <row r="39" spans="1:6" ht="47.25" x14ac:dyDescent="0.25">
      <c r="A39" s="13">
        <f t="shared" si="2"/>
        <v>34</v>
      </c>
      <c r="B39" s="12" t="s">
        <v>195</v>
      </c>
      <c r="C39" s="61">
        <f t="shared" si="5"/>
        <v>204.4</v>
      </c>
      <c r="D39" s="61">
        <v>204.4</v>
      </c>
      <c r="E39" s="61"/>
      <c r="F39" s="61"/>
    </row>
    <row r="40" spans="1:6" ht="31.5" x14ac:dyDescent="0.25">
      <c r="A40" s="13">
        <f t="shared" si="2"/>
        <v>35</v>
      </c>
      <c r="B40" s="99" t="s">
        <v>196</v>
      </c>
      <c r="C40" s="61">
        <f t="shared" si="5"/>
        <v>271</v>
      </c>
      <c r="D40" s="61">
        <v>271</v>
      </c>
      <c r="E40" s="61"/>
      <c r="F40" s="61"/>
    </row>
    <row r="41" spans="1:6" ht="31.5" x14ac:dyDescent="0.25">
      <c r="A41" s="13">
        <f t="shared" si="2"/>
        <v>36</v>
      </c>
      <c r="B41" s="8" t="s">
        <v>197</v>
      </c>
      <c r="C41" s="61">
        <f t="shared" si="5"/>
        <v>163.4</v>
      </c>
      <c r="D41" s="61">
        <v>5.4</v>
      </c>
      <c r="E41" s="61"/>
      <c r="F41" s="61">
        <v>158</v>
      </c>
    </row>
    <row r="42" spans="1:6" ht="31.5" x14ac:dyDescent="0.25">
      <c r="A42" s="13">
        <f t="shared" si="2"/>
        <v>37</v>
      </c>
      <c r="B42" s="12" t="s">
        <v>198</v>
      </c>
      <c r="C42" s="61">
        <f t="shared" si="5"/>
        <v>12.6</v>
      </c>
      <c r="D42" s="61"/>
      <c r="E42" s="61"/>
      <c r="F42" s="61">
        <v>12.6</v>
      </c>
    </row>
    <row r="43" spans="1:6" ht="31.5" x14ac:dyDescent="0.25">
      <c r="A43" s="13">
        <f t="shared" si="2"/>
        <v>38</v>
      </c>
      <c r="B43" s="11" t="s">
        <v>199</v>
      </c>
      <c r="C43" s="61">
        <f t="shared" si="5"/>
        <v>414.2</v>
      </c>
      <c r="D43" s="61"/>
      <c r="E43" s="61"/>
      <c r="F43" s="61">
        <f>410+4.2</f>
        <v>414.2</v>
      </c>
    </row>
    <row r="44" spans="1:6" ht="31.5" x14ac:dyDescent="0.25">
      <c r="A44" s="13">
        <f t="shared" si="2"/>
        <v>39</v>
      </c>
      <c r="B44" s="11" t="s">
        <v>200</v>
      </c>
      <c r="C44" s="61">
        <f t="shared" si="5"/>
        <v>150</v>
      </c>
      <c r="D44" s="61"/>
      <c r="E44" s="61"/>
      <c r="F44" s="61">
        <v>150</v>
      </c>
    </row>
    <row r="45" spans="1:6" ht="15.75" x14ac:dyDescent="0.25">
      <c r="A45" s="13">
        <f t="shared" si="2"/>
        <v>40</v>
      </c>
      <c r="B45" s="63" t="s">
        <v>49</v>
      </c>
      <c r="C45" s="61">
        <f>+C46+C50+C56+C57+C62+C66+C70+C74+C79+C83+C87</f>
        <v>30313</v>
      </c>
      <c r="D45" s="61">
        <f>+D46+D50+D56+D57+D62+D66+D70+D74+D79+D83+D87</f>
        <v>6829.7</v>
      </c>
      <c r="E45" s="61">
        <f>+E46+E50+E56+E57+E62+E66+E70+E74+E79+E83+E87</f>
        <v>36.6</v>
      </c>
      <c r="F45" s="61">
        <f>+F46+F50+F56+F57+F62+F66+F70+F74+F79+F83+F87</f>
        <v>23483.3</v>
      </c>
    </row>
    <row r="46" spans="1:6" ht="31.5" x14ac:dyDescent="0.25">
      <c r="A46" s="13">
        <f t="shared" si="2"/>
        <v>41</v>
      </c>
      <c r="B46" s="63" t="s">
        <v>136</v>
      </c>
      <c r="C46" s="61">
        <f>+C48+C49</f>
        <v>1982.2</v>
      </c>
      <c r="D46" s="61">
        <f t="shared" ref="D46:F46" si="6">+D48+D49</f>
        <v>298.39999999999998</v>
      </c>
      <c r="E46" s="61">
        <f t="shared" si="6"/>
        <v>3.3</v>
      </c>
      <c r="F46" s="61">
        <f t="shared" si="6"/>
        <v>1683.8</v>
      </c>
    </row>
    <row r="47" spans="1:6" ht="15.75" x14ac:dyDescent="0.25">
      <c r="A47" s="13">
        <f t="shared" si="2"/>
        <v>42</v>
      </c>
      <c r="B47" s="100" t="s">
        <v>2</v>
      </c>
      <c r="C47" s="62"/>
      <c r="D47" s="62"/>
      <c r="E47" s="62"/>
      <c r="F47" s="62"/>
    </row>
    <row r="48" spans="1:6" ht="31.5" x14ac:dyDescent="0.25">
      <c r="A48" s="13">
        <f t="shared" si="2"/>
        <v>43</v>
      </c>
      <c r="B48" s="99" t="s">
        <v>135</v>
      </c>
      <c r="C48" s="62">
        <f>+D48+F48</f>
        <v>1278.2</v>
      </c>
      <c r="D48" s="62">
        <v>284.60000000000002</v>
      </c>
      <c r="E48" s="62">
        <v>0.6</v>
      </c>
      <c r="F48" s="62">
        <v>993.6</v>
      </c>
    </row>
    <row r="49" spans="1:6" ht="47.25" x14ac:dyDescent="0.25">
      <c r="A49" s="13">
        <f t="shared" si="2"/>
        <v>44</v>
      </c>
      <c r="B49" s="99" t="s">
        <v>162</v>
      </c>
      <c r="C49" s="62">
        <f>+D49+F49</f>
        <v>704</v>
      </c>
      <c r="D49" s="62">
        <f>2.3+25.5+3-17.1+0.1</f>
        <v>13.8</v>
      </c>
      <c r="E49" s="62">
        <f>2.9-0.3+0.1</f>
        <v>2.7</v>
      </c>
      <c r="F49" s="62">
        <f>59+67.2+761.8+66.2-263.9-0.1</f>
        <v>690.2</v>
      </c>
    </row>
    <row r="50" spans="1:6" ht="15.75" x14ac:dyDescent="0.25">
      <c r="A50" s="13">
        <f t="shared" si="2"/>
        <v>45</v>
      </c>
      <c r="B50" s="8" t="s">
        <v>131</v>
      </c>
      <c r="C50" s="61">
        <f>+C52+C53</f>
        <v>125.3</v>
      </c>
      <c r="D50" s="61">
        <f t="shared" ref="D50:F50" si="7">+D52+D53</f>
        <v>125.3</v>
      </c>
      <c r="E50" s="61">
        <f t="shared" si="7"/>
        <v>0</v>
      </c>
      <c r="F50" s="61">
        <f t="shared" si="7"/>
        <v>0</v>
      </c>
    </row>
    <row r="51" spans="1:6" ht="15.75" x14ac:dyDescent="0.25">
      <c r="A51" s="13">
        <f t="shared" si="2"/>
        <v>46</v>
      </c>
      <c r="B51" s="100" t="s">
        <v>2</v>
      </c>
      <c r="C51" s="62"/>
      <c r="D51" s="62"/>
      <c r="E51" s="62"/>
      <c r="F51" s="62"/>
    </row>
    <row r="52" spans="1:6" ht="31.5" x14ac:dyDescent="0.25">
      <c r="A52" s="13">
        <f t="shared" si="2"/>
        <v>47</v>
      </c>
      <c r="B52" s="7" t="s">
        <v>50</v>
      </c>
      <c r="C52" s="62">
        <f>+D52+F52</f>
        <v>119.9</v>
      </c>
      <c r="D52" s="62">
        <v>119.9</v>
      </c>
      <c r="E52" s="62"/>
      <c r="F52" s="62"/>
    </row>
    <row r="53" spans="1:6" ht="63" x14ac:dyDescent="0.25">
      <c r="A53" s="13">
        <f t="shared" si="2"/>
        <v>48</v>
      </c>
      <c r="B53" s="8" t="s">
        <v>201</v>
      </c>
      <c r="C53" s="62">
        <f>+C55</f>
        <v>5.4</v>
      </c>
      <c r="D53" s="62">
        <f t="shared" ref="D53:F53" si="8">+D55</f>
        <v>5.4</v>
      </c>
      <c r="E53" s="62">
        <f t="shared" si="8"/>
        <v>0</v>
      </c>
      <c r="F53" s="62">
        <f t="shared" si="8"/>
        <v>0</v>
      </c>
    </row>
    <row r="54" spans="1:6" ht="15.75" x14ac:dyDescent="0.25">
      <c r="A54" s="13">
        <f t="shared" si="2"/>
        <v>49</v>
      </c>
      <c r="B54" s="100" t="s">
        <v>2</v>
      </c>
      <c r="C54" s="62"/>
      <c r="D54" s="62"/>
      <c r="E54" s="62"/>
      <c r="F54" s="62"/>
    </row>
    <row r="55" spans="1:6" ht="15.75" x14ac:dyDescent="0.25">
      <c r="A55" s="13">
        <f t="shared" si="2"/>
        <v>50</v>
      </c>
      <c r="B55" s="7" t="s">
        <v>114</v>
      </c>
      <c r="C55" s="62">
        <f>+D55+F55</f>
        <v>5.4</v>
      </c>
      <c r="D55" s="62">
        <v>5.4</v>
      </c>
      <c r="E55" s="62"/>
      <c r="F55" s="62"/>
    </row>
    <row r="56" spans="1:6" ht="31.5" x14ac:dyDescent="0.25">
      <c r="A56" s="13">
        <f t="shared" si="2"/>
        <v>51</v>
      </c>
      <c r="B56" s="8" t="s">
        <v>202</v>
      </c>
      <c r="C56" s="61">
        <f>+D56+F56</f>
        <v>463.1</v>
      </c>
      <c r="D56" s="61">
        <v>463.1</v>
      </c>
      <c r="E56" s="61"/>
      <c r="F56" s="61"/>
    </row>
    <row r="57" spans="1:6" ht="15.75" x14ac:dyDescent="0.25">
      <c r="A57" s="13">
        <f t="shared" si="2"/>
        <v>52</v>
      </c>
      <c r="B57" s="11" t="s">
        <v>51</v>
      </c>
      <c r="C57" s="61">
        <f>SUM(C59:C61)</f>
        <v>3328.4</v>
      </c>
      <c r="D57" s="61">
        <f t="shared" ref="D57:F57" si="9">SUM(D59:D61)</f>
        <v>168.4</v>
      </c>
      <c r="E57" s="61">
        <f t="shared" si="9"/>
        <v>0</v>
      </c>
      <c r="F57" s="61">
        <f t="shared" si="9"/>
        <v>3160</v>
      </c>
    </row>
    <row r="58" spans="1:6" ht="15.75" x14ac:dyDescent="0.25">
      <c r="A58" s="13">
        <f t="shared" si="2"/>
        <v>53</v>
      </c>
      <c r="B58" s="87" t="s">
        <v>2</v>
      </c>
      <c r="C58" s="62"/>
      <c r="D58" s="62"/>
      <c r="E58" s="62"/>
      <c r="F58" s="62"/>
    </row>
    <row r="59" spans="1:6" ht="31.5" x14ac:dyDescent="0.25">
      <c r="A59" s="13">
        <f t="shared" si="2"/>
        <v>54</v>
      </c>
      <c r="B59" s="12" t="s">
        <v>110</v>
      </c>
      <c r="C59" s="62">
        <f>+D59+F59</f>
        <v>399.4</v>
      </c>
      <c r="D59" s="62"/>
      <c r="E59" s="62"/>
      <c r="F59" s="62">
        <v>399.4</v>
      </c>
    </row>
    <row r="60" spans="1:6" ht="47.25" x14ac:dyDescent="0.25">
      <c r="A60" s="13">
        <f t="shared" si="2"/>
        <v>55</v>
      </c>
      <c r="B60" s="12" t="s">
        <v>161</v>
      </c>
      <c r="C60" s="62">
        <f t="shared" ref="C60:C61" si="10">+D60+F60</f>
        <v>2754</v>
      </c>
      <c r="D60" s="62">
        <f>150-6.6</f>
        <v>143.4</v>
      </c>
      <c r="E60" s="62">
        <f>6.5-6.5</f>
        <v>0</v>
      </c>
      <c r="F60" s="62">
        <f>267.5+615.8+343.6+30.3+208.6+1296+54.4-205.6</f>
        <v>2610.6</v>
      </c>
    </row>
    <row r="61" spans="1:6" ht="15.75" x14ac:dyDescent="0.25">
      <c r="A61" s="13">
        <f t="shared" si="2"/>
        <v>56</v>
      </c>
      <c r="B61" s="7" t="s">
        <v>53</v>
      </c>
      <c r="C61" s="62">
        <f t="shared" si="10"/>
        <v>175</v>
      </c>
      <c r="D61" s="62">
        <v>25</v>
      </c>
      <c r="E61" s="62"/>
      <c r="F61" s="62">
        <v>150</v>
      </c>
    </row>
    <row r="62" spans="1:6" ht="31.5" x14ac:dyDescent="0.25">
      <c r="A62" s="13">
        <f t="shared" si="2"/>
        <v>57</v>
      </c>
      <c r="B62" s="7" t="s">
        <v>203</v>
      </c>
      <c r="C62" s="61">
        <f>SUM(C64:C65)</f>
        <v>9307</v>
      </c>
      <c r="D62" s="61">
        <f>SUM(D64:D65)</f>
        <v>4316.7</v>
      </c>
      <c r="E62" s="61">
        <f>SUM(E64:E65)</f>
        <v>7.9</v>
      </c>
      <c r="F62" s="61">
        <f>SUM(F64:F65)</f>
        <v>4990.3</v>
      </c>
    </row>
    <row r="63" spans="1:6" ht="15.75" x14ac:dyDescent="0.25">
      <c r="A63" s="13">
        <f t="shared" si="2"/>
        <v>58</v>
      </c>
      <c r="B63" s="87" t="s">
        <v>2</v>
      </c>
      <c r="C63" s="61"/>
      <c r="D63" s="61"/>
      <c r="E63" s="61"/>
      <c r="F63" s="61"/>
    </row>
    <row r="64" spans="1:6" ht="31.5" x14ac:dyDescent="0.25">
      <c r="A64" s="13">
        <f t="shared" si="2"/>
        <v>59</v>
      </c>
      <c r="B64" s="7" t="s">
        <v>154</v>
      </c>
      <c r="C64" s="62">
        <f>+D64+F64</f>
        <v>3477</v>
      </c>
      <c r="D64" s="62">
        <v>52.2</v>
      </c>
      <c r="E64" s="62">
        <f>4.9+3</f>
        <v>7.9</v>
      </c>
      <c r="F64" s="62">
        <v>3424.8</v>
      </c>
    </row>
    <row r="65" spans="1:6" ht="47.25" x14ac:dyDescent="0.25">
      <c r="A65" s="13">
        <f t="shared" si="2"/>
        <v>60</v>
      </c>
      <c r="B65" s="7" t="s">
        <v>160</v>
      </c>
      <c r="C65" s="62">
        <f t="shared" ref="C65" si="11">+D65+F65</f>
        <v>5830</v>
      </c>
      <c r="D65" s="62">
        <v>4264.5</v>
      </c>
      <c r="E65" s="62"/>
      <c r="F65" s="62">
        <f>1482.2+83.3</f>
        <v>1565.5</v>
      </c>
    </row>
    <row r="66" spans="1:6" ht="31.5" x14ac:dyDescent="0.25">
      <c r="A66" s="13">
        <f t="shared" si="2"/>
        <v>61</v>
      </c>
      <c r="B66" s="7" t="s">
        <v>237</v>
      </c>
      <c r="C66" s="61">
        <f>+C68+C69</f>
        <v>2895.4</v>
      </c>
      <c r="D66" s="61">
        <f t="shared" ref="D66:F66" si="12">+D68+D69</f>
        <v>15.3</v>
      </c>
      <c r="E66" s="61">
        <f t="shared" si="12"/>
        <v>14.7</v>
      </c>
      <c r="F66" s="61">
        <f t="shared" si="12"/>
        <v>2880.1</v>
      </c>
    </row>
    <row r="67" spans="1:6" ht="15.75" x14ac:dyDescent="0.25">
      <c r="A67" s="13">
        <f t="shared" si="2"/>
        <v>62</v>
      </c>
      <c r="B67" s="87" t="s">
        <v>2</v>
      </c>
      <c r="C67" s="61"/>
      <c r="D67" s="61"/>
      <c r="E67" s="61"/>
      <c r="F67" s="61"/>
    </row>
    <row r="68" spans="1:6" ht="47.25" x14ac:dyDescent="0.25">
      <c r="A68" s="13">
        <f t="shared" si="2"/>
        <v>63</v>
      </c>
      <c r="B68" s="7" t="s">
        <v>54</v>
      </c>
      <c r="C68" s="62">
        <f>+D68+F68</f>
        <v>869.3</v>
      </c>
      <c r="D68" s="62">
        <v>5.5</v>
      </c>
      <c r="E68" s="62">
        <v>5.3</v>
      </c>
      <c r="F68" s="62">
        <v>863.8</v>
      </c>
    </row>
    <row r="69" spans="1:6" ht="63" x14ac:dyDescent="0.25">
      <c r="A69" s="13">
        <f t="shared" si="2"/>
        <v>64</v>
      </c>
      <c r="B69" s="7" t="s">
        <v>238</v>
      </c>
      <c r="C69" s="62">
        <f>+D69+F69</f>
        <v>2026.1</v>
      </c>
      <c r="D69" s="62">
        <f>9+0.8</f>
        <v>9.8000000000000007</v>
      </c>
      <c r="E69" s="62">
        <f>8.6+0.8</f>
        <v>9.4</v>
      </c>
      <c r="F69" s="62">
        <f>959.5+84.6+370.8+32.7+522.6+46.1</f>
        <v>2016.3</v>
      </c>
    </row>
    <row r="70" spans="1:6" ht="15.75" x14ac:dyDescent="0.25">
      <c r="A70" s="13">
        <f t="shared" si="2"/>
        <v>65</v>
      </c>
      <c r="B70" s="8" t="s">
        <v>133</v>
      </c>
      <c r="C70" s="61">
        <f>SUM(C72:C73)</f>
        <v>2320.5</v>
      </c>
      <c r="D70" s="61">
        <f>SUM(D72:D73)</f>
        <v>1005.6</v>
      </c>
      <c r="E70" s="61">
        <f>SUM(E72:E73)</f>
        <v>7.2</v>
      </c>
      <c r="F70" s="61">
        <f>SUM(F72:F73)</f>
        <v>1314.9</v>
      </c>
    </row>
    <row r="71" spans="1:6" ht="15.75" x14ac:dyDescent="0.25">
      <c r="A71" s="13">
        <f t="shared" si="2"/>
        <v>66</v>
      </c>
      <c r="B71" s="87" t="s">
        <v>2</v>
      </c>
      <c r="C71" s="61"/>
      <c r="D71" s="61"/>
      <c r="E71" s="61"/>
      <c r="F71" s="61"/>
    </row>
    <row r="72" spans="1:6" ht="31.5" x14ac:dyDescent="0.25">
      <c r="A72" s="13">
        <f t="shared" ref="A72:A135" si="13">+A71+1</f>
        <v>67</v>
      </c>
      <c r="B72" s="7" t="s">
        <v>132</v>
      </c>
      <c r="C72" s="62">
        <f>+D72+F72</f>
        <v>554.5</v>
      </c>
      <c r="D72" s="62">
        <f>419.1-44.7</f>
        <v>374.4</v>
      </c>
      <c r="E72" s="62">
        <v>7.2</v>
      </c>
      <c r="F72" s="62">
        <f>96.7+44.7+38.7</f>
        <v>180.1</v>
      </c>
    </row>
    <row r="73" spans="1:6" ht="47.25" x14ac:dyDescent="0.25">
      <c r="A73" s="13">
        <f t="shared" si="13"/>
        <v>68</v>
      </c>
      <c r="B73" s="7" t="s">
        <v>159</v>
      </c>
      <c r="C73" s="62">
        <f t="shared" ref="C73" si="14">+D73+F73</f>
        <v>1766</v>
      </c>
      <c r="D73" s="62">
        <f>8.9+773.9-151.6</f>
        <v>631.20000000000005</v>
      </c>
      <c r="E73" s="62">
        <f>8.6+4.5-13.1</f>
        <v>0</v>
      </c>
      <c r="F73" s="62">
        <v>1134.8</v>
      </c>
    </row>
    <row r="74" spans="1:6" ht="15.75" x14ac:dyDescent="0.25">
      <c r="A74" s="13">
        <f t="shared" si="13"/>
        <v>69</v>
      </c>
      <c r="B74" s="8" t="s">
        <v>55</v>
      </c>
      <c r="C74" s="61">
        <f>SUM(C76:C78)</f>
        <v>5047.6000000000004</v>
      </c>
      <c r="D74" s="61">
        <f>SUM(D76:D78)</f>
        <v>347.1</v>
      </c>
      <c r="E74" s="61">
        <f>SUM(E76:E78)</f>
        <v>2.1</v>
      </c>
      <c r="F74" s="61">
        <f>SUM(F76:F78)</f>
        <v>4700.5</v>
      </c>
    </row>
    <row r="75" spans="1:6" ht="15.75" x14ac:dyDescent="0.25">
      <c r="A75" s="13">
        <f t="shared" si="13"/>
        <v>70</v>
      </c>
      <c r="B75" s="87" t="s">
        <v>2</v>
      </c>
      <c r="C75" s="61"/>
      <c r="D75" s="61"/>
      <c r="E75" s="61"/>
      <c r="F75" s="61"/>
    </row>
    <row r="76" spans="1:6" ht="31.5" x14ac:dyDescent="0.25">
      <c r="A76" s="13">
        <f t="shared" si="13"/>
        <v>71</v>
      </c>
      <c r="B76" s="7" t="s">
        <v>56</v>
      </c>
      <c r="C76" s="62">
        <f>+D76+F76</f>
        <v>966.4</v>
      </c>
      <c r="D76" s="62">
        <f>13.6+218.6</f>
        <v>232.2</v>
      </c>
      <c r="E76" s="62">
        <v>1.5</v>
      </c>
      <c r="F76" s="62">
        <f>539.1-218.6+237.1+176.6</f>
        <v>734.2</v>
      </c>
    </row>
    <row r="77" spans="1:6" ht="31.5" x14ac:dyDescent="0.25">
      <c r="A77" s="13">
        <f t="shared" si="13"/>
        <v>72</v>
      </c>
      <c r="B77" s="7" t="s">
        <v>204</v>
      </c>
      <c r="C77" s="62">
        <f t="shared" ref="C77:C78" si="15">+D77+F77</f>
        <v>2900</v>
      </c>
      <c r="D77" s="62"/>
      <c r="E77" s="62"/>
      <c r="F77" s="62">
        <v>2900</v>
      </c>
    </row>
    <row r="78" spans="1:6" ht="47.25" x14ac:dyDescent="0.25">
      <c r="A78" s="13">
        <f t="shared" si="13"/>
        <v>73</v>
      </c>
      <c r="B78" s="7" t="s">
        <v>157</v>
      </c>
      <c r="C78" s="62">
        <f t="shared" si="15"/>
        <v>1181.2</v>
      </c>
      <c r="D78" s="62">
        <f>103.4+9.1+9.6-7.2</f>
        <v>114.9</v>
      </c>
      <c r="E78" s="62">
        <f>3.7+0.3+3.6-7</f>
        <v>0.6</v>
      </c>
      <c r="F78" s="62">
        <f>518.2+45.7+90+417.1-4.7</f>
        <v>1066.3</v>
      </c>
    </row>
    <row r="79" spans="1:6" ht="15.75" x14ac:dyDescent="0.25">
      <c r="A79" s="13">
        <f t="shared" si="13"/>
        <v>74</v>
      </c>
      <c r="B79" s="11" t="s">
        <v>57</v>
      </c>
      <c r="C79" s="61">
        <f>SUM(C81:C82)</f>
        <v>1428.6</v>
      </c>
      <c r="D79" s="61">
        <f t="shared" ref="D79:F79" si="16">SUM(D81:D82)</f>
        <v>0</v>
      </c>
      <c r="E79" s="61">
        <f t="shared" si="16"/>
        <v>0</v>
      </c>
      <c r="F79" s="61">
        <f t="shared" si="16"/>
        <v>1428.6</v>
      </c>
    </row>
    <row r="80" spans="1:6" ht="15.75" x14ac:dyDescent="0.25">
      <c r="A80" s="13">
        <f t="shared" si="13"/>
        <v>75</v>
      </c>
      <c r="B80" s="87" t="s">
        <v>2</v>
      </c>
      <c r="C80" s="61"/>
      <c r="D80" s="61"/>
      <c r="E80" s="61"/>
      <c r="F80" s="61"/>
    </row>
    <row r="81" spans="1:6" ht="31.5" x14ac:dyDescent="0.25">
      <c r="A81" s="13">
        <f t="shared" si="13"/>
        <v>76</v>
      </c>
      <c r="B81" s="12" t="s">
        <v>58</v>
      </c>
      <c r="C81" s="62">
        <f>+D81+F81</f>
        <v>793.9</v>
      </c>
      <c r="D81" s="62"/>
      <c r="E81" s="62"/>
      <c r="F81" s="62">
        <v>793.9</v>
      </c>
    </row>
    <row r="82" spans="1:6" ht="47.25" x14ac:dyDescent="0.25">
      <c r="A82" s="13">
        <f t="shared" si="13"/>
        <v>77</v>
      </c>
      <c r="B82" s="12" t="s">
        <v>158</v>
      </c>
      <c r="C82" s="62">
        <f t="shared" ref="C82" si="17">+D82+F82</f>
        <v>634.70000000000005</v>
      </c>
      <c r="D82" s="62"/>
      <c r="E82" s="62"/>
      <c r="F82" s="62">
        <f>51.5+583.2</f>
        <v>634.70000000000005</v>
      </c>
    </row>
    <row r="83" spans="1:6" ht="15.75" x14ac:dyDescent="0.25">
      <c r="A83" s="13">
        <f t="shared" si="13"/>
        <v>78</v>
      </c>
      <c r="B83" s="11" t="s">
        <v>137</v>
      </c>
      <c r="C83" s="61">
        <f>SUM(C85:C86)</f>
        <v>2801</v>
      </c>
      <c r="D83" s="61">
        <f t="shared" ref="D83:F83" si="18">SUM(D85:D86)</f>
        <v>89.8</v>
      </c>
      <c r="E83" s="61">
        <f t="shared" si="18"/>
        <v>1.4</v>
      </c>
      <c r="F83" s="61">
        <f t="shared" si="18"/>
        <v>2711.2</v>
      </c>
    </row>
    <row r="84" spans="1:6" ht="15.75" x14ac:dyDescent="0.25">
      <c r="A84" s="13">
        <f t="shared" si="13"/>
        <v>79</v>
      </c>
      <c r="B84" s="87" t="s">
        <v>2</v>
      </c>
      <c r="C84" s="62"/>
      <c r="D84" s="62"/>
      <c r="E84" s="62"/>
      <c r="F84" s="62"/>
    </row>
    <row r="85" spans="1:6" ht="31.5" x14ac:dyDescent="0.25">
      <c r="A85" s="13">
        <f t="shared" si="13"/>
        <v>80</v>
      </c>
      <c r="B85" s="12" t="s">
        <v>59</v>
      </c>
      <c r="C85" s="62">
        <f>+D85+F85</f>
        <v>646.6</v>
      </c>
      <c r="D85" s="62">
        <v>87.9</v>
      </c>
      <c r="E85" s="62">
        <v>0.6</v>
      </c>
      <c r="F85" s="62">
        <v>558.70000000000005</v>
      </c>
    </row>
    <row r="86" spans="1:6" ht="47.25" x14ac:dyDescent="0.25">
      <c r="A86" s="13">
        <f t="shared" si="13"/>
        <v>81</v>
      </c>
      <c r="B86" s="12" t="s">
        <v>156</v>
      </c>
      <c r="C86" s="62">
        <f>+D86+F86</f>
        <v>2154.4</v>
      </c>
      <c r="D86" s="62">
        <f>4-2-0.1</f>
        <v>1.9</v>
      </c>
      <c r="E86" s="62">
        <f>2.8-2</f>
        <v>0.8</v>
      </c>
      <c r="F86" s="62">
        <f>119.6+226.1+1894.9-88.2+0.1</f>
        <v>2152.5</v>
      </c>
    </row>
    <row r="87" spans="1:6" ht="31.5" x14ac:dyDescent="0.25">
      <c r="A87" s="13">
        <f t="shared" si="13"/>
        <v>82</v>
      </c>
      <c r="B87" s="11" t="s">
        <v>205</v>
      </c>
      <c r="C87" s="61">
        <f>+D87+F87</f>
        <v>613.9</v>
      </c>
      <c r="D87" s="61"/>
      <c r="E87" s="61"/>
      <c r="F87" s="61">
        <v>613.9</v>
      </c>
    </row>
    <row r="88" spans="1:6" ht="15.75" x14ac:dyDescent="0.25">
      <c r="A88" s="13">
        <f t="shared" si="13"/>
        <v>83</v>
      </c>
      <c r="B88" s="8" t="s">
        <v>60</v>
      </c>
      <c r="C88" s="61">
        <f>+C89</f>
        <v>390.9</v>
      </c>
      <c r="D88" s="61">
        <f t="shared" ref="D88:F88" si="19">+D89</f>
        <v>267.89999999999998</v>
      </c>
      <c r="E88" s="61">
        <f t="shared" si="19"/>
        <v>0</v>
      </c>
      <c r="F88" s="61">
        <f t="shared" si="19"/>
        <v>123</v>
      </c>
    </row>
    <row r="89" spans="1:6" ht="31.5" x14ac:dyDescent="0.25">
      <c r="A89" s="13">
        <f t="shared" si="13"/>
        <v>84</v>
      </c>
      <c r="B89" s="7" t="s">
        <v>241</v>
      </c>
      <c r="C89" s="61">
        <f>+D89+F89</f>
        <v>390.9</v>
      </c>
      <c r="D89" s="61">
        <v>267.89999999999998</v>
      </c>
      <c r="E89" s="61"/>
      <c r="F89" s="61">
        <v>123</v>
      </c>
    </row>
    <row r="90" spans="1:6" ht="15.75" x14ac:dyDescent="0.25">
      <c r="A90" s="13">
        <f t="shared" si="13"/>
        <v>85</v>
      </c>
      <c r="B90" s="8" t="s">
        <v>4</v>
      </c>
      <c r="C90" s="61">
        <f>+C91+C96+C97+C101+C102+C107+C108+C109</f>
        <v>26322.1</v>
      </c>
      <c r="D90" s="61">
        <f t="shared" ref="D90:F90" si="20">+D91+D96+D97+D101+D102+D107+D108+D109</f>
        <v>21520.3</v>
      </c>
      <c r="E90" s="61">
        <f t="shared" si="20"/>
        <v>564</v>
      </c>
      <c r="F90" s="61">
        <f t="shared" si="20"/>
        <v>4801.8</v>
      </c>
    </row>
    <row r="91" spans="1:6" ht="15.75" x14ac:dyDescent="0.25">
      <c r="A91" s="13">
        <f t="shared" si="13"/>
        <v>86</v>
      </c>
      <c r="B91" s="11" t="s">
        <v>61</v>
      </c>
      <c r="C91" s="61">
        <f>SUM(C93:C95)</f>
        <v>5110.3999999999996</v>
      </c>
      <c r="D91" s="61">
        <f t="shared" ref="D91:F91" si="21">SUM(D93:D95)</f>
        <v>5060.3999999999996</v>
      </c>
      <c r="E91" s="61">
        <f t="shared" si="21"/>
        <v>0</v>
      </c>
      <c r="F91" s="61">
        <f t="shared" si="21"/>
        <v>50</v>
      </c>
    </row>
    <row r="92" spans="1:6" ht="15.75" x14ac:dyDescent="0.25">
      <c r="A92" s="13">
        <f t="shared" si="13"/>
        <v>87</v>
      </c>
      <c r="B92" s="87" t="s">
        <v>2</v>
      </c>
      <c r="C92" s="62"/>
      <c r="D92" s="62"/>
      <c r="E92" s="62"/>
      <c r="F92" s="62"/>
    </row>
    <row r="93" spans="1:6" ht="31.5" x14ac:dyDescent="0.25">
      <c r="A93" s="13">
        <f t="shared" si="13"/>
        <v>88</v>
      </c>
      <c r="B93" s="12" t="s">
        <v>52</v>
      </c>
      <c r="C93" s="62">
        <f>+D93+F93</f>
        <v>4860</v>
      </c>
      <c r="D93" s="62">
        <v>4860</v>
      </c>
      <c r="E93" s="62"/>
      <c r="F93" s="62"/>
    </row>
    <row r="94" spans="1:6" ht="63" x14ac:dyDescent="0.25">
      <c r="A94" s="13">
        <f t="shared" si="13"/>
        <v>89</v>
      </c>
      <c r="B94" s="12" t="s">
        <v>271</v>
      </c>
      <c r="C94" s="62">
        <f t="shared" ref="C94:C95" si="22">+D94+F94</f>
        <v>5.4</v>
      </c>
      <c r="D94" s="62">
        <v>5.4</v>
      </c>
      <c r="E94" s="62"/>
      <c r="F94" s="62"/>
    </row>
    <row r="95" spans="1:6" ht="15.75" x14ac:dyDescent="0.25">
      <c r="A95" s="13">
        <f t="shared" si="13"/>
        <v>90</v>
      </c>
      <c r="B95" s="7" t="s">
        <v>53</v>
      </c>
      <c r="C95" s="62">
        <f t="shared" si="22"/>
        <v>245</v>
      </c>
      <c r="D95" s="62">
        <v>195</v>
      </c>
      <c r="E95" s="62"/>
      <c r="F95" s="62">
        <v>50</v>
      </c>
    </row>
    <row r="96" spans="1:6" ht="31.5" x14ac:dyDescent="0.25">
      <c r="A96" s="13">
        <f t="shared" si="13"/>
        <v>91</v>
      </c>
      <c r="B96" s="8" t="s">
        <v>209</v>
      </c>
      <c r="C96" s="61">
        <f>+D96+F96</f>
        <v>6151.1</v>
      </c>
      <c r="D96" s="61">
        <f>5695.5+188.7</f>
        <v>5884.2</v>
      </c>
      <c r="E96" s="61"/>
      <c r="F96" s="61">
        <f>455.6-188.7</f>
        <v>266.89999999999998</v>
      </c>
    </row>
    <row r="97" spans="1:6" ht="31.5" x14ac:dyDescent="0.25">
      <c r="A97" s="13">
        <f t="shared" si="13"/>
        <v>92</v>
      </c>
      <c r="B97" s="8" t="s">
        <v>62</v>
      </c>
      <c r="C97" s="61">
        <f>SUM(C99:C100)</f>
        <v>8954.6</v>
      </c>
      <c r="D97" s="61">
        <f t="shared" ref="D97:F97" si="23">SUM(D99:D100)</f>
        <v>6321</v>
      </c>
      <c r="E97" s="61">
        <f t="shared" si="23"/>
        <v>564</v>
      </c>
      <c r="F97" s="61">
        <f t="shared" si="23"/>
        <v>2633.6</v>
      </c>
    </row>
    <row r="98" spans="1:6" ht="15.75" x14ac:dyDescent="0.25">
      <c r="A98" s="13">
        <f t="shared" si="13"/>
        <v>93</v>
      </c>
      <c r="B98" s="87" t="s">
        <v>2</v>
      </c>
      <c r="C98" s="61"/>
      <c r="D98" s="61"/>
      <c r="E98" s="61"/>
      <c r="F98" s="61"/>
    </row>
    <row r="99" spans="1:6" ht="47.25" x14ac:dyDescent="0.25">
      <c r="A99" s="13">
        <f t="shared" si="13"/>
        <v>94</v>
      </c>
      <c r="B99" s="12" t="s">
        <v>54</v>
      </c>
      <c r="C99" s="62">
        <f t="shared" ref="C99:C101" si="24">+D99+F99</f>
        <v>8919.9</v>
      </c>
      <c r="D99" s="62">
        <v>6286.3</v>
      </c>
      <c r="E99" s="62">
        <v>543.29999999999995</v>
      </c>
      <c r="F99" s="62">
        <v>2633.6</v>
      </c>
    </row>
    <row r="100" spans="1:6" ht="47.25" x14ac:dyDescent="0.25">
      <c r="A100" s="13">
        <f t="shared" si="13"/>
        <v>95</v>
      </c>
      <c r="B100" s="7" t="s">
        <v>63</v>
      </c>
      <c r="C100" s="62">
        <f t="shared" si="24"/>
        <v>34.700000000000003</v>
      </c>
      <c r="D100" s="62">
        <v>34.700000000000003</v>
      </c>
      <c r="E100" s="62">
        <v>20.7</v>
      </c>
      <c r="F100" s="62"/>
    </row>
    <row r="101" spans="1:6" ht="31.5" x14ac:dyDescent="0.25">
      <c r="A101" s="13">
        <f t="shared" si="13"/>
        <v>96</v>
      </c>
      <c r="B101" s="8" t="s">
        <v>208</v>
      </c>
      <c r="C101" s="61">
        <f t="shared" si="24"/>
        <v>202.8</v>
      </c>
      <c r="D101" s="61">
        <f>229.7-50-21.9</f>
        <v>157.80000000000001</v>
      </c>
      <c r="E101" s="61"/>
      <c r="F101" s="61">
        <v>45</v>
      </c>
    </row>
    <row r="102" spans="1:6" ht="15.75" x14ac:dyDescent="0.25">
      <c r="A102" s="13">
        <f t="shared" si="13"/>
        <v>97</v>
      </c>
      <c r="B102" s="8" t="s">
        <v>55</v>
      </c>
      <c r="C102" s="61">
        <f>SUM(C104:C106)</f>
        <v>5317</v>
      </c>
      <c r="D102" s="61">
        <f t="shared" ref="D102:F102" si="25">SUM(D104:D106)</f>
        <v>3715</v>
      </c>
      <c r="E102" s="61">
        <f t="shared" si="25"/>
        <v>0</v>
      </c>
      <c r="F102" s="61">
        <f t="shared" si="25"/>
        <v>1602</v>
      </c>
    </row>
    <row r="103" spans="1:6" ht="15.75" x14ac:dyDescent="0.25">
      <c r="A103" s="13">
        <f t="shared" si="13"/>
        <v>98</v>
      </c>
      <c r="B103" s="87" t="s">
        <v>2</v>
      </c>
      <c r="C103" s="61"/>
      <c r="D103" s="62"/>
      <c r="E103" s="62"/>
      <c r="F103" s="62"/>
    </row>
    <row r="104" spans="1:6" ht="31.5" x14ac:dyDescent="0.25">
      <c r="A104" s="13">
        <f t="shared" si="13"/>
        <v>99</v>
      </c>
      <c r="B104" s="7" t="s">
        <v>56</v>
      </c>
      <c r="C104" s="62">
        <f t="shared" ref="C104:C109" si="26">+D104+F104</f>
        <v>5166.6000000000004</v>
      </c>
      <c r="D104" s="62">
        <f>4129.1-421.5</f>
        <v>3707.6</v>
      </c>
      <c r="E104" s="62"/>
      <c r="F104" s="62">
        <v>1459</v>
      </c>
    </row>
    <row r="105" spans="1:6" ht="47.25" x14ac:dyDescent="0.25">
      <c r="A105" s="13">
        <f t="shared" si="13"/>
        <v>100</v>
      </c>
      <c r="B105" s="7" t="s">
        <v>242</v>
      </c>
      <c r="C105" s="62">
        <f t="shared" si="26"/>
        <v>143</v>
      </c>
      <c r="D105" s="62"/>
      <c r="E105" s="62"/>
      <c r="F105" s="62">
        <v>143</v>
      </c>
    </row>
    <row r="106" spans="1:6" ht="47.25" x14ac:dyDescent="0.25">
      <c r="A106" s="13">
        <f t="shared" si="13"/>
        <v>101</v>
      </c>
      <c r="B106" s="99" t="s">
        <v>64</v>
      </c>
      <c r="C106" s="62">
        <f t="shared" si="26"/>
        <v>7.4</v>
      </c>
      <c r="D106" s="62">
        <v>7.4</v>
      </c>
      <c r="E106" s="62"/>
      <c r="F106" s="62"/>
    </row>
    <row r="107" spans="1:6" ht="31.5" x14ac:dyDescent="0.25">
      <c r="A107" s="13">
        <f t="shared" si="13"/>
        <v>102</v>
      </c>
      <c r="B107" s="11" t="s">
        <v>207</v>
      </c>
      <c r="C107" s="61">
        <f t="shared" si="26"/>
        <v>218.7</v>
      </c>
      <c r="D107" s="61">
        <f>247.4-28.7</f>
        <v>218.7</v>
      </c>
      <c r="E107" s="61"/>
      <c r="F107" s="61"/>
    </row>
    <row r="108" spans="1:6" ht="31.5" x14ac:dyDescent="0.25">
      <c r="A108" s="13">
        <f t="shared" si="13"/>
        <v>103</v>
      </c>
      <c r="B108" s="8" t="s">
        <v>206</v>
      </c>
      <c r="C108" s="61">
        <f t="shared" si="26"/>
        <v>183.6</v>
      </c>
      <c r="D108" s="61">
        <f>177.2-17</f>
        <v>160.19999999999999</v>
      </c>
      <c r="E108" s="61"/>
      <c r="F108" s="61">
        <v>23.4</v>
      </c>
    </row>
    <row r="109" spans="1:6" ht="31.5" x14ac:dyDescent="0.25">
      <c r="A109" s="13">
        <f t="shared" si="13"/>
        <v>104</v>
      </c>
      <c r="B109" s="8" t="s">
        <v>200</v>
      </c>
      <c r="C109" s="61">
        <f t="shared" si="26"/>
        <v>183.9</v>
      </c>
      <c r="D109" s="61">
        <v>3</v>
      </c>
      <c r="E109" s="61"/>
      <c r="F109" s="61">
        <v>180.9</v>
      </c>
    </row>
    <row r="110" spans="1:6" ht="15.75" x14ac:dyDescent="0.25">
      <c r="A110" s="13">
        <f t="shared" si="13"/>
        <v>105</v>
      </c>
      <c r="B110" s="8" t="s">
        <v>5</v>
      </c>
      <c r="C110" s="61">
        <f>+C111+C115+C124</f>
        <v>94035.9</v>
      </c>
      <c r="D110" s="61">
        <f>+D111+D115+D124</f>
        <v>93366.9</v>
      </c>
      <c r="E110" s="61">
        <f>+E111+E115+E124</f>
        <v>74499.7</v>
      </c>
      <c r="F110" s="61">
        <f>+F111+F115+F124</f>
        <v>669</v>
      </c>
    </row>
    <row r="111" spans="1:6" ht="15.75" x14ac:dyDescent="0.25">
      <c r="A111" s="13">
        <f t="shared" si="13"/>
        <v>106</v>
      </c>
      <c r="B111" s="8" t="s">
        <v>133</v>
      </c>
      <c r="C111" s="61">
        <f>SUM(C113:C114)</f>
        <v>7421.3</v>
      </c>
      <c r="D111" s="61">
        <f t="shared" ref="D111:F111" si="27">SUM(D113:D114)</f>
        <v>7252.2</v>
      </c>
      <c r="E111" s="61">
        <f t="shared" si="27"/>
        <v>3294.2</v>
      </c>
      <c r="F111" s="61">
        <f t="shared" si="27"/>
        <v>169.1</v>
      </c>
    </row>
    <row r="112" spans="1:6" ht="15.75" x14ac:dyDescent="0.25">
      <c r="A112" s="13">
        <f t="shared" si="13"/>
        <v>107</v>
      </c>
      <c r="B112" s="87" t="s">
        <v>2</v>
      </c>
      <c r="C112" s="61"/>
      <c r="D112" s="62"/>
      <c r="E112" s="62"/>
      <c r="F112" s="62"/>
    </row>
    <row r="113" spans="1:6" ht="31.5" x14ac:dyDescent="0.25">
      <c r="A113" s="13">
        <f t="shared" si="13"/>
        <v>108</v>
      </c>
      <c r="B113" s="7" t="s">
        <v>132</v>
      </c>
      <c r="C113" s="62">
        <f>+D113+F113</f>
        <v>6992.3</v>
      </c>
      <c r="D113" s="62">
        <f>6783+50</f>
        <v>6833</v>
      </c>
      <c r="E113" s="62">
        <v>3276.3</v>
      </c>
      <c r="F113" s="62">
        <v>159.30000000000001</v>
      </c>
    </row>
    <row r="114" spans="1:6" ht="31.5" x14ac:dyDescent="0.25">
      <c r="A114" s="13">
        <f t="shared" si="13"/>
        <v>109</v>
      </c>
      <c r="B114" s="7" t="s">
        <v>134</v>
      </c>
      <c r="C114" s="62">
        <f>+D114+F114</f>
        <v>429</v>
      </c>
      <c r="D114" s="62">
        <v>419.2</v>
      </c>
      <c r="E114" s="62">
        <v>17.899999999999999</v>
      </c>
      <c r="F114" s="62">
        <v>9.8000000000000007</v>
      </c>
    </row>
    <row r="115" spans="1:6" ht="15.75" x14ac:dyDescent="0.25">
      <c r="A115" s="13">
        <f t="shared" si="13"/>
        <v>110</v>
      </c>
      <c r="B115" s="8" t="s">
        <v>65</v>
      </c>
      <c r="C115" s="61">
        <f>SUM(C117:C123)</f>
        <v>78611.399999999994</v>
      </c>
      <c r="D115" s="61">
        <f t="shared" ref="D115:F115" si="28">SUM(D117:D123)</f>
        <v>78294.100000000006</v>
      </c>
      <c r="E115" s="61">
        <f t="shared" si="28"/>
        <v>67353</v>
      </c>
      <c r="F115" s="61">
        <f t="shared" si="28"/>
        <v>317.3</v>
      </c>
    </row>
    <row r="116" spans="1:6" ht="15.75" x14ac:dyDescent="0.25">
      <c r="A116" s="13">
        <f t="shared" si="13"/>
        <v>111</v>
      </c>
      <c r="B116" s="87" t="s">
        <v>2</v>
      </c>
      <c r="C116" s="61"/>
      <c r="D116" s="61"/>
      <c r="E116" s="61"/>
      <c r="F116" s="61"/>
    </row>
    <row r="117" spans="1:6" ht="31.5" x14ac:dyDescent="0.25">
      <c r="A117" s="13">
        <f t="shared" si="13"/>
        <v>112</v>
      </c>
      <c r="B117" s="12" t="s">
        <v>66</v>
      </c>
      <c r="C117" s="62">
        <f t="shared" ref="C117:C123" si="29">+D117+F117</f>
        <v>32239.5</v>
      </c>
      <c r="D117" s="62">
        <f>32243-237.1+30</f>
        <v>32035.9</v>
      </c>
      <c r="E117" s="62">
        <f>27684.5-233.7-125.1</f>
        <v>27325.7</v>
      </c>
      <c r="F117" s="62">
        <v>203.6</v>
      </c>
    </row>
    <row r="118" spans="1:6" ht="31.5" x14ac:dyDescent="0.25">
      <c r="A118" s="13">
        <f t="shared" si="13"/>
        <v>113</v>
      </c>
      <c r="B118" s="7" t="s">
        <v>68</v>
      </c>
      <c r="C118" s="62">
        <f t="shared" si="29"/>
        <v>5544.9</v>
      </c>
      <c r="D118" s="62">
        <v>5495.5</v>
      </c>
      <c r="E118" s="62">
        <v>1684.1</v>
      </c>
      <c r="F118" s="62">
        <v>49.4</v>
      </c>
    </row>
    <row r="119" spans="1:6" ht="47.25" x14ac:dyDescent="0.25">
      <c r="A119" s="13">
        <f t="shared" si="13"/>
        <v>114</v>
      </c>
      <c r="B119" s="7" t="s">
        <v>189</v>
      </c>
      <c r="C119" s="62">
        <f t="shared" si="29"/>
        <v>39374.9</v>
      </c>
      <c r="D119" s="62">
        <v>39310.6</v>
      </c>
      <c r="E119" s="62">
        <v>37444.1</v>
      </c>
      <c r="F119" s="62">
        <v>64.3</v>
      </c>
    </row>
    <row r="120" spans="1:6" ht="31.5" x14ac:dyDescent="0.25">
      <c r="A120" s="13">
        <f t="shared" si="13"/>
        <v>115</v>
      </c>
      <c r="B120" s="7" t="s">
        <v>240</v>
      </c>
      <c r="C120" s="62">
        <f t="shared" si="29"/>
        <v>237.1</v>
      </c>
      <c r="D120" s="62">
        <v>237.1</v>
      </c>
      <c r="E120" s="62">
        <v>233.7</v>
      </c>
      <c r="F120" s="62"/>
    </row>
    <row r="121" spans="1:6" ht="47.25" x14ac:dyDescent="0.25">
      <c r="A121" s="13">
        <f t="shared" si="13"/>
        <v>116</v>
      </c>
      <c r="B121" s="7" t="s">
        <v>157</v>
      </c>
      <c r="C121" s="62">
        <f t="shared" si="29"/>
        <v>158.80000000000001</v>
      </c>
      <c r="D121" s="62">
        <v>158.80000000000001</v>
      </c>
      <c r="E121" s="62"/>
      <c r="F121" s="62"/>
    </row>
    <row r="122" spans="1:6" ht="47.25" x14ac:dyDescent="0.25">
      <c r="A122" s="13">
        <f t="shared" si="13"/>
        <v>117</v>
      </c>
      <c r="B122" s="99" t="s">
        <v>64</v>
      </c>
      <c r="C122" s="62">
        <f t="shared" si="29"/>
        <v>1054.7</v>
      </c>
      <c r="D122" s="62">
        <f>-4.5+470.2+596.4-7.4</f>
        <v>1054.7</v>
      </c>
      <c r="E122" s="62">
        <v>665.4</v>
      </c>
      <c r="F122" s="62"/>
    </row>
    <row r="123" spans="1:6" ht="63" x14ac:dyDescent="0.25">
      <c r="A123" s="13">
        <f t="shared" si="13"/>
        <v>118</v>
      </c>
      <c r="B123" s="99" t="s">
        <v>67</v>
      </c>
      <c r="C123" s="62">
        <f t="shared" si="29"/>
        <v>1.5</v>
      </c>
      <c r="D123" s="62">
        <v>1.5</v>
      </c>
      <c r="E123" s="62"/>
      <c r="F123" s="62"/>
    </row>
    <row r="124" spans="1:6" ht="15.75" x14ac:dyDescent="0.25">
      <c r="A124" s="13">
        <f t="shared" si="13"/>
        <v>119</v>
      </c>
      <c r="B124" s="11" t="s">
        <v>69</v>
      </c>
      <c r="C124" s="61">
        <f>SUM(C126:C127)</f>
        <v>8003.2</v>
      </c>
      <c r="D124" s="61">
        <f t="shared" ref="D124:F124" si="30">SUM(D126:D127)</f>
        <v>7820.6</v>
      </c>
      <c r="E124" s="61">
        <f t="shared" si="30"/>
        <v>3852.5</v>
      </c>
      <c r="F124" s="61">
        <f t="shared" si="30"/>
        <v>182.6</v>
      </c>
    </row>
    <row r="125" spans="1:6" ht="15.75" x14ac:dyDescent="0.25">
      <c r="A125" s="13">
        <f t="shared" si="13"/>
        <v>120</v>
      </c>
      <c r="B125" s="87" t="s">
        <v>2</v>
      </c>
      <c r="C125" s="62"/>
      <c r="D125" s="62"/>
      <c r="E125" s="62"/>
      <c r="F125" s="62"/>
    </row>
    <row r="126" spans="1:6" ht="31.5" x14ac:dyDescent="0.25">
      <c r="A126" s="13">
        <f t="shared" si="13"/>
        <v>121</v>
      </c>
      <c r="B126" s="12" t="s">
        <v>70</v>
      </c>
      <c r="C126" s="62">
        <f t="shared" ref="C126:C127" si="31">+D126+F126</f>
        <v>7652.9</v>
      </c>
      <c r="D126" s="62">
        <f>7502.7-30</f>
        <v>7472.7</v>
      </c>
      <c r="E126" s="62">
        <v>3852.5</v>
      </c>
      <c r="F126" s="62">
        <v>180.2</v>
      </c>
    </row>
    <row r="127" spans="1:6" ht="31.5" x14ac:dyDescent="0.25">
      <c r="A127" s="13">
        <f t="shared" si="13"/>
        <v>122</v>
      </c>
      <c r="B127" s="7" t="s">
        <v>71</v>
      </c>
      <c r="C127" s="62">
        <f t="shared" si="31"/>
        <v>350.3</v>
      </c>
      <c r="D127" s="62">
        <v>347.9</v>
      </c>
      <c r="E127" s="62"/>
      <c r="F127" s="62">
        <v>2.4</v>
      </c>
    </row>
    <row r="128" spans="1:6" ht="15.75" x14ac:dyDescent="0.25">
      <c r="A128" s="13">
        <f t="shared" si="13"/>
        <v>123</v>
      </c>
      <c r="B128" s="8" t="s">
        <v>6</v>
      </c>
      <c r="C128" s="61">
        <f>+C129+C143+C156</f>
        <v>19842.2</v>
      </c>
      <c r="D128" s="61">
        <f t="shared" ref="D128:F128" si="32">+D129+D143+D156</f>
        <v>19718</v>
      </c>
      <c r="E128" s="61">
        <f t="shared" si="32"/>
        <v>9244.2999999999993</v>
      </c>
      <c r="F128" s="61">
        <f t="shared" si="32"/>
        <v>124.2</v>
      </c>
    </row>
    <row r="129" spans="1:6" ht="15.75" x14ac:dyDescent="0.25">
      <c r="A129" s="13">
        <f t="shared" si="13"/>
        <v>124</v>
      </c>
      <c r="B129" s="8" t="s">
        <v>72</v>
      </c>
      <c r="C129" s="61">
        <f>SUM(C131:C136)</f>
        <v>17027.099999999999</v>
      </c>
      <c r="D129" s="61">
        <f t="shared" ref="D129:F129" si="33">SUM(D131:D136)</f>
        <v>16933.3</v>
      </c>
      <c r="E129" s="61">
        <f t="shared" si="33"/>
        <v>7219.9</v>
      </c>
      <c r="F129" s="61">
        <f t="shared" si="33"/>
        <v>93.8</v>
      </c>
    </row>
    <row r="130" spans="1:6" ht="15.75" x14ac:dyDescent="0.25">
      <c r="A130" s="13">
        <f t="shared" si="13"/>
        <v>125</v>
      </c>
      <c r="B130" s="87" t="s">
        <v>2</v>
      </c>
      <c r="C130" s="61"/>
      <c r="D130" s="61"/>
      <c r="E130" s="61"/>
      <c r="F130" s="61"/>
    </row>
    <row r="131" spans="1:6" ht="31.5" x14ac:dyDescent="0.25">
      <c r="A131" s="13">
        <f t="shared" si="13"/>
        <v>126</v>
      </c>
      <c r="B131" s="12" t="s">
        <v>59</v>
      </c>
      <c r="C131" s="62">
        <f>+D131+F131</f>
        <v>9842.7000000000007</v>
      </c>
      <c r="D131" s="62">
        <f>9793-4+1.8-16.5</f>
        <v>9774.2999999999993</v>
      </c>
      <c r="E131" s="62">
        <f>4486.7+3.5</f>
        <v>4490.2</v>
      </c>
      <c r="F131" s="62">
        <f>64.4+4</f>
        <v>68.400000000000006</v>
      </c>
    </row>
    <row r="132" spans="1:6" ht="31.5" x14ac:dyDescent="0.25">
      <c r="A132" s="13">
        <f t="shared" si="13"/>
        <v>127</v>
      </c>
      <c r="B132" s="99" t="s">
        <v>76</v>
      </c>
      <c r="C132" s="62">
        <f t="shared" ref="C132:C135" si="34">+D132+F132</f>
        <v>646.9</v>
      </c>
      <c r="D132" s="62">
        <v>644.5</v>
      </c>
      <c r="E132" s="62">
        <v>178.4</v>
      </c>
      <c r="F132" s="62">
        <v>2.4</v>
      </c>
    </row>
    <row r="133" spans="1:6" ht="47.25" x14ac:dyDescent="0.25">
      <c r="A133" s="13">
        <f t="shared" si="13"/>
        <v>128</v>
      </c>
      <c r="B133" s="7" t="s">
        <v>77</v>
      </c>
      <c r="C133" s="62">
        <f t="shared" si="34"/>
        <v>1096.3</v>
      </c>
      <c r="D133" s="62">
        <v>1073.3</v>
      </c>
      <c r="E133" s="62"/>
      <c r="F133" s="62">
        <v>23</v>
      </c>
    </row>
    <row r="134" spans="1:6" ht="47.25" x14ac:dyDescent="0.25">
      <c r="A134" s="13">
        <f t="shared" si="13"/>
        <v>129</v>
      </c>
      <c r="B134" s="99" t="s">
        <v>75</v>
      </c>
      <c r="C134" s="62">
        <f>+D134+F134</f>
        <v>118</v>
      </c>
      <c r="D134" s="62">
        <v>118</v>
      </c>
      <c r="E134" s="62">
        <v>61.6</v>
      </c>
      <c r="F134" s="62"/>
    </row>
    <row r="135" spans="1:6" ht="47.25" x14ac:dyDescent="0.25">
      <c r="A135" s="13">
        <f t="shared" si="13"/>
        <v>130</v>
      </c>
      <c r="B135" s="7" t="s">
        <v>156</v>
      </c>
      <c r="C135" s="62">
        <f t="shared" si="34"/>
        <v>744.3</v>
      </c>
      <c r="D135" s="62">
        <f>0.9+1.9+1.3+77.5+127.7+287.2+223.6+23.3+0.9</f>
        <v>744.3</v>
      </c>
      <c r="E135" s="62">
        <f>0.3+0.3+1.2+76.1+10.3+23.1+1.2</f>
        <v>112.5</v>
      </c>
      <c r="F135" s="62"/>
    </row>
    <row r="136" spans="1:6" ht="63" x14ac:dyDescent="0.25">
      <c r="A136" s="13">
        <f t="shared" ref="A136:A160" si="35">+A135+1</f>
        <v>131</v>
      </c>
      <c r="B136" s="99" t="s">
        <v>73</v>
      </c>
      <c r="C136" s="62">
        <f>SUM(C138:C142)</f>
        <v>4578.8999999999996</v>
      </c>
      <c r="D136" s="62">
        <f t="shared" ref="D136:F136" si="36">SUM(D138:D142)</f>
        <v>4578.8999999999996</v>
      </c>
      <c r="E136" s="62">
        <f t="shared" si="36"/>
        <v>2377.1999999999998</v>
      </c>
      <c r="F136" s="62">
        <f t="shared" si="36"/>
        <v>0</v>
      </c>
    </row>
    <row r="137" spans="1:6" ht="15.75" x14ac:dyDescent="0.25">
      <c r="A137" s="13">
        <f t="shared" si="35"/>
        <v>132</v>
      </c>
      <c r="B137" s="87" t="s">
        <v>2</v>
      </c>
      <c r="C137" s="62"/>
      <c r="D137" s="62"/>
      <c r="E137" s="62"/>
      <c r="F137" s="62"/>
    </row>
    <row r="138" spans="1:6" ht="15.75" x14ac:dyDescent="0.25">
      <c r="A138" s="13">
        <f t="shared" si="35"/>
        <v>133</v>
      </c>
      <c r="B138" s="7" t="s">
        <v>22</v>
      </c>
      <c r="C138" s="62">
        <f>+D138+F138</f>
        <v>3124.6</v>
      </c>
      <c r="D138" s="62">
        <f>3195.3-70.7</f>
        <v>3124.6</v>
      </c>
      <c r="E138" s="62">
        <f>1258.9+735.9+383.3-0.9</f>
        <v>2377.1999999999998</v>
      </c>
      <c r="F138" s="62"/>
    </row>
    <row r="139" spans="1:6" ht="31.5" x14ac:dyDescent="0.25">
      <c r="A139" s="13">
        <f t="shared" si="35"/>
        <v>134</v>
      </c>
      <c r="B139" s="7" t="s">
        <v>74</v>
      </c>
      <c r="C139" s="62">
        <f t="shared" ref="C139:C142" si="37">+D139+F139</f>
        <v>810.8</v>
      </c>
      <c r="D139" s="62">
        <f>835.1-24.3</f>
        <v>810.8</v>
      </c>
      <c r="E139" s="62"/>
      <c r="F139" s="62"/>
    </row>
    <row r="140" spans="1:6" ht="15.75" x14ac:dyDescent="0.25">
      <c r="A140" s="13">
        <f t="shared" si="35"/>
        <v>135</v>
      </c>
      <c r="B140" s="7" t="s">
        <v>24</v>
      </c>
      <c r="C140" s="62">
        <f t="shared" si="37"/>
        <v>380.3</v>
      </c>
      <c r="D140" s="62">
        <f>395.5-15.2</f>
        <v>380.3</v>
      </c>
      <c r="E140" s="62"/>
      <c r="F140" s="62"/>
    </row>
    <row r="141" spans="1:6" ht="31.5" x14ac:dyDescent="0.25">
      <c r="A141" s="13">
        <f t="shared" si="35"/>
        <v>136</v>
      </c>
      <c r="B141" s="7" t="s">
        <v>144</v>
      </c>
      <c r="C141" s="62">
        <f t="shared" si="37"/>
        <v>210.6</v>
      </c>
      <c r="D141" s="62">
        <f>219-8.4</f>
        <v>210.6</v>
      </c>
      <c r="E141" s="62"/>
      <c r="F141" s="62"/>
    </row>
    <row r="142" spans="1:6" ht="15.75" x14ac:dyDescent="0.25">
      <c r="A142" s="13">
        <f t="shared" si="35"/>
        <v>137</v>
      </c>
      <c r="B142" s="99" t="s">
        <v>146</v>
      </c>
      <c r="C142" s="62">
        <f t="shared" si="37"/>
        <v>52.6</v>
      </c>
      <c r="D142" s="62">
        <f>54.7-2.1</f>
        <v>52.6</v>
      </c>
      <c r="E142" s="62"/>
      <c r="F142" s="62"/>
    </row>
    <row r="143" spans="1:6" ht="15.75" x14ac:dyDescent="0.25">
      <c r="A143" s="13">
        <f t="shared" si="35"/>
        <v>138</v>
      </c>
      <c r="B143" s="8" t="s">
        <v>78</v>
      </c>
      <c r="C143" s="61">
        <f>SUM(C145:C150)</f>
        <v>2804.7</v>
      </c>
      <c r="D143" s="61">
        <f t="shared" ref="D143:F143" si="38">SUM(D145:D150)</f>
        <v>2774.3</v>
      </c>
      <c r="E143" s="61">
        <f t="shared" si="38"/>
        <v>2022.4</v>
      </c>
      <c r="F143" s="61">
        <f t="shared" si="38"/>
        <v>30.4</v>
      </c>
    </row>
    <row r="144" spans="1:6" ht="15.75" x14ac:dyDescent="0.25">
      <c r="A144" s="13">
        <f t="shared" si="35"/>
        <v>139</v>
      </c>
      <c r="B144" s="87" t="s">
        <v>2</v>
      </c>
      <c r="C144" s="62"/>
      <c r="D144" s="62"/>
      <c r="E144" s="62"/>
      <c r="F144" s="62"/>
    </row>
    <row r="145" spans="1:9" ht="31.5" x14ac:dyDescent="0.25">
      <c r="A145" s="13">
        <f t="shared" si="35"/>
        <v>140</v>
      </c>
      <c r="B145" s="7" t="s">
        <v>111</v>
      </c>
      <c r="C145" s="62">
        <f>+D145+F145</f>
        <v>1288.2</v>
      </c>
      <c r="D145" s="62">
        <v>1283.7</v>
      </c>
      <c r="E145" s="62">
        <v>1045.8</v>
      </c>
      <c r="F145" s="62">
        <v>4.5</v>
      </c>
    </row>
    <row r="146" spans="1:9" ht="31.5" x14ac:dyDescent="0.25">
      <c r="A146" s="13">
        <f t="shared" si="35"/>
        <v>141</v>
      </c>
      <c r="B146" s="7" t="s">
        <v>112</v>
      </c>
      <c r="C146" s="62">
        <f t="shared" ref="C146:C156" si="39">+D146+F146</f>
        <v>22.5</v>
      </c>
      <c r="D146" s="62">
        <v>22.5</v>
      </c>
      <c r="E146" s="62">
        <v>17.8</v>
      </c>
      <c r="F146" s="62"/>
    </row>
    <row r="147" spans="1:9" ht="47.25" x14ac:dyDescent="0.25">
      <c r="A147" s="13">
        <f t="shared" si="35"/>
        <v>142</v>
      </c>
      <c r="B147" s="7" t="s">
        <v>155</v>
      </c>
      <c r="C147" s="62">
        <f t="shared" si="39"/>
        <v>288.3</v>
      </c>
      <c r="D147" s="62">
        <f>239.1+23.3</f>
        <v>262.39999999999998</v>
      </c>
      <c r="E147" s="62">
        <f>29.4+2.5</f>
        <v>31.9</v>
      </c>
      <c r="F147" s="62">
        <v>25.9</v>
      </c>
    </row>
    <row r="148" spans="1:9" ht="31.5" x14ac:dyDescent="0.25">
      <c r="A148" s="13">
        <f t="shared" si="35"/>
        <v>143</v>
      </c>
      <c r="B148" s="7" t="s">
        <v>80</v>
      </c>
      <c r="C148" s="62">
        <f t="shared" si="39"/>
        <v>105</v>
      </c>
      <c r="D148" s="62">
        <v>105</v>
      </c>
      <c r="E148" s="62"/>
      <c r="F148" s="62"/>
    </row>
    <row r="149" spans="1:9" ht="31.5" x14ac:dyDescent="0.25">
      <c r="A149" s="13">
        <f t="shared" si="35"/>
        <v>144</v>
      </c>
      <c r="B149" s="12" t="s">
        <v>81</v>
      </c>
      <c r="C149" s="62">
        <f t="shared" si="39"/>
        <v>30</v>
      </c>
      <c r="D149" s="62">
        <v>30</v>
      </c>
      <c r="E149" s="62"/>
      <c r="F149" s="62"/>
    </row>
    <row r="150" spans="1:9" ht="63" x14ac:dyDescent="0.25">
      <c r="A150" s="13">
        <f t="shared" si="35"/>
        <v>145</v>
      </c>
      <c r="B150" s="99" t="s">
        <v>79</v>
      </c>
      <c r="C150" s="62">
        <f>SUM(C152:C155)</f>
        <v>1070.7</v>
      </c>
      <c r="D150" s="62">
        <f t="shared" ref="D150:F150" si="40">SUM(D152:D155)</f>
        <v>1070.7</v>
      </c>
      <c r="E150" s="62">
        <f t="shared" si="40"/>
        <v>926.9</v>
      </c>
      <c r="F150" s="62">
        <f t="shared" si="40"/>
        <v>0</v>
      </c>
    </row>
    <row r="151" spans="1:9" ht="15.75" x14ac:dyDescent="0.25">
      <c r="A151" s="13">
        <f t="shared" si="35"/>
        <v>146</v>
      </c>
      <c r="B151" s="87" t="s">
        <v>2</v>
      </c>
      <c r="C151" s="62">
        <f t="shared" si="39"/>
        <v>0</v>
      </c>
      <c r="D151" s="62"/>
      <c r="E151" s="62"/>
      <c r="F151" s="62"/>
    </row>
    <row r="152" spans="1:9" ht="31.5" x14ac:dyDescent="0.25">
      <c r="A152" s="13">
        <f t="shared" si="35"/>
        <v>147</v>
      </c>
      <c r="B152" s="7" t="s">
        <v>151</v>
      </c>
      <c r="C152" s="62">
        <f t="shared" si="39"/>
        <v>795.4</v>
      </c>
      <c r="D152" s="62">
        <v>795.4</v>
      </c>
      <c r="E152" s="62">
        <v>727.2</v>
      </c>
      <c r="F152" s="62"/>
      <c r="I152" s="20"/>
    </row>
    <row r="153" spans="1:9" ht="47.25" x14ac:dyDescent="0.25">
      <c r="A153" s="13">
        <f t="shared" si="35"/>
        <v>148</v>
      </c>
      <c r="B153" s="7" t="s">
        <v>150</v>
      </c>
      <c r="C153" s="62">
        <f t="shared" si="39"/>
        <v>207.4</v>
      </c>
      <c r="D153" s="62">
        <f>208.8-1.4</f>
        <v>207.4</v>
      </c>
      <c r="E153" s="62">
        <v>195.7</v>
      </c>
      <c r="F153" s="62"/>
      <c r="I153" s="20"/>
    </row>
    <row r="154" spans="1:9" ht="31.5" x14ac:dyDescent="0.25">
      <c r="A154" s="13">
        <f t="shared" si="35"/>
        <v>149</v>
      </c>
      <c r="B154" s="7" t="s">
        <v>191</v>
      </c>
      <c r="C154" s="62">
        <f t="shared" si="39"/>
        <v>63.3</v>
      </c>
      <c r="D154" s="62">
        <v>63.3</v>
      </c>
      <c r="E154" s="62"/>
      <c r="F154" s="62"/>
    </row>
    <row r="155" spans="1:9" ht="15.75" x14ac:dyDescent="0.25">
      <c r="A155" s="13">
        <f t="shared" si="35"/>
        <v>150</v>
      </c>
      <c r="B155" s="99" t="s">
        <v>130</v>
      </c>
      <c r="C155" s="62">
        <f t="shared" si="39"/>
        <v>4.5999999999999996</v>
      </c>
      <c r="D155" s="62">
        <v>4.5999999999999996</v>
      </c>
      <c r="E155" s="62">
        <v>4</v>
      </c>
      <c r="F155" s="62"/>
    </row>
    <row r="156" spans="1:9" ht="31.5" x14ac:dyDescent="0.25">
      <c r="A156" s="13">
        <f t="shared" si="35"/>
        <v>151</v>
      </c>
      <c r="B156" s="12" t="s">
        <v>210</v>
      </c>
      <c r="C156" s="61">
        <f t="shared" si="39"/>
        <v>10.4</v>
      </c>
      <c r="D156" s="61">
        <v>10.4</v>
      </c>
      <c r="E156" s="61">
        <v>2</v>
      </c>
      <c r="F156" s="61"/>
    </row>
    <row r="157" spans="1:9" ht="15.75" x14ac:dyDescent="0.25">
      <c r="A157" s="13">
        <f t="shared" si="35"/>
        <v>152</v>
      </c>
      <c r="B157" s="8" t="s">
        <v>261</v>
      </c>
      <c r="C157" s="61">
        <f>+C6+C10+C45+C88+C90+C110+C128</f>
        <v>186459.6</v>
      </c>
      <c r="D157" s="61">
        <f>+D6+D10+D45+D88+D90+D110+D128</f>
        <v>153397.6</v>
      </c>
      <c r="E157" s="61">
        <f>+E6+E10+E45+E88+E90+E110+E128</f>
        <v>92862.8</v>
      </c>
      <c r="F157" s="61">
        <f>+F6+F10+F45+F88+F90+F110+F128</f>
        <v>33062</v>
      </c>
    </row>
    <row r="158" spans="1:9" ht="15.75" x14ac:dyDescent="0.25">
      <c r="A158" s="13">
        <f t="shared" si="35"/>
        <v>153</v>
      </c>
      <c r="B158" s="87" t="s">
        <v>2</v>
      </c>
      <c r="C158" s="62"/>
      <c r="D158" s="62"/>
      <c r="E158" s="62"/>
      <c r="F158" s="62"/>
    </row>
    <row r="159" spans="1:9" ht="15.75" x14ac:dyDescent="0.25">
      <c r="A159" s="13">
        <f t="shared" si="35"/>
        <v>154</v>
      </c>
      <c r="B159" s="7" t="s">
        <v>252</v>
      </c>
      <c r="C159" s="62">
        <f>+D159+F159</f>
        <v>2904.2</v>
      </c>
      <c r="D159" s="62"/>
      <c r="E159" s="62"/>
      <c r="F159" s="62">
        <v>2904.2</v>
      </c>
    </row>
    <row r="160" spans="1:9" ht="15.75" x14ac:dyDescent="0.25">
      <c r="A160" s="13">
        <f t="shared" si="35"/>
        <v>155</v>
      </c>
      <c r="B160" s="8" t="s">
        <v>253</v>
      </c>
      <c r="C160" s="61">
        <f>+C157-C159</f>
        <v>183555.4</v>
      </c>
      <c r="D160" s="61">
        <f>+D157-D159</f>
        <v>153397.6</v>
      </c>
      <c r="E160" s="61">
        <f>+E157-E159</f>
        <v>92862.8</v>
      </c>
      <c r="F160" s="61">
        <f>+F157-F159</f>
        <v>30157.8</v>
      </c>
    </row>
    <row r="162" spans="2:2" x14ac:dyDescent="0.2">
      <c r="B162" s="15"/>
    </row>
  </sheetData>
  <mergeCells count="6">
    <mergeCell ref="A2:A4"/>
    <mergeCell ref="B2:B4"/>
    <mergeCell ref="C2:C4"/>
    <mergeCell ref="D2:F2"/>
    <mergeCell ref="D3:E3"/>
    <mergeCell ref="F3:F4"/>
  </mergeCells>
  <pageMargins left="0.94488188976377963" right="0.35433070866141736" top="0.74803149606299213" bottom="0.39370078740157483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showZeros="0" topLeftCell="A55" zoomScale="115" zoomScaleNormal="115" workbookViewId="0">
      <selection activeCell="J28" sqref="J28"/>
    </sheetView>
  </sheetViews>
  <sheetFormatPr defaultColWidth="10.140625" defaultRowHeight="12.75" x14ac:dyDescent="0.2"/>
  <cols>
    <col min="1" max="1" width="5.28515625" style="2" customWidth="1"/>
    <col min="2" max="2" width="23" style="2" customWidth="1"/>
    <col min="3" max="3" width="18" style="2" customWidth="1"/>
    <col min="4" max="4" width="13.42578125" style="2" customWidth="1"/>
    <col min="5" max="5" width="12.7109375" style="2" customWidth="1"/>
    <col min="6" max="7" width="11.140625" style="2" customWidth="1"/>
    <col min="8" max="205" width="10.140625" style="2"/>
    <col min="206" max="206" width="5.28515625" style="2" customWidth="1"/>
    <col min="207" max="207" width="23" style="2" customWidth="1"/>
    <col min="208" max="208" width="18" style="2" customWidth="1"/>
    <col min="209" max="209" width="12" style="2" customWidth="1"/>
    <col min="210" max="210" width="11" style="2" customWidth="1"/>
    <col min="211" max="211" width="10.85546875" style="2" customWidth="1"/>
    <col min="212" max="212" width="9.42578125" style="2" customWidth="1"/>
    <col min="213" max="461" width="10.140625" style="2"/>
    <col min="462" max="462" width="5.28515625" style="2" customWidth="1"/>
    <col min="463" max="463" width="23" style="2" customWidth="1"/>
    <col min="464" max="464" width="18" style="2" customWidth="1"/>
    <col min="465" max="465" width="12" style="2" customWidth="1"/>
    <col min="466" max="466" width="11" style="2" customWidth="1"/>
    <col min="467" max="467" width="10.85546875" style="2" customWidth="1"/>
    <col min="468" max="468" width="9.42578125" style="2" customWidth="1"/>
    <col min="469" max="717" width="10.140625" style="2"/>
    <col min="718" max="718" width="5.28515625" style="2" customWidth="1"/>
    <col min="719" max="719" width="23" style="2" customWidth="1"/>
    <col min="720" max="720" width="18" style="2" customWidth="1"/>
    <col min="721" max="721" width="12" style="2" customWidth="1"/>
    <col min="722" max="722" width="11" style="2" customWidth="1"/>
    <col min="723" max="723" width="10.85546875" style="2" customWidth="1"/>
    <col min="724" max="724" width="9.42578125" style="2" customWidth="1"/>
    <col min="725" max="973" width="10.140625" style="2"/>
    <col min="974" max="974" width="5.28515625" style="2" customWidth="1"/>
    <col min="975" max="975" width="23" style="2" customWidth="1"/>
    <col min="976" max="976" width="18" style="2" customWidth="1"/>
    <col min="977" max="977" width="12" style="2" customWidth="1"/>
    <col min="978" max="978" width="11" style="2" customWidth="1"/>
    <col min="979" max="979" width="10.85546875" style="2" customWidth="1"/>
    <col min="980" max="980" width="9.42578125" style="2" customWidth="1"/>
    <col min="981" max="1229" width="10.140625" style="2"/>
    <col min="1230" max="1230" width="5.28515625" style="2" customWidth="1"/>
    <col min="1231" max="1231" width="23" style="2" customWidth="1"/>
    <col min="1232" max="1232" width="18" style="2" customWidth="1"/>
    <col min="1233" max="1233" width="12" style="2" customWidth="1"/>
    <col min="1234" max="1234" width="11" style="2" customWidth="1"/>
    <col min="1235" max="1235" width="10.85546875" style="2" customWidth="1"/>
    <col min="1236" max="1236" width="9.42578125" style="2" customWidth="1"/>
    <col min="1237" max="1485" width="10.140625" style="2"/>
    <col min="1486" max="1486" width="5.28515625" style="2" customWidth="1"/>
    <col min="1487" max="1487" width="23" style="2" customWidth="1"/>
    <col min="1488" max="1488" width="18" style="2" customWidth="1"/>
    <col min="1489" max="1489" width="12" style="2" customWidth="1"/>
    <col min="1490" max="1490" width="11" style="2" customWidth="1"/>
    <col min="1491" max="1491" width="10.85546875" style="2" customWidth="1"/>
    <col min="1492" max="1492" width="9.42578125" style="2" customWidth="1"/>
    <col min="1493" max="1741" width="10.140625" style="2"/>
    <col min="1742" max="1742" width="5.28515625" style="2" customWidth="1"/>
    <col min="1743" max="1743" width="23" style="2" customWidth="1"/>
    <col min="1744" max="1744" width="18" style="2" customWidth="1"/>
    <col min="1745" max="1745" width="12" style="2" customWidth="1"/>
    <col min="1746" max="1746" width="11" style="2" customWidth="1"/>
    <col min="1747" max="1747" width="10.85546875" style="2" customWidth="1"/>
    <col min="1748" max="1748" width="9.42578125" style="2" customWidth="1"/>
    <col min="1749" max="1997" width="10.140625" style="2"/>
    <col min="1998" max="1998" width="5.28515625" style="2" customWidth="1"/>
    <col min="1999" max="1999" width="23" style="2" customWidth="1"/>
    <col min="2000" max="2000" width="18" style="2" customWidth="1"/>
    <col min="2001" max="2001" width="12" style="2" customWidth="1"/>
    <col min="2002" max="2002" width="11" style="2" customWidth="1"/>
    <col min="2003" max="2003" width="10.85546875" style="2" customWidth="1"/>
    <col min="2004" max="2004" width="9.42578125" style="2" customWidth="1"/>
    <col min="2005" max="2253" width="10.140625" style="2"/>
    <col min="2254" max="2254" width="5.28515625" style="2" customWidth="1"/>
    <col min="2255" max="2255" width="23" style="2" customWidth="1"/>
    <col min="2256" max="2256" width="18" style="2" customWidth="1"/>
    <col min="2257" max="2257" width="12" style="2" customWidth="1"/>
    <col min="2258" max="2258" width="11" style="2" customWidth="1"/>
    <col min="2259" max="2259" width="10.85546875" style="2" customWidth="1"/>
    <col min="2260" max="2260" width="9.42578125" style="2" customWidth="1"/>
    <col min="2261" max="2509" width="10.140625" style="2"/>
    <col min="2510" max="2510" width="5.28515625" style="2" customWidth="1"/>
    <col min="2511" max="2511" width="23" style="2" customWidth="1"/>
    <col min="2512" max="2512" width="18" style="2" customWidth="1"/>
    <col min="2513" max="2513" width="12" style="2" customWidth="1"/>
    <col min="2514" max="2514" width="11" style="2" customWidth="1"/>
    <col min="2515" max="2515" width="10.85546875" style="2" customWidth="1"/>
    <col min="2516" max="2516" width="9.42578125" style="2" customWidth="1"/>
    <col min="2517" max="2765" width="10.140625" style="2"/>
    <col min="2766" max="2766" width="5.28515625" style="2" customWidth="1"/>
    <col min="2767" max="2767" width="23" style="2" customWidth="1"/>
    <col min="2768" max="2768" width="18" style="2" customWidth="1"/>
    <col min="2769" max="2769" width="12" style="2" customWidth="1"/>
    <col min="2770" max="2770" width="11" style="2" customWidth="1"/>
    <col min="2771" max="2771" width="10.85546875" style="2" customWidth="1"/>
    <col min="2772" max="2772" width="9.42578125" style="2" customWidth="1"/>
    <col min="2773" max="3021" width="10.140625" style="2"/>
    <col min="3022" max="3022" width="5.28515625" style="2" customWidth="1"/>
    <col min="3023" max="3023" width="23" style="2" customWidth="1"/>
    <col min="3024" max="3024" width="18" style="2" customWidth="1"/>
    <col min="3025" max="3025" width="12" style="2" customWidth="1"/>
    <col min="3026" max="3026" width="11" style="2" customWidth="1"/>
    <col min="3027" max="3027" width="10.85546875" style="2" customWidth="1"/>
    <col min="3028" max="3028" width="9.42578125" style="2" customWidth="1"/>
    <col min="3029" max="3277" width="10.140625" style="2"/>
    <col min="3278" max="3278" width="5.28515625" style="2" customWidth="1"/>
    <col min="3279" max="3279" width="23" style="2" customWidth="1"/>
    <col min="3280" max="3280" width="18" style="2" customWidth="1"/>
    <col min="3281" max="3281" width="12" style="2" customWidth="1"/>
    <col min="3282" max="3282" width="11" style="2" customWidth="1"/>
    <col min="3283" max="3283" width="10.85546875" style="2" customWidth="1"/>
    <col min="3284" max="3284" width="9.42578125" style="2" customWidth="1"/>
    <col min="3285" max="3533" width="10.140625" style="2"/>
    <col min="3534" max="3534" width="5.28515625" style="2" customWidth="1"/>
    <col min="3535" max="3535" width="23" style="2" customWidth="1"/>
    <col min="3536" max="3536" width="18" style="2" customWidth="1"/>
    <col min="3537" max="3537" width="12" style="2" customWidth="1"/>
    <col min="3538" max="3538" width="11" style="2" customWidth="1"/>
    <col min="3539" max="3539" width="10.85546875" style="2" customWidth="1"/>
    <col min="3540" max="3540" width="9.42578125" style="2" customWidth="1"/>
    <col min="3541" max="3789" width="10.140625" style="2"/>
    <col min="3790" max="3790" width="5.28515625" style="2" customWidth="1"/>
    <col min="3791" max="3791" width="23" style="2" customWidth="1"/>
    <col min="3792" max="3792" width="18" style="2" customWidth="1"/>
    <col min="3793" max="3793" width="12" style="2" customWidth="1"/>
    <col min="3794" max="3794" width="11" style="2" customWidth="1"/>
    <col min="3795" max="3795" width="10.85546875" style="2" customWidth="1"/>
    <col min="3796" max="3796" width="9.42578125" style="2" customWidth="1"/>
    <col min="3797" max="4045" width="10.140625" style="2"/>
    <col min="4046" max="4046" width="5.28515625" style="2" customWidth="1"/>
    <col min="4047" max="4047" width="23" style="2" customWidth="1"/>
    <col min="4048" max="4048" width="18" style="2" customWidth="1"/>
    <col min="4049" max="4049" width="12" style="2" customWidth="1"/>
    <col min="4050" max="4050" width="11" style="2" customWidth="1"/>
    <col min="4051" max="4051" width="10.85546875" style="2" customWidth="1"/>
    <col min="4052" max="4052" width="9.42578125" style="2" customWidth="1"/>
    <col min="4053" max="4301" width="10.140625" style="2"/>
    <col min="4302" max="4302" width="5.28515625" style="2" customWidth="1"/>
    <col min="4303" max="4303" width="23" style="2" customWidth="1"/>
    <col min="4304" max="4304" width="18" style="2" customWidth="1"/>
    <col min="4305" max="4305" width="12" style="2" customWidth="1"/>
    <col min="4306" max="4306" width="11" style="2" customWidth="1"/>
    <col min="4307" max="4307" width="10.85546875" style="2" customWidth="1"/>
    <col min="4308" max="4308" width="9.42578125" style="2" customWidth="1"/>
    <col min="4309" max="4557" width="10.140625" style="2"/>
    <col min="4558" max="4558" width="5.28515625" style="2" customWidth="1"/>
    <col min="4559" max="4559" width="23" style="2" customWidth="1"/>
    <col min="4560" max="4560" width="18" style="2" customWidth="1"/>
    <col min="4561" max="4561" width="12" style="2" customWidth="1"/>
    <col min="4562" max="4562" width="11" style="2" customWidth="1"/>
    <col min="4563" max="4563" width="10.85546875" style="2" customWidth="1"/>
    <col min="4564" max="4564" width="9.42578125" style="2" customWidth="1"/>
    <col min="4565" max="4813" width="10.140625" style="2"/>
    <col min="4814" max="4814" width="5.28515625" style="2" customWidth="1"/>
    <col min="4815" max="4815" width="23" style="2" customWidth="1"/>
    <col min="4816" max="4816" width="18" style="2" customWidth="1"/>
    <col min="4817" max="4817" width="12" style="2" customWidth="1"/>
    <col min="4818" max="4818" width="11" style="2" customWidth="1"/>
    <col min="4819" max="4819" width="10.85546875" style="2" customWidth="1"/>
    <col min="4820" max="4820" width="9.42578125" style="2" customWidth="1"/>
    <col min="4821" max="5069" width="10.140625" style="2"/>
    <col min="5070" max="5070" width="5.28515625" style="2" customWidth="1"/>
    <col min="5071" max="5071" width="23" style="2" customWidth="1"/>
    <col min="5072" max="5072" width="18" style="2" customWidth="1"/>
    <col min="5073" max="5073" width="12" style="2" customWidth="1"/>
    <col min="5074" max="5074" width="11" style="2" customWidth="1"/>
    <col min="5075" max="5075" width="10.85546875" style="2" customWidth="1"/>
    <col min="5076" max="5076" width="9.42578125" style="2" customWidth="1"/>
    <col min="5077" max="5325" width="10.140625" style="2"/>
    <col min="5326" max="5326" width="5.28515625" style="2" customWidth="1"/>
    <col min="5327" max="5327" width="23" style="2" customWidth="1"/>
    <col min="5328" max="5328" width="18" style="2" customWidth="1"/>
    <col min="5329" max="5329" width="12" style="2" customWidth="1"/>
    <col min="5330" max="5330" width="11" style="2" customWidth="1"/>
    <col min="5331" max="5331" width="10.85546875" style="2" customWidth="1"/>
    <col min="5332" max="5332" width="9.42578125" style="2" customWidth="1"/>
    <col min="5333" max="5581" width="10.140625" style="2"/>
    <col min="5582" max="5582" width="5.28515625" style="2" customWidth="1"/>
    <col min="5583" max="5583" width="23" style="2" customWidth="1"/>
    <col min="5584" max="5584" width="18" style="2" customWidth="1"/>
    <col min="5585" max="5585" width="12" style="2" customWidth="1"/>
    <col min="5586" max="5586" width="11" style="2" customWidth="1"/>
    <col min="5587" max="5587" width="10.85546875" style="2" customWidth="1"/>
    <col min="5588" max="5588" width="9.42578125" style="2" customWidth="1"/>
    <col min="5589" max="5837" width="10.140625" style="2"/>
    <col min="5838" max="5838" width="5.28515625" style="2" customWidth="1"/>
    <col min="5839" max="5839" width="23" style="2" customWidth="1"/>
    <col min="5840" max="5840" width="18" style="2" customWidth="1"/>
    <col min="5841" max="5841" width="12" style="2" customWidth="1"/>
    <col min="5842" max="5842" width="11" style="2" customWidth="1"/>
    <col min="5843" max="5843" width="10.85546875" style="2" customWidth="1"/>
    <col min="5844" max="5844" width="9.42578125" style="2" customWidth="1"/>
    <col min="5845" max="6093" width="10.140625" style="2"/>
    <col min="6094" max="6094" width="5.28515625" style="2" customWidth="1"/>
    <col min="6095" max="6095" width="23" style="2" customWidth="1"/>
    <col min="6096" max="6096" width="18" style="2" customWidth="1"/>
    <col min="6097" max="6097" width="12" style="2" customWidth="1"/>
    <col min="6098" max="6098" width="11" style="2" customWidth="1"/>
    <col min="6099" max="6099" width="10.85546875" style="2" customWidth="1"/>
    <col min="6100" max="6100" width="9.42578125" style="2" customWidth="1"/>
    <col min="6101" max="6349" width="10.140625" style="2"/>
    <col min="6350" max="6350" width="5.28515625" style="2" customWidth="1"/>
    <col min="6351" max="6351" width="23" style="2" customWidth="1"/>
    <col min="6352" max="6352" width="18" style="2" customWidth="1"/>
    <col min="6353" max="6353" width="12" style="2" customWidth="1"/>
    <col min="6354" max="6354" width="11" style="2" customWidth="1"/>
    <col min="6355" max="6355" width="10.85546875" style="2" customWidth="1"/>
    <col min="6356" max="6356" width="9.42578125" style="2" customWidth="1"/>
    <col min="6357" max="6605" width="10.140625" style="2"/>
    <col min="6606" max="6606" width="5.28515625" style="2" customWidth="1"/>
    <col min="6607" max="6607" width="23" style="2" customWidth="1"/>
    <col min="6608" max="6608" width="18" style="2" customWidth="1"/>
    <col min="6609" max="6609" width="12" style="2" customWidth="1"/>
    <col min="6610" max="6610" width="11" style="2" customWidth="1"/>
    <col min="6611" max="6611" width="10.85546875" style="2" customWidth="1"/>
    <col min="6612" max="6612" width="9.42578125" style="2" customWidth="1"/>
    <col min="6613" max="6861" width="10.140625" style="2"/>
    <col min="6862" max="6862" width="5.28515625" style="2" customWidth="1"/>
    <col min="6863" max="6863" width="23" style="2" customWidth="1"/>
    <col min="6864" max="6864" width="18" style="2" customWidth="1"/>
    <col min="6865" max="6865" width="12" style="2" customWidth="1"/>
    <col min="6866" max="6866" width="11" style="2" customWidth="1"/>
    <col min="6867" max="6867" width="10.85546875" style="2" customWidth="1"/>
    <col min="6868" max="6868" width="9.42578125" style="2" customWidth="1"/>
    <col min="6869" max="7117" width="10.140625" style="2"/>
    <col min="7118" max="7118" width="5.28515625" style="2" customWidth="1"/>
    <col min="7119" max="7119" width="23" style="2" customWidth="1"/>
    <col min="7120" max="7120" width="18" style="2" customWidth="1"/>
    <col min="7121" max="7121" width="12" style="2" customWidth="1"/>
    <col min="7122" max="7122" width="11" style="2" customWidth="1"/>
    <col min="7123" max="7123" width="10.85546875" style="2" customWidth="1"/>
    <col min="7124" max="7124" width="9.42578125" style="2" customWidth="1"/>
    <col min="7125" max="7373" width="10.140625" style="2"/>
    <col min="7374" max="7374" width="5.28515625" style="2" customWidth="1"/>
    <col min="7375" max="7375" width="23" style="2" customWidth="1"/>
    <col min="7376" max="7376" width="18" style="2" customWidth="1"/>
    <col min="7377" max="7377" width="12" style="2" customWidth="1"/>
    <col min="7378" max="7378" width="11" style="2" customWidth="1"/>
    <col min="7379" max="7379" width="10.85546875" style="2" customWidth="1"/>
    <col min="7380" max="7380" width="9.42578125" style="2" customWidth="1"/>
    <col min="7381" max="7629" width="10.140625" style="2"/>
    <col min="7630" max="7630" width="5.28515625" style="2" customWidth="1"/>
    <col min="7631" max="7631" width="23" style="2" customWidth="1"/>
    <col min="7632" max="7632" width="18" style="2" customWidth="1"/>
    <col min="7633" max="7633" width="12" style="2" customWidth="1"/>
    <col min="7634" max="7634" width="11" style="2" customWidth="1"/>
    <col min="7635" max="7635" width="10.85546875" style="2" customWidth="1"/>
    <col min="7636" max="7636" width="9.42578125" style="2" customWidth="1"/>
    <col min="7637" max="7885" width="10.140625" style="2"/>
    <col min="7886" max="7886" width="5.28515625" style="2" customWidth="1"/>
    <col min="7887" max="7887" width="23" style="2" customWidth="1"/>
    <col min="7888" max="7888" width="18" style="2" customWidth="1"/>
    <col min="7889" max="7889" width="12" style="2" customWidth="1"/>
    <col min="7890" max="7890" width="11" style="2" customWidth="1"/>
    <col min="7891" max="7891" width="10.85546875" style="2" customWidth="1"/>
    <col min="7892" max="7892" width="9.42578125" style="2" customWidth="1"/>
    <col min="7893" max="8141" width="10.140625" style="2"/>
    <col min="8142" max="8142" width="5.28515625" style="2" customWidth="1"/>
    <col min="8143" max="8143" width="23" style="2" customWidth="1"/>
    <col min="8144" max="8144" width="18" style="2" customWidth="1"/>
    <col min="8145" max="8145" width="12" style="2" customWidth="1"/>
    <col min="8146" max="8146" width="11" style="2" customWidth="1"/>
    <col min="8147" max="8147" width="10.85546875" style="2" customWidth="1"/>
    <col min="8148" max="8148" width="9.42578125" style="2" customWidth="1"/>
    <col min="8149" max="8397" width="10.140625" style="2"/>
    <col min="8398" max="8398" width="5.28515625" style="2" customWidth="1"/>
    <col min="8399" max="8399" width="23" style="2" customWidth="1"/>
    <col min="8400" max="8400" width="18" style="2" customWidth="1"/>
    <col min="8401" max="8401" width="12" style="2" customWidth="1"/>
    <col min="8402" max="8402" width="11" style="2" customWidth="1"/>
    <col min="8403" max="8403" width="10.85546875" style="2" customWidth="1"/>
    <col min="8404" max="8404" width="9.42578125" style="2" customWidth="1"/>
    <col min="8405" max="8653" width="10.140625" style="2"/>
    <col min="8654" max="8654" width="5.28515625" style="2" customWidth="1"/>
    <col min="8655" max="8655" width="23" style="2" customWidth="1"/>
    <col min="8656" max="8656" width="18" style="2" customWidth="1"/>
    <col min="8657" max="8657" width="12" style="2" customWidth="1"/>
    <col min="8658" max="8658" width="11" style="2" customWidth="1"/>
    <col min="8659" max="8659" width="10.85546875" style="2" customWidth="1"/>
    <col min="8660" max="8660" width="9.42578125" style="2" customWidth="1"/>
    <col min="8661" max="8909" width="10.140625" style="2"/>
    <col min="8910" max="8910" width="5.28515625" style="2" customWidth="1"/>
    <col min="8911" max="8911" width="23" style="2" customWidth="1"/>
    <col min="8912" max="8912" width="18" style="2" customWidth="1"/>
    <col min="8913" max="8913" width="12" style="2" customWidth="1"/>
    <col min="8914" max="8914" width="11" style="2" customWidth="1"/>
    <col min="8915" max="8915" width="10.85546875" style="2" customWidth="1"/>
    <col min="8916" max="8916" width="9.42578125" style="2" customWidth="1"/>
    <col min="8917" max="9165" width="10.140625" style="2"/>
    <col min="9166" max="9166" width="5.28515625" style="2" customWidth="1"/>
    <col min="9167" max="9167" width="23" style="2" customWidth="1"/>
    <col min="9168" max="9168" width="18" style="2" customWidth="1"/>
    <col min="9169" max="9169" width="12" style="2" customWidth="1"/>
    <col min="9170" max="9170" width="11" style="2" customWidth="1"/>
    <col min="9171" max="9171" width="10.85546875" style="2" customWidth="1"/>
    <col min="9172" max="9172" width="9.42578125" style="2" customWidth="1"/>
    <col min="9173" max="9421" width="10.140625" style="2"/>
    <col min="9422" max="9422" width="5.28515625" style="2" customWidth="1"/>
    <col min="9423" max="9423" width="23" style="2" customWidth="1"/>
    <col min="9424" max="9424" width="18" style="2" customWidth="1"/>
    <col min="9425" max="9425" width="12" style="2" customWidth="1"/>
    <col min="9426" max="9426" width="11" style="2" customWidth="1"/>
    <col min="9427" max="9427" width="10.85546875" style="2" customWidth="1"/>
    <col min="9428" max="9428" width="9.42578125" style="2" customWidth="1"/>
    <col min="9429" max="9677" width="10.140625" style="2"/>
    <col min="9678" max="9678" width="5.28515625" style="2" customWidth="1"/>
    <col min="9679" max="9679" width="23" style="2" customWidth="1"/>
    <col min="9680" max="9680" width="18" style="2" customWidth="1"/>
    <col min="9681" max="9681" width="12" style="2" customWidth="1"/>
    <col min="9682" max="9682" width="11" style="2" customWidth="1"/>
    <col min="9683" max="9683" width="10.85546875" style="2" customWidth="1"/>
    <col min="9684" max="9684" width="9.42578125" style="2" customWidth="1"/>
    <col min="9685" max="9933" width="10.140625" style="2"/>
    <col min="9934" max="9934" width="5.28515625" style="2" customWidth="1"/>
    <col min="9935" max="9935" width="23" style="2" customWidth="1"/>
    <col min="9936" max="9936" width="18" style="2" customWidth="1"/>
    <col min="9937" max="9937" width="12" style="2" customWidth="1"/>
    <col min="9938" max="9938" width="11" style="2" customWidth="1"/>
    <col min="9939" max="9939" width="10.85546875" style="2" customWidth="1"/>
    <col min="9940" max="9940" width="9.42578125" style="2" customWidth="1"/>
    <col min="9941" max="10189" width="10.140625" style="2"/>
    <col min="10190" max="10190" width="5.28515625" style="2" customWidth="1"/>
    <col min="10191" max="10191" width="23" style="2" customWidth="1"/>
    <col min="10192" max="10192" width="18" style="2" customWidth="1"/>
    <col min="10193" max="10193" width="12" style="2" customWidth="1"/>
    <col min="10194" max="10194" width="11" style="2" customWidth="1"/>
    <col min="10195" max="10195" width="10.85546875" style="2" customWidth="1"/>
    <col min="10196" max="10196" width="9.42578125" style="2" customWidth="1"/>
    <col min="10197" max="10445" width="10.140625" style="2"/>
    <col min="10446" max="10446" width="5.28515625" style="2" customWidth="1"/>
    <col min="10447" max="10447" width="23" style="2" customWidth="1"/>
    <col min="10448" max="10448" width="18" style="2" customWidth="1"/>
    <col min="10449" max="10449" width="12" style="2" customWidth="1"/>
    <col min="10450" max="10450" width="11" style="2" customWidth="1"/>
    <col min="10451" max="10451" width="10.85546875" style="2" customWidth="1"/>
    <col min="10452" max="10452" width="9.42578125" style="2" customWidth="1"/>
    <col min="10453" max="10701" width="10.140625" style="2"/>
    <col min="10702" max="10702" width="5.28515625" style="2" customWidth="1"/>
    <col min="10703" max="10703" width="23" style="2" customWidth="1"/>
    <col min="10704" max="10704" width="18" style="2" customWidth="1"/>
    <col min="10705" max="10705" width="12" style="2" customWidth="1"/>
    <col min="10706" max="10706" width="11" style="2" customWidth="1"/>
    <col min="10707" max="10707" width="10.85546875" style="2" customWidth="1"/>
    <col min="10708" max="10708" width="9.42578125" style="2" customWidth="1"/>
    <col min="10709" max="10957" width="10.140625" style="2"/>
    <col min="10958" max="10958" width="5.28515625" style="2" customWidth="1"/>
    <col min="10959" max="10959" width="23" style="2" customWidth="1"/>
    <col min="10960" max="10960" width="18" style="2" customWidth="1"/>
    <col min="10961" max="10961" width="12" style="2" customWidth="1"/>
    <col min="10962" max="10962" width="11" style="2" customWidth="1"/>
    <col min="10963" max="10963" width="10.85546875" style="2" customWidth="1"/>
    <col min="10964" max="10964" width="9.42578125" style="2" customWidth="1"/>
    <col min="10965" max="11213" width="10.140625" style="2"/>
    <col min="11214" max="11214" width="5.28515625" style="2" customWidth="1"/>
    <col min="11215" max="11215" width="23" style="2" customWidth="1"/>
    <col min="11216" max="11216" width="18" style="2" customWidth="1"/>
    <col min="11217" max="11217" width="12" style="2" customWidth="1"/>
    <col min="11218" max="11218" width="11" style="2" customWidth="1"/>
    <col min="11219" max="11219" width="10.85546875" style="2" customWidth="1"/>
    <col min="11220" max="11220" width="9.42578125" style="2" customWidth="1"/>
    <col min="11221" max="11469" width="10.140625" style="2"/>
    <col min="11470" max="11470" width="5.28515625" style="2" customWidth="1"/>
    <col min="11471" max="11471" width="23" style="2" customWidth="1"/>
    <col min="11472" max="11472" width="18" style="2" customWidth="1"/>
    <col min="11473" max="11473" width="12" style="2" customWidth="1"/>
    <col min="11474" max="11474" width="11" style="2" customWidth="1"/>
    <col min="11475" max="11475" width="10.85546875" style="2" customWidth="1"/>
    <col min="11476" max="11476" width="9.42578125" style="2" customWidth="1"/>
    <col min="11477" max="11725" width="10.140625" style="2"/>
    <col min="11726" max="11726" width="5.28515625" style="2" customWidth="1"/>
    <col min="11727" max="11727" width="23" style="2" customWidth="1"/>
    <col min="11728" max="11728" width="18" style="2" customWidth="1"/>
    <col min="11729" max="11729" width="12" style="2" customWidth="1"/>
    <col min="11730" max="11730" width="11" style="2" customWidth="1"/>
    <col min="11731" max="11731" width="10.85546875" style="2" customWidth="1"/>
    <col min="11732" max="11732" width="9.42578125" style="2" customWidth="1"/>
    <col min="11733" max="11981" width="10.140625" style="2"/>
    <col min="11982" max="11982" width="5.28515625" style="2" customWidth="1"/>
    <col min="11983" max="11983" width="23" style="2" customWidth="1"/>
    <col min="11984" max="11984" width="18" style="2" customWidth="1"/>
    <col min="11985" max="11985" width="12" style="2" customWidth="1"/>
    <col min="11986" max="11986" width="11" style="2" customWidth="1"/>
    <col min="11987" max="11987" width="10.85546875" style="2" customWidth="1"/>
    <col min="11988" max="11988" width="9.42578125" style="2" customWidth="1"/>
    <col min="11989" max="12237" width="10.140625" style="2"/>
    <col min="12238" max="12238" width="5.28515625" style="2" customWidth="1"/>
    <col min="12239" max="12239" width="23" style="2" customWidth="1"/>
    <col min="12240" max="12240" width="18" style="2" customWidth="1"/>
    <col min="12241" max="12241" width="12" style="2" customWidth="1"/>
    <col min="12242" max="12242" width="11" style="2" customWidth="1"/>
    <col min="12243" max="12243" width="10.85546875" style="2" customWidth="1"/>
    <col min="12244" max="12244" width="9.42578125" style="2" customWidth="1"/>
    <col min="12245" max="12493" width="10.140625" style="2"/>
    <col min="12494" max="12494" width="5.28515625" style="2" customWidth="1"/>
    <col min="12495" max="12495" width="23" style="2" customWidth="1"/>
    <col min="12496" max="12496" width="18" style="2" customWidth="1"/>
    <col min="12497" max="12497" width="12" style="2" customWidth="1"/>
    <col min="12498" max="12498" width="11" style="2" customWidth="1"/>
    <col min="12499" max="12499" width="10.85546875" style="2" customWidth="1"/>
    <col min="12500" max="12500" width="9.42578125" style="2" customWidth="1"/>
    <col min="12501" max="12749" width="10.140625" style="2"/>
    <col min="12750" max="12750" width="5.28515625" style="2" customWidth="1"/>
    <col min="12751" max="12751" width="23" style="2" customWidth="1"/>
    <col min="12752" max="12752" width="18" style="2" customWidth="1"/>
    <col min="12753" max="12753" width="12" style="2" customWidth="1"/>
    <col min="12754" max="12754" width="11" style="2" customWidth="1"/>
    <col min="12755" max="12755" width="10.85546875" style="2" customWidth="1"/>
    <col min="12756" max="12756" width="9.42578125" style="2" customWidth="1"/>
    <col min="12757" max="13005" width="10.140625" style="2"/>
    <col min="13006" max="13006" width="5.28515625" style="2" customWidth="1"/>
    <col min="13007" max="13007" width="23" style="2" customWidth="1"/>
    <col min="13008" max="13008" width="18" style="2" customWidth="1"/>
    <col min="13009" max="13009" width="12" style="2" customWidth="1"/>
    <col min="13010" max="13010" width="11" style="2" customWidth="1"/>
    <col min="13011" max="13011" width="10.85546875" style="2" customWidth="1"/>
    <col min="13012" max="13012" width="9.42578125" style="2" customWidth="1"/>
    <col min="13013" max="13261" width="10.140625" style="2"/>
    <col min="13262" max="13262" width="5.28515625" style="2" customWidth="1"/>
    <col min="13263" max="13263" width="23" style="2" customWidth="1"/>
    <col min="13264" max="13264" width="18" style="2" customWidth="1"/>
    <col min="13265" max="13265" width="12" style="2" customWidth="1"/>
    <col min="13266" max="13266" width="11" style="2" customWidth="1"/>
    <col min="13267" max="13267" width="10.85546875" style="2" customWidth="1"/>
    <col min="13268" max="13268" width="9.42578125" style="2" customWidth="1"/>
    <col min="13269" max="13517" width="10.140625" style="2"/>
    <col min="13518" max="13518" width="5.28515625" style="2" customWidth="1"/>
    <col min="13519" max="13519" width="23" style="2" customWidth="1"/>
    <col min="13520" max="13520" width="18" style="2" customWidth="1"/>
    <col min="13521" max="13521" width="12" style="2" customWidth="1"/>
    <col min="13522" max="13522" width="11" style="2" customWidth="1"/>
    <col min="13523" max="13523" width="10.85546875" style="2" customWidth="1"/>
    <col min="13524" max="13524" width="9.42578125" style="2" customWidth="1"/>
    <col min="13525" max="13773" width="10.140625" style="2"/>
    <col min="13774" max="13774" width="5.28515625" style="2" customWidth="1"/>
    <col min="13775" max="13775" width="23" style="2" customWidth="1"/>
    <col min="13776" max="13776" width="18" style="2" customWidth="1"/>
    <col min="13777" max="13777" width="12" style="2" customWidth="1"/>
    <col min="13778" max="13778" width="11" style="2" customWidth="1"/>
    <col min="13779" max="13779" width="10.85546875" style="2" customWidth="1"/>
    <col min="13780" max="13780" width="9.42578125" style="2" customWidth="1"/>
    <col min="13781" max="14029" width="10.140625" style="2"/>
    <col min="14030" max="14030" width="5.28515625" style="2" customWidth="1"/>
    <col min="14031" max="14031" width="23" style="2" customWidth="1"/>
    <col min="14032" max="14032" width="18" style="2" customWidth="1"/>
    <col min="14033" max="14033" width="12" style="2" customWidth="1"/>
    <col min="14034" max="14034" width="11" style="2" customWidth="1"/>
    <col min="14035" max="14035" width="10.85546875" style="2" customWidth="1"/>
    <col min="14036" max="14036" width="9.42578125" style="2" customWidth="1"/>
    <col min="14037" max="14285" width="10.140625" style="2"/>
    <col min="14286" max="14286" width="5.28515625" style="2" customWidth="1"/>
    <col min="14287" max="14287" width="23" style="2" customWidth="1"/>
    <col min="14288" max="14288" width="18" style="2" customWidth="1"/>
    <col min="14289" max="14289" width="12" style="2" customWidth="1"/>
    <col min="14290" max="14290" width="11" style="2" customWidth="1"/>
    <col min="14291" max="14291" width="10.85546875" style="2" customWidth="1"/>
    <col min="14292" max="14292" width="9.42578125" style="2" customWidth="1"/>
    <col min="14293" max="14541" width="10.140625" style="2"/>
    <col min="14542" max="14542" width="5.28515625" style="2" customWidth="1"/>
    <col min="14543" max="14543" width="23" style="2" customWidth="1"/>
    <col min="14544" max="14544" width="18" style="2" customWidth="1"/>
    <col min="14545" max="14545" width="12" style="2" customWidth="1"/>
    <col min="14546" max="14546" width="11" style="2" customWidth="1"/>
    <col min="14547" max="14547" width="10.85546875" style="2" customWidth="1"/>
    <col min="14548" max="14548" width="9.42578125" style="2" customWidth="1"/>
    <col min="14549" max="14797" width="10.140625" style="2"/>
    <col min="14798" max="14798" width="5.28515625" style="2" customWidth="1"/>
    <col min="14799" max="14799" width="23" style="2" customWidth="1"/>
    <col min="14800" max="14800" width="18" style="2" customWidth="1"/>
    <col min="14801" max="14801" width="12" style="2" customWidth="1"/>
    <col min="14802" max="14802" width="11" style="2" customWidth="1"/>
    <col min="14803" max="14803" width="10.85546875" style="2" customWidth="1"/>
    <col min="14804" max="14804" width="9.42578125" style="2" customWidth="1"/>
    <col min="14805" max="15053" width="10.140625" style="2"/>
    <col min="15054" max="15054" width="5.28515625" style="2" customWidth="1"/>
    <col min="15055" max="15055" width="23" style="2" customWidth="1"/>
    <col min="15056" max="15056" width="18" style="2" customWidth="1"/>
    <col min="15057" max="15057" width="12" style="2" customWidth="1"/>
    <col min="15058" max="15058" width="11" style="2" customWidth="1"/>
    <col min="15059" max="15059" width="10.85546875" style="2" customWidth="1"/>
    <col min="15060" max="15060" width="9.42578125" style="2" customWidth="1"/>
    <col min="15061" max="15309" width="10.140625" style="2"/>
    <col min="15310" max="15310" width="5.28515625" style="2" customWidth="1"/>
    <col min="15311" max="15311" width="23" style="2" customWidth="1"/>
    <col min="15312" max="15312" width="18" style="2" customWidth="1"/>
    <col min="15313" max="15313" width="12" style="2" customWidth="1"/>
    <col min="15314" max="15314" width="11" style="2" customWidth="1"/>
    <col min="15315" max="15315" width="10.85546875" style="2" customWidth="1"/>
    <col min="15316" max="15316" width="9.42578125" style="2" customWidth="1"/>
    <col min="15317" max="15565" width="10.140625" style="2"/>
    <col min="15566" max="15566" width="5.28515625" style="2" customWidth="1"/>
    <col min="15567" max="15567" width="23" style="2" customWidth="1"/>
    <col min="15568" max="15568" width="18" style="2" customWidth="1"/>
    <col min="15569" max="15569" width="12" style="2" customWidth="1"/>
    <col min="15570" max="15570" width="11" style="2" customWidth="1"/>
    <col min="15571" max="15571" width="10.85546875" style="2" customWidth="1"/>
    <col min="15572" max="15572" width="9.42578125" style="2" customWidth="1"/>
    <col min="15573" max="15821" width="10.140625" style="2"/>
    <col min="15822" max="15822" width="5.28515625" style="2" customWidth="1"/>
    <col min="15823" max="15823" width="23" style="2" customWidth="1"/>
    <col min="15824" max="15824" width="18" style="2" customWidth="1"/>
    <col min="15825" max="15825" width="12" style="2" customWidth="1"/>
    <col min="15826" max="15826" width="11" style="2" customWidth="1"/>
    <col min="15827" max="15827" width="10.85546875" style="2" customWidth="1"/>
    <col min="15828" max="15828" width="9.42578125" style="2" customWidth="1"/>
    <col min="15829" max="16077" width="10.140625" style="2"/>
    <col min="16078" max="16078" width="5.28515625" style="2" customWidth="1"/>
    <col min="16079" max="16079" width="23" style="2" customWidth="1"/>
    <col min="16080" max="16080" width="18" style="2" customWidth="1"/>
    <col min="16081" max="16081" width="12" style="2" customWidth="1"/>
    <col min="16082" max="16082" width="11" style="2" customWidth="1"/>
    <col min="16083" max="16083" width="10.85546875" style="2" customWidth="1"/>
    <col min="16084" max="16084" width="9.42578125" style="2" customWidth="1"/>
    <col min="16085" max="16384" width="10.140625" style="2"/>
  </cols>
  <sheetData>
    <row r="1" spans="1:7" ht="15.75" x14ac:dyDescent="0.25">
      <c r="A1" s="9"/>
      <c r="B1" s="9"/>
      <c r="C1" s="9" t="s">
        <v>83</v>
      </c>
      <c r="D1" s="9"/>
      <c r="E1" s="9"/>
      <c r="F1" s="9"/>
      <c r="G1" s="9"/>
    </row>
    <row r="2" spans="1:7" ht="15.75" x14ac:dyDescent="0.25">
      <c r="A2" s="9"/>
      <c r="B2" s="9"/>
      <c r="C2" s="9" t="s">
        <v>192</v>
      </c>
      <c r="D2" s="9"/>
      <c r="E2" s="9"/>
      <c r="F2" s="9"/>
      <c r="G2" s="9"/>
    </row>
    <row r="3" spans="1:7" ht="15.75" x14ac:dyDescent="0.25">
      <c r="A3" s="9"/>
      <c r="B3" s="9"/>
      <c r="C3" s="9" t="s">
        <v>84</v>
      </c>
      <c r="D3" s="9"/>
      <c r="E3" s="9"/>
      <c r="F3" s="9"/>
      <c r="G3" s="9"/>
    </row>
    <row r="4" spans="1:7" ht="15.75" x14ac:dyDescent="0.25">
      <c r="A4" s="9"/>
      <c r="B4" s="9"/>
      <c r="C4" s="9"/>
      <c r="D4" s="9"/>
      <c r="E4" s="9"/>
      <c r="F4" s="9"/>
      <c r="G4" s="9"/>
    </row>
    <row r="5" spans="1:7" ht="15.75" customHeight="1" x14ac:dyDescent="0.2">
      <c r="A5" s="138" t="s">
        <v>193</v>
      </c>
      <c r="B5" s="138"/>
      <c r="C5" s="138"/>
      <c r="D5" s="138"/>
      <c r="E5" s="138"/>
      <c r="F5" s="138"/>
      <c r="G5" s="138"/>
    </row>
    <row r="6" spans="1:7" ht="15.75" customHeight="1" x14ac:dyDescent="0.2">
      <c r="A6" s="138"/>
      <c r="B6" s="138"/>
      <c r="C6" s="138"/>
      <c r="D6" s="138"/>
      <c r="E6" s="138"/>
      <c r="F6" s="138"/>
      <c r="G6" s="138"/>
    </row>
    <row r="7" spans="1:7" ht="8.25" customHeight="1" x14ac:dyDescent="0.25">
      <c r="A7" s="90"/>
      <c r="B7" s="90"/>
      <c r="C7" s="90"/>
      <c r="D7" s="9"/>
      <c r="E7" s="9"/>
      <c r="F7" s="9"/>
      <c r="G7" s="9"/>
    </row>
    <row r="8" spans="1:7" ht="15.75" x14ac:dyDescent="0.25">
      <c r="A8" s="9"/>
      <c r="B8" s="64"/>
      <c r="C8" s="9"/>
      <c r="D8" s="65"/>
      <c r="E8" s="65"/>
      <c r="F8" s="65"/>
      <c r="G8" s="65" t="s">
        <v>116</v>
      </c>
    </row>
    <row r="9" spans="1:7" ht="15.75" x14ac:dyDescent="0.25">
      <c r="A9" s="132" t="s">
        <v>0</v>
      </c>
      <c r="B9" s="132" t="s">
        <v>85</v>
      </c>
      <c r="C9" s="132" t="s">
        <v>86</v>
      </c>
      <c r="D9" s="139" t="s">
        <v>82</v>
      </c>
      <c r="E9" s="133" t="s">
        <v>2</v>
      </c>
      <c r="F9" s="133"/>
      <c r="G9" s="133"/>
    </row>
    <row r="10" spans="1:7" ht="15.75" customHeight="1" x14ac:dyDescent="0.25">
      <c r="A10" s="132"/>
      <c r="B10" s="132"/>
      <c r="C10" s="132"/>
      <c r="D10" s="139"/>
      <c r="E10" s="132" t="s">
        <v>33</v>
      </c>
      <c r="F10" s="132"/>
      <c r="G10" s="132" t="s">
        <v>34</v>
      </c>
    </row>
    <row r="11" spans="1:7" ht="47.25" x14ac:dyDescent="0.25">
      <c r="A11" s="132"/>
      <c r="B11" s="132"/>
      <c r="C11" s="132"/>
      <c r="D11" s="139"/>
      <c r="E11" s="12" t="s">
        <v>35</v>
      </c>
      <c r="F11" s="12" t="s">
        <v>36</v>
      </c>
      <c r="G11" s="132"/>
    </row>
    <row r="12" spans="1:7" ht="15.75" x14ac:dyDescent="0.25">
      <c r="A12" s="88">
        <v>1</v>
      </c>
      <c r="B12" s="87">
        <v>2</v>
      </c>
      <c r="C12" s="87">
        <v>3</v>
      </c>
      <c r="D12" s="88">
        <v>4</v>
      </c>
      <c r="E12" s="88">
        <v>5</v>
      </c>
      <c r="F12" s="88">
        <v>6</v>
      </c>
      <c r="G12" s="88">
        <v>7</v>
      </c>
    </row>
    <row r="13" spans="1:7" ht="47.25" x14ac:dyDescent="0.25">
      <c r="A13" s="66" t="s">
        <v>93</v>
      </c>
      <c r="B13" s="67" t="s">
        <v>94</v>
      </c>
      <c r="C13" s="87" t="s">
        <v>60</v>
      </c>
      <c r="D13" s="19">
        <f>+'1 pr. asignavimai'!C89</f>
        <v>390.9</v>
      </c>
      <c r="E13" s="19">
        <f>+'1 pr. asignavimai'!D89</f>
        <v>267.89999999999998</v>
      </c>
      <c r="F13" s="19">
        <f>+'1 pr. asignavimai'!E89</f>
        <v>0</v>
      </c>
      <c r="G13" s="19">
        <f>+'1 pr. asignavimai'!F89</f>
        <v>123</v>
      </c>
    </row>
    <row r="14" spans="1:7" ht="47.25" x14ac:dyDescent="0.25">
      <c r="A14" s="68" t="s">
        <v>96</v>
      </c>
      <c r="B14" s="69" t="s">
        <v>97</v>
      </c>
      <c r="C14" s="87" t="s">
        <v>49</v>
      </c>
      <c r="D14" s="19">
        <f>+'1 pr. asignavimai'!C46</f>
        <v>1982.2</v>
      </c>
      <c r="E14" s="19">
        <f>+'1 pr. asignavimai'!D46</f>
        <v>298.39999999999998</v>
      </c>
      <c r="F14" s="19">
        <f>+'1 pr. asignavimai'!E46</f>
        <v>3.3</v>
      </c>
      <c r="G14" s="19">
        <f>+'1 pr. asignavimai'!F46</f>
        <v>1683.8</v>
      </c>
    </row>
    <row r="15" spans="1:7" ht="31.5" x14ac:dyDescent="0.25">
      <c r="A15" s="136" t="s">
        <v>98</v>
      </c>
      <c r="B15" s="137" t="s">
        <v>38</v>
      </c>
      <c r="C15" s="87" t="s">
        <v>3</v>
      </c>
      <c r="D15" s="70">
        <f>+'1 pr. asignavimai'!C11</f>
        <v>13969.1</v>
      </c>
      <c r="E15" s="70">
        <f>+'1 pr. asignavimai'!D11</f>
        <v>10844.2</v>
      </c>
      <c r="F15" s="70">
        <f>+'1 pr. asignavimai'!E11</f>
        <v>8296.7000000000007</v>
      </c>
      <c r="G15" s="70">
        <f>+'1 pr. asignavimai'!F11</f>
        <v>3124.9</v>
      </c>
    </row>
    <row r="16" spans="1:7" ht="47.25" x14ac:dyDescent="0.25">
      <c r="A16" s="136"/>
      <c r="B16" s="137"/>
      <c r="C16" s="87" t="s">
        <v>49</v>
      </c>
      <c r="D16" s="70">
        <f>+'1 pr. asignavimai'!C50</f>
        <v>125.3</v>
      </c>
      <c r="E16" s="70">
        <f>+'1 pr. asignavimai'!D50</f>
        <v>125.3</v>
      </c>
      <c r="F16" s="70">
        <f>+'1 pr. asignavimai'!E50</f>
        <v>0</v>
      </c>
      <c r="G16" s="70">
        <f>+'1 pr. asignavimai'!F50</f>
        <v>0</v>
      </c>
    </row>
    <row r="17" spans="1:7" ht="47.25" x14ac:dyDescent="0.25">
      <c r="A17" s="136"/>
      <c r="B17" s="137"/>
      <c r="C17" s="87" t="s">
        <v>37</v>
      </c>
      <c r="D17" s="70">
        <f>+'1 pr. asignavimai'!C7</f>
        <v>234</v>
      </c>
      <c r="E17" s="70">
        <f>+'1 pr. asignavimai'!D7</f>
        <v>233</v>
      </c>
      <c r="F17" s="70">
        <f>+'1 pr. asignavimai'!E7</f>
        <v>221.5</v>
      </c>
      <c r="G17" s="70">
        <f>+'1 pr. asignavimai'!F7</f>
        <v>1</v>
      </c>
    </row>
    <row r="18" spans="1:7" ht="15.75" x14ac:dyDescent="0.25">
      <c r="A18" s="136"/>
      <c r="B18" s="137"/>
      <c r="C18" s="87" t="s">
        <v>95</v>
      </c>
      <c r="D18" s="19">
        <f>SUM(D15:D17)</f>
        <v>14328.4</v>
      </c>
      <c r="E18" s="19">
        <f t="shared" ref="E18:G18" si="0">SUM(E15:E17)</f>
        <v>11202.5</v>
      </c>
      <c r="F18" s="19">
        <f t="shared" si="0"/>
        <v>8518.2000000000007</v>
      </c>
      <c r="G18" s="19">
        <f t="shared" si="0"/>
        <v>3125.9</v>
      </c>
    </row>
    <row r="19" spans="1:7" ht="47.25" x14ac:dyDescent="0.25">
      <c r="A19" s="91" t="s">
        <v>140</v>
      </c>
      <c r="B19" s="89" t="s">
        <v>87</v>
      </c>
      <c r="C19" s="87" t="s">
        <v>49</v>
      </c>
      <c r="D19" s="19">
        <f>+'1 pr. asignavimai'!C56</f>
        <v>463.1</v>
      </c>
      <c r="E19" s="19">
        <f>+'1 pr. asignavimai'!D56</f>
        <v>463.1</v>
      </c>
      <c r="F19" s="19">
        <f>+'1 pr. asignavimai'!E56</f>
        <v>0</v>
      </c>
      <c r="G19" s="19">
        <f>+'1 pr. asignavimai'!F56</f>
        <v>0</v>
      </c>
    </row>
    <row r="20" spans="1:7" ht="47.25" x14ac:dyDescent="0.25">
      <c r="A20" s="146" t="s">
        <v>99</v>
      </c>
      <c r="B20" s="143" t="s">
        <v>61</v>
      </c>
      <c r="C20" s="87" t="s">
        <v>49</v>
      </c>
      <c r="D20" s="70">
        <f>+'1 pr. asignavimai'!C57</f>
        <v>3328.4</v>
      </c>
      <c r="E20" s="70">
        <f>+'1 pr. asignavimai'!D57</f>
        <v>168.4</v>
      </c>
      <c r="F20" s="70">
        <f>+'1 pr. asignavimai'!E57</f>
        <v>0</v>
      </c>
      <c r="G20" s="70">
        <f>+'1 pr. asignavimai'!F57</f>
        <v>3160</v>
      </c>
    </row>
    <row r="21" spans="1:7" ht="31.5" x14ac:dyDescent="0.25">
      <c r="A21" s="141"/>
      <c r="B21" s="147"/>
      <c r="C21" s="87" t="s">
        <v>4</v>
      </c>
      <c r="D21" s="70">
        <f>+'1 pr. asignavimai'!C91</f>
        <v>5110.3999999999996</v>
      </c>
      <c r="E21" s="70">
        <f>+'1 pr. asignavimai'!D91</f>
        <v>5060.3999999999996</v>
      </c>
      <c r="F21" s="70">
        <f>+'1 pr. asignavimai'!E91</f>
        <v>0</v>
      </c>
      <c r="G21" s="70">
        <f>+'1 pr. asignavimai'!F91</f>
        <v>50</v>
      </c>
    </row>
    <row r="22" spans="1:7" ht="15.75" x14ac:dyDescent="0.25">
      <c r="A22" s="142"/>
      <c r="B22" s="148"/>
      <c r="C22" s="87" t="s">
        <v>95</v>
      </c>
      <c r="D22" s="19">
        <f>SUM(D20:D21)</f>
        <v>8438.7999999999993</v>
      </c>
      <c r="E22" s="19">
        <f t="shared" ref="E22:G22" si="1">SUM(E20:E21)</f>
        <v>5228.8</v>
      </c>
      <c r="F22" s="19">
        <f t="shared" si="1"/>
        <v>0</v>
      </c>
      <c r="G22" s="19">
        <f t="shared" si="1"/>
        <v>3210</v>
      </c>
    </row>
    <row r="23" spans="1:7" ht="31.5" x14ac:dyDescent="0.25">
      <c r="A23" s="140" t="s">
        <v>100</v>
      </c>
      <c r="B23" s="137" t="s">
        <v>88</v>
      </c>
      <c r="C23" s="87" t="s">
        <v>3</v>
      </c>
      <c r="D23" s="70">
        <f>+'1 pr. asignavimai'!C38</f>
        <v>136.80000000000001</v>
      </c>
      <c r="E23" s="70">
        <f>+'1 pr. asignavimai'!D38</f>
        <v>136.80000000000001</v>
      </c>
      <c r="F23" s="70">
        <f>+'1 pr. asignavimai'!E38</f>
        <v>0</v>
      </c>
      <c r="G23" s="70">
        <f>+'1 pr. asignavimai'!F38</f>
        <v>0</v>
      </c>
    </row>
    <row r="24" spans="1:7" ht="47.25" x14ac:dyDescent="0.25">
      <c r="A24" s="140"/>
      <c r="B24" s="137"/>
      <c r="C24" s="87" t="s">
        <v>49</v>
      </c>
      <c r="D24" s="70">
        <f>+'1 pr. asignavimai'!C62</f>
        <v>9307</v>
      </c>
      <c r="E24" s="70">
        <f>+'1 pr. asignavimai'!D62</f>
        <v>4316.7</v>
      </c>
      <c r="F24" s="70">
        <f>+'1 pr. asignavimai'!E62</f>
        <v>7.9</v>
      </c>
      <c r="G24" s="70">
        <f>+'1 pr. asignavimai'!F62</f>
        <v>4990.3</v>
      </c>
    </row>
    <row r="25" spans="1:7" ht="31.5" x14ac:dyDescent="0.25">
      <c r="A25" s="140"/>
      <c r="B25" s="137"/>
      <c r="C25" s="87" t="s">
        <v>4</v>
      </c>
      <c r="D25" s="70">
        <f>+'1 pr. asignavimai'!C96</f>
        <v>6151.1</v>
      </c>
      <c r="E25" s="70">
        <f>+'1 pr. asignavimai'!D96</f>
        <v>5884.2</v>
      </c>
      <c r="F25" s="70">
        <f>+'1 pr. asignavimai'!E96</f>
        <v>0</v>
      </c>
      <c r="G25" s="70">
        <f>+'1 pr. asignavimai'!F96</f>
        <v>266.89999999999998</v>
      </c>
    </row>
    <row r="26" spans="1:7" ht="15.75" x14ac:dyDescent="0.25">
      <c r="A26" s="140"/>
      <c r="B26" s="137"/>
      <c r="C26" s="87" t="s">
        <v>95</v>
      </c>
      <c r="D26" s="19">
        <f>SUM(D23:D25)</f>
        <v>15594.9</v>
      </c>
      <c r="E26" s="19">
        <f t="shared" ref="E26:G26" si="2">SUM(E23:E25)</f>
        <v>10337.700000000001</v>
      </c>
      <c r="F26" s="19">
        <f t="shared" si="2"/>
        <v>7.9</v>
      </c>
      <c r="G26" s="19">
        <f t="shared" si="2"/>
        <v>5257.2</v>
      </c>
    </row>
    <row r="27" spans="1:7" ht="31.5" x14ac:dyDescent="0.25">
      <c r="A27" s="140" t="s">
        <v>101</v>
      </c>
      <c r="B27" s="137" t="s">
        <v>127</v>
      </c>
      <c r="C27" s="87" t="s">
        <v>3</v>
      </c>
      <c r="D27" s="70">
        <f>+'1 pr. asignavimai'!C39</f>
        <v>204.4</v>
      </c>
      <c r="E27" s="70">
        <f>+'1 pr. asignavimai'!D39</f>
        <v>204.4</v>
      </c>
      <c r="F27" s="70">
        <f>+'1 pr. asignavimai'!E39</f>
        <v>0</v>
      </c>
      <c r="G27" s="70">
        <f>+'1 pr. asignavimai'!F39</f>
        <v>0</v>
      </c>
    </row>
    <row r="28" spans="1:7" ht="47.25" x14ac:dyDescent="0.25">
      <c r="A28" s="140"/>
      <c r="B28" s="137"/>
      <c r="C28" s="87" t="s">
        <v>49</v>
      </c>
      <c r="D28" s="70">
        <f>+'1 pr. asignavimai'!C66</f>
        <v>2895.4</v>
      </c>
      <c r="E28" s="70">
        <f>+'1 pr. asignavimai'!D66</f>
        <v>15.3</v>
      </c>
      <c r="F28" s="70">
        <f>+'1 pr. asignavimai'!E66</f>
        <v>14.7</v>
      </c>
      <c r="G28" s="70">
        <f>+'1 pr. asignavimai'!F66</f>
        <v>2880.1</v>
      </c>
    </row>
    <row r="29" spans="1:7" ht="31.5" x14ac:dyDescent="0.25">
      <c r="A29" s="140"/>
      <c r="B29" s="137"/>
      <c r="C29" s="87" t="s">
        <v>4</v>
      </c>
      <c r="D29" s="70">
        <f>+'1 pr. asignavimai'!C97</f>
        <v>8954.6</v>
      </c>
      <c r="E29" s="70">
        <f>+'1 pr. asignavimai'!D97</f>
        <v>6321</v>
      </c>
      <c r="F29" s="70">
        <f>+'1 pr. asignavimai'!E97</f>
        <v>564</v>
      </c>
      <c r="G29" s="70">
        <f>+'1 pr. asignavimai'!F97</f>
        <v>2633.6</v>
      </c>
    </row>
    <row r="30" spans="1:7" ht="15.75" x14ac:dyDescent="0.25">
      <c r="A30" s="140"/>
      <c r="B30" s="137"/>
      <c r="C30" s="87" t="s">
        <v>95</v>
      </c>
      <c r="D30" s="19">
        <f>SUM(D27:D29)</f>
        <v>12054.4</v>
      </c>
      <c r="E30" s="19">
        <f t="shared" ref="E30:G30" si="3">SUM(E27:E29)</f>
        <v>6540.7</v>
      </c>
      <c r="F30" s="19">
        <f t="shared" si="3"/>
        <v>578.70000000000005</v>
      </c>
      <c r="G30" s="19">
        <f t="shared" si="3"/>
        <v>5513.7</v>
      </c>
    </row>
    <row r="31" spans="1:7" ht="47.25" x14ac:dyDescent="0.25">
      <c r="A31" s="140" t="s">
        <v>108</v>
      </c>
      <c r="B31" s="143" t="s">
        <v>133</v>
      </c>
      <c r="C31" s="87" t="s">
        <v>49</v>
      </c>
      <c r="D31" s="70">
        <f>+'1 pr. asignavimai'!C70</f>
        <v>2320.5</v>
      </c>
      <c r="E31" s="70">
        <f>+'1 pr. asignavimai'!D70</f>
        <v>1005.6</v>
      </c>
      <c r="F31" s="70">
        <f>+'1 pr. asignavimai'!E70</f>
        <v>7.2</v>
      </c>
      <c r="G31" s="70">
        <f>+'1 pr. asignavimai'!F70</f>
        <v>1314.9</v>
      </c>
    </row>
    <row r="32" spans="1:7" ht="45" customHeight="1" x14ac:dyDescent="0.25">
      <c r="A32" s="140"/>
      <c r="B32" s="144"/>
      <c r="C32" s="87" t="s">
        <v>5</v>
      </c>
      <c r="D32" s="70">
        <f>+'1 pr. asignavimai'!C111</f>
        <v>7421.3</v>
      </c>
      <c r="E32" s="70">
        <f>+'1 pr. asignavimai'!D111</f>
        <v>7252.2</v>
      </c>
      <c r="F32" s="70">
        <f>+'1 pr. asignavimai'!E111</f>
        <v>3294.2</v>
      </c>
      <c r="G32" s="70">
        <f>+'1 pr. asignavimai'!F111</f>
        <v>169.1</v>
      </c>
    </row>
    <row r="33" spans="1:7" ht="31.5" x14ac:dyDescent="0.25">
      <c r="A33" s="140"/>
      <c r="B33" s="144"/>
      <c r="C33" s="87" t="s">
        <v>4</v>
      </c>
      <c r="D33" s="70">
        <f>+'1 pr. asignavimai'!C101</f>
        <v>202.8</v>
      </c>
      <c r="E33" s="70">
        <f>+'1 pr. asignavimai'!D101</f>
        <v>157.80000000000001</v>
      </c>
      <c r="F33" s="70">
        <f>+'1 pr. asignavimai'!E101</f>
        <v>0</v>
      </c>
      <c r="G33" s="70">
        <f>+'1 pr. asignavimai'!F101</f>
        <v>45</v>
      </c>
    </row>
    <row r="34" spans="1:7" ht="15.75" x14ac:dyDescent="0.25">
      <c r="A34" s="140"/>
      <c r="B34" s="145"/>
      <c r="C34" s="87" t="s">
        <v>95</v>
      </c>
      <c r="D34" s="19">
        <f>SUM(D31:D33)</f>
        <v>9944.6</v>
      </c>
      <c r="E34" s="19">
        <f t="shared" ref="E34:G34" si="4">SUM(E31:E33)</f>
        <v>8415.6</v>
      </c>
      <c r="F34" s="19">
        <f t="shared" si="4"/>
        <v>3301.4</v>
      </c>
      <c r="G34" s="19">
        <f t="shared" si="4"/>
        <v>1529</v>
      </c>
    </row>
    <row r="35" spans="1:7" ht="31.5" x14ac:dyDescent="0.25">
      <c r="A35" s="91" t="s">
        <v>102</v>
      </c>
      <c r="B35" s="71" t="s">
        <v>103</v>
      </c>
      <c r="C35" s="87" t="s">
        <v>3</v>
      </c>
      <c r="D35" s="19">
        <f>+'1 pr. asignavimai'!C40</f>
        <v>271</v>
      </c>
      <c r="E35" s="19">
        <f>+'1 pr. asignavimai'!D40</f>
        <v>271</v>
      </c>
      <c r="F35" s="19">
        <f>+'1 pr. asignavimai'!E40</f>
        <v>0</v>
      </c>
      <c r="G35" s="19">
        <f>+'1 pr. asignavimai'!F40</f>
        <v>0</v>
      </c>
    </row>
    <row r="36" spans="1:7" ht="31.5" x14ac:dyDescent="0.25">
      <c r="A36" s="146" t="s">
        <v>104</v>
      </c>
      <c r="B36" s="143" t="s">
        <v>65</v>
      </c>
      <c r="C36" s="87" t="s">
        <v>3</v>
      </c>
      <c r="D36" s="70">
        <f>+'1 pr. asignavimai'!C41</f>
        <v>163.4</v>
      </c>
      <c r="E36" s="70">
        <f>+'1 pr. asignavimai'!D41</f>
        <v>5.4</v>
      </c>
      <c r="F36" s="70">
        <f>+'1 pr. asignavimai'!E41</f>
        <v>0</v>
      </c>
      <c r="G36" s="70">
        <f>+'1 pr. asignavimai'!F41</f>
        <v>158</v>
      </c>
    </row>
    <row r="37" spans="1:7" ht="47.25" x14ac:dyDescent="0.25">
      <c r="A37" s="141"/>
      <c r="B37" s="147"/>
      <c r="C37" s="87" t="s">
        <v>49</v>
      </c>
      <c r="D37" s="70">
        <f>+'1 pr. asignavimai'!C74</f>
        <v>5047.6000000000004</v>
      </c>
      <c r="E37" s="70">
        <f>+'1 pr. asignavimai'!D74</f>
        <v>347.1</v>
      </c>
      <c r="F37" s="70">
        <f>+'1 pr. asignavimai'!E74</f>
        <v>2.1</v>
      </c>
      <c r="G37" s="70">
        <f>+'1 pr. asignavimai'!F74</f>
        <v>4700.5</v>
      </c>
    </row>
    <row r="38" spans="1:7" ht="31.5" x14ac:dyDescent="0.25">
      <c r="A38" s="141"/>
      <c r="B38" s="147"/>
      <c r="C38" s="87" t="s">
        <v>4</v>
      </c>
      <c r="D38" s="70">
        <f>+'1 pr. asignavimai'!C102</f>
        <v>5317</v>
      </c>
      <c r="E38" s="70">
        <f>+'1 pr. asignavimai'!D102</f>
        <v>3715</v>
      </c>
      <c r="F38" s="70">
        <f>+'1 pr. asignavimai'!E102</f>
        <v>0</v>
      </c>
      <c r="G38" s="70">
        <f>+'1 pr. asignavimai'!F102</f>
        <v>1602</v>
      </c>
    </row>
    <row r="39" spans="1:7" ht="48" customHeight="1" x14ac:dyDescent="0.25">
      <c r="A39" s="141"/>
      <c r="B39" s="147"/>
      <c r="C39" s="87" t="s">
        <v>5</v>
      </c>
      <c r="D39" s="70">
        <f>+'1 pr. asignavimai'!C115</f>
        <v>78611.399999999994</v>
      </c>
      <c r="E39" s="70">
        <f>+'1 pr. asignavimai'!D115</f>
        <v>78294.100000000006</v>
      </c>
      <c r="F39" s="70">
        <f>+'1 pr. asignavimai'!E115</f>
        <v>67353</v>
      </c>
      <c r="G39" s="70">
        <f>+'1 pr. asignavimai'!F115</f>
        <v>317.3</v>
      </c>
    </row>
    <row r="40" spans="1:7" ht="15.75" x14ac:dyDescent="0.25">
      <c r="A40" s="142"/>
      <c r="B40" s="148"/>
      <c r="C40" s="87" t="s">
        <v>95</v>
      </c>
      <c r="D40" s="19">
        <f>SUM(D36:D39)</f>
        <v>89139.4</v>
      </c>
      <c r="E40" s="19">
        <f t="shared" ref="E40:G40" si="5">SUM(E36:E39)</f>
        <v>82361.600000000006</v>
      </c>
      <c r="F40" s="19">
        <f t="shared" si="5"/>
        <v>67355.100000000006</v>
      </c>
      <c r="G40" s="19">
        <f t="shared" si="5"/>
        <v>6777.8</v>
      </c>
    </row>
    <row r="41" spans="1:7" ht="31.5" x14ac:dyDescent="0.25">
      <c r="A41" s="146" t="s">
        <v>105</v>
      </c>
      <c r="B41" s="143" t="s">
        <v>69</v>
      </c>
      <c r="C41" s="87" t="s">
        <v>3</v>
      </c>
      <c r="D41" s="70">
        <f>+'1 pr. asignavimai'!C42</f>
        <v>12.6</v>
      </c>
      <c r="E41" s="70">
        <f>+'1 pr. asignavimai'!D42</f>
        <v>0</v>
      </c>
      <c r="F41" s="70">
        <f>+'1 pr. asignavimai'!E42</f>
        <v>0</v>
      </c>
      <c r="G41" s="70">
        <f>+'1 pr. asignavimai'!F42</f>
        <v>12.6</v>
      </c>
    </row>
    <row r="42" spans="1:7" ht="53.25" customHeight="1" x14ac:dyDescent="0.25">
      <c r="A42" s="141"/>
      <c r="B42" s="147"/>
      <c r="C42" s="87" t="s">
        <v>49</v>
      </c>
      <c r="D42" s="70">
        <f>+'1 pr. asignavimai'!C79</f>
        <v>1428.6</v>
      </c>
      <c r="E42" s="70">
        <f>+'1 pr. asignavimai'!D79</f>
        <v>0</v>
      </c>
      <c r="F42" s="70">
        <f>+'1 pr. asignavimai'!E79</f>
        <v>0</v>
      </c>
      <c r="G42" s="70">
        <f>+'1 pr. asignavimai'!F79</f>
        <v>1428.6</v>
      </c>
    </row>
    <row r="43" spans="1:7" ht="31.5" x14ac:dyDescent="0.25">
      <c r="A43" s="141"/>
      <c r="B43" s="147"/>
      <c r="C43" s="87" t="s">
        <v>4</v>
      </c>
      <c r="D43" s="70">
        <f>+'1 pr. asignavimai'!C107</f>
        <v>218.7</v>
      </c>
      <c r="E43" s="70">
        <f>+'1 pr. asignavimai'!D107</f>
        <v>218.7</v>
      </c>
      <c r="F43" s="70">
        <f>+'1 pr. asignavimai'!E107</f>
        <v>0</v>
      </c>
      <c r="G43" s="70">
        <f>+'1 pr. asignavimai'!F107</f>
        <v>0</v>
      </c>
    </row>
    <row r="44" spans="1:7" ht="46.5" customHeight="1" x14ac:dyDescent="0.25">
      <c r="A44" s="141"/>
      <c r="B44" s="147"/>
      <c r="C44" s="87" t="s">
        <v>5</v>
      </c>
      <c r="D44" s="70">
        <f>+'1 pr. asignavimai'!C124</f>
        <v>8003.2</v>
      </c>
      <c r="E44" s="70">
        <f>+'1 pr. asignavimai'!D124</f>
        <v>7820.6</v>
      </c>
      <c r="F44" s="70">
        <f>+'1 pr. asignavimai'!E124</f>
        <v>3852.5</v>
      </c>
      <c r="G44" s="70">
        <f>+'1 pr. asignavimai'!F124</f>
        <v>182.6</v>
      </c>
    </row>
    <row r="45" spans="1:7" ht="39" customHeight="1" x14ac:dyDescent="0.25">
      <c r="A45" s="141"/>
      <c r="B45" s="147"/>
      <c r="C45" s="87" t="s">
        <v>6</v>
      </c>
      <c r="D45" s="70">
        <f>+'1 pr. asignavimai'!C156</f>
        <v>10.4</v>
      </c>
      <c r="E45" s="70">
        <f>+'1 pr. asignavimai'!D156</f>
        <v>10.4</v>
      </c>
      <c r="F45" s="70">
        <f>+'1 pr. asignavimai'!E156</f>
        <v>2</v>
      </c>
      <c r="G45" s="70">
        <f>+'1 pr. asignavimai'!F156</f>
        <v>0</v>
      </c>
    </row>
    <row r="46" spans="1:7" ht="21.75" customHeight="1" x14ac:dyDescent="0.25">
      <c r="A46" s="142"/>
      <c r="B46" s="148"/>
      <c r="C46" s="87" t="s">
        <v>95</v>
      </c>
      <c r="D46" s="19">
        <f>SUM(D41:D45)</f>
        <v>9673.5</v>
      </c>
      <c r="E46" s="19">
        <f t="shared" ref="E46:G46" si="6">SUM(E41:E45)</f>
        <v>8049.7</v>
      </c>
      <c r="F46" s="19">
        <f t="shared" si="6"/>
        <v>3854.5</v>
      </c>
      <c r="G46" s="19">
        <f t="shared" si="6"/>
        <v>1623.8</v>
      </c>
    </row>
    <row r="47" spans="1:7" ht="34.5" customHeight="1" x14ac:dyDescent="0.25">
      <c r="A47" s="146" t="s">
        <v>106</v>
      </c>
      <c r="B47" s="143" t="s">
        <v>72</v>
      </c>
      <c r="C47" s="87" t="s">
        <v>3</v>
      </c>
      <c r="D47" s="70">
        <f>+'1 pr. asignavimai'!C43</f>
        <v>414.2</v>
      </c>
      <c r="E47" s="70">
        <f>+'1 pr. asignavimai'!D43</f>
        <v>0</v>
      </c>
      <c r="F47" s="70">
        <f>+'1 pr. asignavimai'!E43</f>
        <v>0</v>
      </c>
      <c r="G47" s="70">
        <f>+'1 pr. asignavimai'!F43</f>
        <v>414.2</v>
      </c>
    </row>
    <row r="48" spans="1:7" ht="54.75" customHeight="1" x14ac:dyDescent="0.25">
      <c r="A48" s="141"/>
      <c r="B48" s="147"/>
      <c r="C48" s="87" t="s">
        <v>49</v>
      </c>
      <c r="D48" s="70">
        <f>+'1 pr. asignavimai'!C83</f>
        <v>2801</v>
      </c>
      <c r="E48" s="70">
        <f>+'1 pr. asignavimai'!D83</f>
        <v>89.8</v>
      </c>
      <c r="F48" s="70">
        <f>+'1 pr. asignavimai'!E83</f>
        <v>1.4</v>
      </c>
      <c r="G48" s="70">
        <f>+'1 pr. asignavimai'!F83</f>
        <v>2711.2</v>
      </c>
    </row>
    <row r="49" spans="1:7" ht="36.75" customHeight="1" x14ac:dyDescent="0.25">
      <c r="A49" s="141"/>
      <c r="B49" s="147"/>
      <c r="C49" s="87" t="s">
        <v>4</v>
      </c>
      <c r="D49" s="70">
        <f>+'1 pr. asignavimai'!C108</f>
        <v>183.6</v>
      </c>
      <c r="E49" s="70">
        <f>+'1 pr. asignavimai'!D108</f>
        <v>160.19999999999999</v>
      </c>
      <c r="F49" s="70">
        <f>+'1 pr. asignavimai'!E108</f>
        <v>0</v>
      </c>
      <c r="G49" s="70">
        <f>+'1 pr. asignavimai'!F108</f>
        <v>23.4</v>
      </c>
    </row>
    <row r="50" spans="1:7" ht="36" customHeight="1" x14ac:dyDescent="0.25">
      <c r="A50" s="141"/>
      <c r="B50" s="147"/>
      <c r="C50" s="87" t="s">
        <v>6</v>
      </c>
      <c r="D50" s="70">
        <f>+'1 pr. asignavimai'!C129</f>
        <v>17027.099999999999</v>
      </c>
      <c r="E50" s="70">
        <f>+'1 pr. asignavimai'!D129</f>
        <v>16933.3</v>
      </c>
      <c r="F50" s="70">
        <f>+'1 pr. asignavimai'!E129</f>
        <v>7219.9</v>
      </c>
      <c r="G50" s="70">
        <f>+'1 pr. asignavimai'!F129</f>
        <v>93.8</v>
      </c>
    </row>
    <row r="51" spans="1:7" ht="21" customHeight="1" x14ac:dyDescent="0.25">
      <c r="A51" s="142"/>
      <c r="B51" s="148"/>
      <c r="C51" s="87" t="s">
        <v>95</v>
      </c>
      <c r="D51" s="19">
        <f>SUM(D47:D50)</f>
        <v>20425.900000000001</v>
      </c>
      <c r="E51" s="19">
        <f t="shared" ref="E51:G51" si="7">SUM(E47:E50)</f>
        <v>17183.3</v>
      </c>
      <c r="F51" s="19">
        <f t="shared" si="7"/>
        <v>7221.3</v>
      </c>
      <c r="G51" s="19">
        <f t="shared" si="7"/>
        <v>3242.6</v>
      </c>
    </row>
    <row r="52" spans="1:7" ht="28.5" customHeight="1" x14ac:dyDescent="0.25">
      <c r="A52" s="92"/>
      <c r="B52" s="143" t="s">
        <v>78</v>
      </c>
      <c r="C52" s="87" t="s">
        <v>3</v>
      </c>
      <c r="D52" s="70">
        <f>+'1 pr. asignavimai'!C44</f>
        <v>150</v>
      </c>
      <c r="E52" s="70">
        <f>+'1 pr. asignavimai'!D44</f>
        <v>0</v>
      </c>
      <c r="F52" s="70">
        <f>+'1 pr. asignavimai'!E44</f>
        <v>0</v>
      </c>
      <c r="G52" s="70">
        <f>+'1 pr. asignavimai'!F44</f>
        <v>150</v>
      </c>
    </row>
    <row r="53" spans="1:7" ht="47.25" x14ac:dyDescent="0.25">
      <c r="A53" s="141" t="s">
        <v>139</v>
      </c>
      <c r="B53" s="147"/>
      <c r="C53" s="87" t="s">
        <v>49</v>
      </c>
      <c r="D53" s="70">
        <f>+'1 pr. asignavimai'!C87</f>
        <v>613.9</v>
      </c>
      <c r="E53" s="70">
        <f>+'1 pr. asignavimai'!D87</f>
        <v>0</v>
      </c>
      <c r="F53" s="70">
        <f>+'1 pr. asignavimai'!E87</f>
        <v>0</v>
      </c>
      <c r="G53" s="70">
        <f>+'1 pr. asignavimai'!F87</f>
        <v>613.9</v>
      </c>
    </row>
    <row r="54" spans="1:7" ht="31.5" x14ac:dyDescent="0.25">
      <c r="A54" s="141"/>
      <c r="B54" s="147"/>
      <c r="C54" s="87" t="s">
        <v>4</v>
      </c>
      <c r="D54" s="70">
        <f>+'1 pr. asignavimai'!C109</f>
        <v>183.9</v>
      </c>
      <c r="E54" s="70">
        <f>+'1 pr. asignavimai'!D109</f>
        <v>3</v>
      </c>
      <c r="F54" s="70">
        <f>+'1 pr. asignavimai'!E109</f>
        <v>0</v>
      </c>
      <c r="G54" s="70">
        <f>+'1 pr. asignavimai'!F109</f>
        <v>180.9</v>
      </c>
    </row>
    <row r="55" spans="1:7" ht="31.5" x14ac:dyDescent="0.25">
      <c r="A55" s="141"/>
      <c r="B55" s="147"/>
      <c r="C55" s="87" t="s">
        <v>6</v>
      </c>
      <c r="D55" s="70">
        <f>+'1 pr. asignavimai'!C143</f>
        <v>2804.7</v>
      </c>
      <c r="E55" s="70">
        <f>+'1 pr. asignavimai'!D143</f>
        <v>2774.3</v>
      </c>
      <c r="F55" s="70">
        <f>+'1 pr. asignavimai'!E143</f>
        <v>2022.4</v>
      </c>
      <c r="G55" s="70">
        <f>+'1 pr. asignavimai'!F143</f>
        <v>30.4</v>
      </c>
    </row>
    <row r="56" spans="1:7" ht="15.75" x14ac:dyDescent="0.25">
      <c r="A56" s="142"/>
      <c r="B56" s="148"/>
      <c r="C56" s="87" t="s">
        <v>95</v>
      </c>
      <c r="D56" s="19">
        <f>SUM(D52:D55)</f>
        <v>3752.5</v>
      </c>
      <c r="E56" s="19">
        <f t="shared" ref="E56:G56" si="8">SUM(E52:E55)</f>
        <v>2777.3</v>
      </c>
      <c r="F56" s="19">
        <f t="shared" si="8"/>
        <v>2022.4</v>
      </c>
      <c r="G56" s="19">
        <f t="shared" si="8"/>
        <v>975.2</v>
      </c>
    </row>
    <row r="57" spans="1:7" ht="15.75" x14ac:dyDescent="0.25">
      <c r="A57" s="88" t="s">
        <v>92</v>
      </c>
      <c r="B57" s="8" t="s">
        <v>107</v>
      </c>
      <c r="C57" s="8"/>
      <c r="D57" s="19">
        <f>+D13+D14+D18+D19+D22+D26+D30+D34+D35+D40+D46+D51+D56</f>
        <v>186459.6</v>
      </c>
      <c r="E57" s="19">
        <f t="shared" ref="E57:G57" si="9">+E13+E14+E18+E19+E22+E26+E30+E34+E35+E40+E46+E51+E56</f>
        <v>153397.6</v>
      </c>
      <c r="F57" s="19">
        <f t="shared" si="9"/>
        <v>92862.8</v>
      </c>
      <c r="G57" s="19">
        <f t="shared" si="9"/>
        <v>33062</v>
      </c>
    </row>
    <row r="58" spans="1:7" ht="15.75" x14ac:dyDescent="0.25">
      <c r="A58" s="3" t="s">
        <v>254</v>
      </c>
      <c r="B58" s="101"/>
      <c r="C58" s="87" t="s">
        <v>2</v>
      </c>
      <c r="D58" s="62"/>
      <c r="E58" s="62"/>
      <c r="F58" s="62"/>
      <c r="G58" s="62"/>
    </row>
    <row r="59" spans="1:7" ht="15.75" x14ac:dyDescent="0.25">
      <c r="A59" s="3" t="s">
        <v>255</v>
      </c>
      <c r="B59" s="101"/>
      <c r="C59" s="7" t="s">
        <v>252</v>
      </c>
      <c r="D59" s="62">
        <f>+E59+G59</f>
        <v>2904.2</v>
      </c>
      <c r="E59" s="62"/>
      <c r="F59" s="62"/>
      <c r="G59" s="62">
        <v>2904.2</v>
      </c>
    </row>
    <row r="60" spans="1:7" ht="15.75" x14ac:dyDescent="0.25">
      <c r="A60" s="3" t="s">
        <v>256</v>
      </c>
      <c r="B60" s="134" t="s">
        <v>257</v>
      </c>
      <c r="C60" s="135"/>
      <c r="D60" s="61">
        <f>+D57-D59</f>
        <v>183555.4</v>
      </c>
      <c r="E60" s="61">
        <f t="shared" ref="E60:G60" si="10">+E57-E59</f>
        <v>153397.6</v>
      </c>
      <c r="F60" s="61">
        <f t="shared" si="10"/>
        <v>92862.8</v>
      </c>
      <c r="G60" s="61">
        <f t="shared" si="10"/>
        <v>30157.8</v>
      </c>
    </row>
    <row r="61" spans="1:7" x14ac:dyDescent="0.2">
      <c r="B61" s="123"/>
      <c r="C61" s="123"/>
      <c r="D61" s="20"/>
      <c r="E61" s="20"/>
      <c r="F61" s="20"/>
      <c r="G61" s="20"/>
    </row>
    <row r="62" spans="1:7" x14ac:dyDescent="0.2">
      <c r="B62" s="15"/>
      <c r="C62" s="15"/>
    </row>
  </sheetData>
  <mergeCells count="27">
    <mergeCell ref="A20:A22"/>
    <mergeCell ref="B20:B22"/>
    <mergeCell ref="B23:B26"/>
    <mergeCell ref="A27:A30"/>
    <mergeCell ref="B27:B30"/>
    <mergeCell ref="B47:B51"/>
    <mergeCell ref="B36:B40"/>
    <mergeCell ref="B41:B46"/>
    <mergeCell ref="B52:B56"/>
    <mergeCell ref="A41:A46"/>
    <mergeCell ref="A36:A40"/>
    <mergeCell ref="B60:C60"/>
    <mergeCell ref="A15:A18"/>
    <mergeCell ref="B15:B18"/>
    <mergeCell ref="A5:G6"/>
    <mergeCell ref="A9:A11"/>
    <mergeCell ref="B9:B11"/>
    <mergeCell ref="C9:C11"/>
    <mergeCell ref="D9:D11"/>
    <mergeCell ref="E9:G9"/>
    <mergeCell ref="E10:F10"/>
    <mergeCell ref="G10:G11"/>
    <mergeCell ref="A31:A34"/>
    <mergeCell ref="A23:A26"/>
    <mergeCell ref="A53:A56"/>
    <mergeCell ref="B31:B34"/>
    <mergeCell ref="A47:A51"/>
  </mergeCells>
  <pageMargins left="0.9055118110236221" right="0.51181102362204722" top="0.74803149606299213" bottom="0.3937007874015748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sqref="A1:C20"/>
    </sheetView>
  </sheetViews>
  <sheetFormatPr defaultColWidth="10.140625" defaultRowHeight="15.75" x14ac:dyDescent="0.25"/>
  <cols>
    <col min="1" max="1" width="6" style="114" customWidth="1"/>
    <col min="2" max="2" width="58.7109375" customWidth="1"/>
    <col min="3" max="3" width="18.5703125" customWidth="1"/>
    <col min="255" max="255" width="6" customWidth="1"/>
    <col min="256" max="256" width="54.28515625" customWidth="1"/>
    <col min="257" max="257" width="15.140625" customWidth="1"/>
    <col min="258" max="258" width="10.85546875" customWidth="1"/>
    <col min="259" max="259" width="11.140625" customWidth="1"/>
    <col min="511" max="511" width="6" customWidth="1"/>
    <col min="512" max="512" width="54.28515625" customWidth="1"/>
    <col min="513" max="513" width="15.140625" customWidth="1"/>
    <col min="514" max="514" width="10.85546875" customWidth="1"/>
    <col min="515" max="515" width="11.140625" customWidth="1"/>
    <col min="767" max="767" width="6" customWidth="1"/>
    <col min="768" max="768" width="54.28515625" customWidth="1"/>
    <col min="769" max="769" width="15.140625" customWidth="1"/>
    <col min="770" max="770" width="10.85546875" customWidth="1"/>
    <col min="771" max="771" width="11.140625" customWidth="1"/>
    <col min="1023" max="1023" width="6" customWidth="1"/>
    <col min="1024" max="1024" width="54.28515625" customWidth="1"/>
    <col min="1025" max="1025" width="15.140625" customWidth="1"/>
    <col min="1026" max="1026" width="10.85546875" customWidth="1"/>
    <col min="1027" max="1027" width="11.140625" customWidth="1"/>
    <col min="1279" max="1279" width="6" customWidth="1"/>
    <col min="1280" max="1280" width="54.28515625" customWidth="1"/>
    <col min="1281" max="1281" width="15.140625" customWidth="1"/>
    <col min="1282" max="1282" width="10.85546875" customWidth="1"/>
    <col min="1283" max="1283" width="11.140625" customWidth="1"/>
    <col min="1535" max="1535" width="6" customWidth="1"/>
    <col min="1536" max="1536" width="54.28515625" customWidth="1"/>
    <col min="1537" max="1537" width="15.140625" customWidth="1"/>
    <col min="1538" max="1538" width="10.85546875" customWidth="1"/>
    <col min="1539" max="1539" width="11.140625" customWidth="1"/>
    <col min="1791" max="1791" width="6" customWidth="1"/>
    <col min="1792" max="1792" width="54.28515625" customWidth="1"/>
    <col min="1793" max="1793" width="15.140625" customWidth="1"/>
    <col min="1794" max="1794" width="10.85546875" customWidth="1"/>
    <col min="1795" max="1795" width="11.140625" customWidth="1"/>
    <col min="2047" max="2047" width="6" customWidth="1"/>
    <col min="2048" max="2048" width="54.28515625" customWidth="1"/>
    <col min="2049" max="2049" width="15.140625" customWidth="1"/>
    <col min="2050" max="2050" width="10.85546875" customWidth="1"/>
    <col min="2051" max="2051" width="11.140625" customWidth="1"/>
    <col min="2303" max="2303" width="6" customWidth="1"/>
    <col min="2304" max="2304" width="54.28515625" customWidth="1"/>
    <col min="2305" max="2305" width="15.140625" customWidth="1"/>
    <col min="2306" max="2306" width="10.85546875" customWidth="1"/>
    <col min="2307" max="2307" width="11.140625" customWidth="1"/>
    <col min="2559" max="2559" width="6" customWidth="1"/>
    <col min="2560" max="2560" width="54.28515625" customWidth="1"/>
    <col min="2561" max="2561" width="15.140625" customWidth="1"/>
    <col min="2562" max="2562" width="10.85546875" customWidth="1"/>
    <col min="2563" max="2563" width="11.140625" customWidth="1"/>
    <col min="2815" max="2815" width="6" customWidth="1"/>
    <col min="2816" max="2816" width="54.28515625" customWidth="1"/>
    <col min="2817" max="2817" width="15.140625" customWidth="1"/>
    <col min="2818" max="2818" width="10.85546875" customWidth="1"/>
    <col min="2819" max="2819" width="11.140625" customWidth="1"/>
    <col min="3071" max="3071" width="6" customWidth="1"/>
    <col min="3072" max="3072" width="54.28515625" customWidth="1"/>
    <col min="3073" max="3073" width="15.140625" customWidth="1"/>
    <col min="3074" max="3074" width="10.85546875" customWidth="1"/>
    <col min="3075" max="3075" width="11.140625" customWidth="1"/>
    <col min="3327" max="3327" width="6" customWidth="1"/>
    <col min="3328" max="3328" width="54.28515625" customWidth="1"/>
    <col min="3329" max="3329" width="15.140625" customWidth="1"/>
    <col min="3330" max="3330" width="10.85546875" customWidth="1"/>
    <col min="3331" max="3331" width="11.140625" customWidth="1"/>
    <col min="3583" max="3583" width="6" customWidth="1"/>
    <col min="3584" max="3584" width="54.28515625" customWidth="1"/>
    <col min="3585" max="3585" width="15.140625" customWidth="1"/>
    <col min="3586" max="3586" width="10.85546875" customWidth="1"/>
    <col min="3587" max="3587" width="11.140625" customWidth="1"/>
    <col min="3839" max="3839" width="6" customWidth="1"/>
    <col min="3840" max="3840" width="54.28515625" customWidth="1"/>
    <col min="3841" max="3841" width="15.140625" customWidth="1"/>
    <col min="3842" max="3842" width="10.85546875" customWidth="1"/>
    <col min="3843" max="3843" width="11.140625" customWidth="1"/>
    <col min="4095" max="4095" width="6" customWidth="1"/>
    <col min="4096" max="4096" width="54.28515625" customWidth="1"/>
    <col min="4097" max="4097" width="15.140625" customWidth="1"/>
    <col min="4098" max="4098" width="10.85546875" customWidth="1"/>
    <col min="4099" max="4099" width="11.140625" customWidth="1"/>
    <col min="4351" max="4351" width="6" customWidth="1"/>
    <col min="4352" max="4352" width="54.28515625" customWidth="1"/>
    <col min="4353" max="4353" width="15.140625" customWidth="1"/>
    <col min="4354" max="4354" width="10.85546875" customWidth="1"/>
    <col min="4355" max="4355" width="11.140625" customWidth="1"/>
    <col min="4607" max="4607" width="6" customWidth="1"/>
    <col min="4608" max="4608" width="54.28515625" customWidth="1"/>
    <col min="4609" max="4609" width="15.140625" customWidth="1"/>
    <col min="4610" max="4610" width="10.85546875" customWidth="1"/>
    <col min="4611" max="4611" width="11.140625" customWidth="1"/>
    <col min="4863" max="4863" width="6" customWidth="1"/>
    <col min="4864" max="4864" width="54.28515625" customWidth="1"/>
    <col min="4865" max="4865" width="15.140625" customWidth="1"/>
    <col min="4866" max="4866" width="10.85546875" customWidth="1"/>
    <col min="4867" max="4867" width="11.140625" customWidth="1"/>
    <col min="5119" max="5119" width="6" customWidth="1"/>
    <col min="5120" max="5120" width="54.28515625" customWidth="1"/>
    <col min="5121" max="5121" width="15.140625" customWidth="1"/>
    <col min="5122" max="5122" width="10.85546875" customWidth="1"/>
    <col min="5123" max="5123" width="11.140625" customWidth="1"/>
    <col min="5375" max="5375" width="6" customWidth="1"/>
    <col min="5376" max="5376" width="54.28515625" customWidth="1"/>
    <col min="5377" max="5377" width="15.140625" customWidth="1"/>
    <col min="5378" max="5378" width="10.85546875" customWidth="1"/>
    <col min="5379" max="5379" width="11.140625" customWidth="1"/>
    <col min="5631" max="5631" width="6" customWidth="1"/>
    <col min="5632" max="5632" width="54.28515625" customWidth="1"/>
    <col min="5633" max="5633" width="15.140625" customWidth="1"/>
    <col min="5634" max="5634" width="10.85546875" customWidth="1"/>
    <col min="5635" max="5635" width="11.140625" customWidth="1"/>
    <col min="5887" max="5887" width="6" customWidth="1"/>
    <col min="5888" max="5888" width="54.28515625" customWidth="1"/>
    <col min="5889" max="5889" width="15.140625" customWidth="1"/>
    <col min="5890" max="5890" width="10.85546875" customWidth="1"/>
    <col min="5891" max="5891" width="11.140625" customWidth="1"/>
    <col min="6143" max="6143" width="6" customWidth="1"/>
    <col min="6144" max="6144" width="54.28515625" customWidth="1"/>
    <col min="6145" max="6145" width="15.140625" customWidth="1"/>
    <col min="6146" max="6146" width="10.85546875" customWidth="1"/>
    <col min="6147" max="6147" width="11.140625" customWidth="1"/>
    <col min="6399" max="6399" width="6" customWidth="1"/>
    <col min="6400" max="6400" width="54.28515625" customWidth="1"/>
    <col min="6401" max="6401" width="15.140625" customWidth="1"/>
    <col min="6402" max="6402" width="10.85546875" customWidth="1"/>
    <col min="6403" max="6403" width="11.140625" customWidth="1"/>
    <col min="6655" max="6655" width="6" customWidth="1"/>
    <col min="6656" max="6656" width="54.28515625" customWidth="1"/>
    <col min="6657" max="6657" width="15.140625" customWidth="1"/>
    <col min="6658" max="6658" width="10.85546875" customWidth="1"/>
    <col min="6659" max="6659" width="11.140625" customWidth="1"/>
    <col min="6911" max="6911" width="6" customWidth="1"/>
    <col min="6912" max="6912" width="54.28515625" customWidth="1"/>
    <col min="6913" max="6913" width="15.140625" customWidth="1"/>
    <col min="6914" max="6914" width="10.85546875" customWidth="1"/>
    <col min="6915" max="6915" width="11.140625" customWidth="1"/>
    <col min="7167" max="7167" width="6" customWidth="1"/>
    <col min="7168" max="7168" width="54.28515625" customWidth="1"/>
    <col min="7169" max="7169" width="15.140625" customWidth="1"/>
    <col min="7170" max="7170" width="10.85546875" customWidth="1"/>
    <col min="7171" max="7171" width="11.140625" customWidth="1"/>
    <col min="7423" max="7423" width="6" customWidth="1"/>
    <col min="7424" max="7424" width="54.28515625" customWidth="1"/>
    <col min="7425" max="7425" width="15.140625" customWidth="1"/>
    <col min="7426" max="7426" width="10.85546875" customWidth="1"/>
    <col min="7427" max="7427" width="11.140625" customWidth="1"/>
    <col min="7679" max="7679" width="6" customWidth="1"/>
    <col min="7680" max="7680" width="54.28515625" customWidth="1"/>
    <col min="7681" max="7681" width="15.140625" customWidth="1"/>
    <col min="7682" max="7682" width="10.85546875" customWidth="1"/>
    <col min="7683" max="7683" width="11.140625" customWidth="1"/>
    <col min="7935" max="7935" width="6" customWidth="1"/>
    <col min="7936" max="7936" width="54.28515625" customWidth="1"/>
    <col min="7937" max="7937" width="15.140625" customWidth="1"/>
    <col min="7938" max="7938" width="10.85546875" customWidth="1"/>
    <col min="7939" max="7939" width="11.140625" customWidth="1"/>
    <col min="8191" max="8191" width="6" customWidth="1"/>
    <col min="8192" max="8192" width="54.28515625" customWidth="1"/>
    <col min="8193" max="8193" width="15.140625" customWidth="1"/>
    <col min="8194" max="8194" width="10.85546875" customWidth="1"/>
    <col min="8195" max="8195" width="11.140625" customWidth="1"/>
    <col min="8447" max="8447" width="6" customWidth="1"/>
    <col min="8448" max="8448" width="54.28515625" customWidth="1"/>
    <col min="8449" max="8449" width="15.140625" customWidth="1"/>
    <col min="8450" max="8450" width="10.85546875" customWidth="1"/>
    <col min="8451" max="8451" width="11.140625" customWidth="1"/>
    <col min="8703" max="8703" width="6" customWidth="1"/>
    <col min="8704" max="8704" width="54.28515625" customWidth="1"/>
    <col min="8705" max="8705" width="15.140625" customWidth="1"/>
    <col min="8706" max="8706" width="10.85546875" customWidth="1"/>
    <col min="8707" max="8707" width="11.140625" customWidth="1"/>
    <col min="8959" max="8959" width="6" customWidth="1"/>
    <col min="8960" max="8960" width="54.28515625" customWidth="1"/>
    <col min="8961" max="8961" width="15.140625" customWidth="1"/>
    <col min="8962" max="8962" width="10.85546875" customWidth="1"/>
    <col min="8963" max="8963" width="11.140625" customWidth="1"/>
    <col min="9215" max="9215" width="6" customWidth="1"/>
    <col min="9216" max="9216" width="54.28515625" customWidth="1"/>
    <col min="9217" max="9217" width="15.140625" customWidth="1"/>
    <col min="9218" max="9218" width="10.85546875" customWidth="1"/>
    <col min="9219" max="9219" width="11.140625" customWidth="1"/>
    <col min="9471" max="9471" width="6" customWidth="1"/>
    <col min="9472" max="9472" width="54.28515625" customWidth="1"/>
    <col min="9473" max="9473" width="15.140625" customWidth="1"/>
    <col min="9474" max="9474" width="10.85546875" customWidth="1"/>
    <col min="9475" max="9475" width="11.140625" customWidth="1"/>
    <col min="9727" max="9727" width="6" customWidth="1"/>
    <col min="9728" max="9728" width="54.28515625" customWidth="1"/>
    <col min="9729" max="9729" width="15.140625" customWidth="1"/>
    <col min="9730" max="9730" width="10.85546875" customWidth="1"/>
    <col min="9731" max="9731" width="11.140625" customWidth="1"/>
    <col min="9983" max="9983" width="6" customWidth="1"/>
    <col min="9984" max="9984" width="54.28515625" customWidth="1"/>
    <col min="9985" max="9985" width="15.140625" customWidth="1"/>
    <col min="9986" max="9986" width="10.85546875" customWidth="1"/>
    <col min="9987" max="9987" width="11.140625" customWidth="1"/>
    <col min="10239" max="10239" width="6" customWidth="1"/>
    <col min="10240" max="10240" width="54.28515625" customWidth="1"/>
    <col min="10241" max="10241" width="15.140625" customWidth="1"/>
    <col min="10242" max="10242" width="10.85546875" customWidth="1"/>
    <col min="10243" max="10243" width="11.140625" customWidth="1"/>
    <col min="10495" max="10495" width="6" customWidth="1"/>
    <col min="10496" max="10496" width="54.28515625" customWidth="1"/>
    <col min="10497" max="10497" width="15.140625" customWidth="1"/>
    <col min="10498" max="10498" width="10.85546875" customWidth="1"/>
    <col min="10499" max="10499" width="11.140625" customWidth="1"/>
    <col min="10751" max="10751" width="6" customWidth="1"/>
    <col min="10752" max="10752" width="54.28515625" customWidth="1"/>
    <col min="10753" max="10753" width="15.140625" customWidth="1"/>
    <col min="10754" max="10754" width="10.85546875" customWidth="1"/>
    <col min="10755" max="10755" width="11.140625" customWidth="1"/>
    <col min="11007" max="11007" width="6" customWidth="1"/>
    <col min="11008" max="11008" width="54.28515625" customWidth="1"/>
    <col min="11009" max="11009" width="15.140625" customWidth="1"/>
    <col min="11010" max="11010" width="10.85546875" customWidth="1"/>
    <col min="11011" max="11011" width="11.140625" customWidth="1"/>
    <col min="11263" max="11263" width="6" customWidth="1"/>
    <col min="11264" max="11264" width="54.28515625" customWidth="1"/>
    <col min="11265" max="11265" width="15.140625" customWidth="1"/>
    <col min="11266" max="11266" width="10.85546875" customWidth="1"/>
    <col min="11267" max="11267" width="11.140625" customWidth="1"/>
    <col min="11519" max="11519" width="6" customWidth="1"/>
    <col min="11520" max="11520" width="54.28515625" customWidth="1"/>
    <col min="11521" max="11521" width="15.140625" customWidth="1"/>
    <col min="11522" max="11522" width="10.85546875" customWidth="1"/>
    <col min="11523" max="11523" width="11.140625" customWidth="1"/>
    <col min="11775" max="11775" width="6" customWidth="1"/>
    <col min="11776" max="11776" width="54.28515625" customWidth="1"/>
    <col min="11777" max="11777" width="15.140625" customWidth="1"/>
    <col min="11778" max="11778" width="10.85546875" customWidth="1"/>
    <col min="11779" max="11779" width="11.140625" customWidth="1"/>
    <col min="12031" max="12031" width="6" customWidth="1"/>
    <col min="12032" max="12032" width="54.28515625" customWidth="1"/>
    <col min="12033" max="12033" width="15.140625" customWidth="1"/>
    <col min="12034" max="12034" width="10.85546875" customWidth="1"/>
    <col min="12035" max="12035" width="11.140625" customWidth="1"/>
    <col min="12287" max="12287" width="6" customWidth="1"/>
    <col min="12288" max="12288" width="54.28515625" customWidth="1"/>
    <col min="12289" max="12289" width="15.140625" customWidth="1"/>
    <col min="12290" max="12290" width="10.85546875" customWidth="1"/>
    <col min="12291" max="12291" width="11.140625" customWidth="1"/>
    <col min="12543" max="12543" width="6" customWidth="1"/>
    <col min="12544" max="12544" width="54.28515625" customWidth="1"/>
    <col min="12545" max="12545" width="15.140625" customWidth="1"/>
    <col min="12546" max="12546" width="10.85546875" customWidth="1"/>
    <col min="12547" max="12547" width="11.140625" customWidth="1"/>
    <col min="12799" max="12799" width="6" customWidth="1"/>
    <col min="12800" max="12800" width="54.28515625" customWidth="1"/>
    <col min="12801" max="12801" width="15.140625" customWidth="1"/>
    <col min="12802" max="12802" width="10.85546875" customWidth="1"/>
    <col min="12803" max="12803" width="11.140625" customWidth="1"/>
    <col min="13055" max="13055" width="6" customWidth="1"/>
    <col min="13056" max="13056" width="54.28515625" customWidth="1"/>
    <col min="13057" max="13057" width="15.140625" customWidth="1"/>
    <col min="13058" max="13058" width="10.85546875" customWidth="1"/>
    <col min="13059" max="13059" width="11.140625" customWidth="1"/>
    <col min="13311" max="13311" width="6" customWidth="1"/>
    <col min="13312" max="13312" width="54.28515625" customWidth="1"/>
    <col min="13313" max="13313" width="15.140625" customWidth="1"/>
    <col min="13314" max="13314" width="10.85546875" customWidth="1"/>
    <col min="13315" max="13315" width="11.140625" customWidth="1"/>
    <col min="13567" max="13567" width="6" customWidth="1"/>
    <col min="13568" max="13568" width="54.28515625" customWidth="1"/>
    <col min="13569" max="13569" width="15.140625" customWidth="1"/>
    <col min="13570" max="13570" width="10.85546875" customWidth="1"/>
    <col min="13571" max="13571" width="11.140625" customWidth="1"/>
    <col min="13823" max="13823" width="6" customWidth="1"/>
    <col min="13824" max="13824" width="54.28515625" customWidth="1"/>
    <col min="13825" max="13825" width="15.140625" customWidth="1"/>
    <col min="13826" max="13826" width="10.85546875" customWidth="1"/>
    <col min="13827" max="13827" width="11.140625" customWidth="1"/>
    <col min="14079" max="14079" width="6" customWidth="1"/>
    <col min="14080" max="14080" width="54.28515625" customWidth="1"/>
    <col min="14081" max="14081" width="15.140625" customWidth="1"/>
    <col min="14082" max="14082" width="10.85546875" customWidth="1"/>
    <col min="14083" max="14083" width="11.140625" customWidth="1"/>
    <col min="14335" max="14335" width="6" customWidth="1"/>
    <col min="14336" max="14336" width="54.28515625" customWidth="1"/>
    <col min="14337" max="14337" width="15.140625" customWidth="1"/>
    <col min="14338" max="14338" width="10.85546875" customWidth="1"/>
    <col min="14339" max="14339" width="11.140625" customWidth="1"/>
    <col min="14591" max="14591" width="6" customWidth="1"/>
    <col min="14592" max="14592" width="54.28515625" customWidth="1"/>
    <col min="14593" max="14593" width="15.140625" customWidth="1"/>
    <col min="14594" max="14594" width="10.85546875" customWidth="1"/>
    <col min="14595" max="14595" width="11.140625" customWidth="1"/>
    <col min="14847" max="14847" width="6" customWidth="1"/>
    <col min="14848" max="14848" width="54.28515625" customWidth="1"/>
    <col min="14849" max="14849" width="15.140625" customWidth="1"/>
    <col min="14850" max="14850" width="10.85546875" customWidth="1"/>
    <col min="14851" max="14851" width="11.140625" customWidth="1"/>
    <col min="15103" max="15103" width="6" customWidth="1"/>
    <col min="15104" max="15104" width="54.28515625" customWidth="1"/>
    <col min="15105" max="15105" width="15.140625" customWidth="1"/>
    <col min="15106" max="15106" width="10.85546875" customWidth="1"/>
    <col min="15107" max="15107" width="11.140625" customWidth="1"/>
    <col min="15359" max="15359" width="6" customWidth="1"/>
    <col min="15360" max="15360" width="54.28515625" customWidth="1"/>
    <col min="15361" max="15361" width="15.140625" customWidth="1"/>
    <col min="15362" max="15362" width="10.85546875" customWidth="1"/>
    <col min="15363" max="15363" width="11.140625" customWidth="1"/>
    <col min="15615" max="15615" width="6" customWidth="1"/>
    <col min="15616" max="15616" width="54.28515625" customWidth="1"/>
    <col min="15617" max="15617" width="15.140625" customWidth="1"/>
    <col min="15618" max="15618" width="10.85546875" customWidth="1"/>
    <col min="15619" max="15619" width="11.140625" customWidth="1"/>
    <col min="15871" max="15871" width="6" customWidth="1"/>
    <col min="15872" max="15872" width="54.28515625" customWidth="1"/>
    <col min="15873" max="15873" width="15.140625" customWidth="1"/>
    <col min="15874" max="15874" width="10.85546875" customWidth="1"/>
    <col min="15875" max="15875" width="11.140625" customWidth="1"/>
    <col min="16127" max="16127" width="6" customWidth="1"/>
    <col min="16128" max="16128" width="54.28515625" customWidth="1"/>
    <col min="16129" max="16129" width="15.140625" customWidth="1"/>
    <col min="16130" max="16130" width="10.85546875" customWidth="1"/>
    <col min="16131" max="16131" width="11.140625" customWidth="1"/>
  </cols>
  <sheetData>
    <row r="1" spans="1:4" x14ac:dyDescent="0.25">
      <c r="A1" s="102"/>
      <c r="B1" s="72" t="s">
        <v>89</v>
      </c>
      <c r="C1" s="102"/>
    </row>
    <row r="2" spans="1:4" x14ac:dyDescent="0.25">
      <c r="A2" s="102"/>
      <c r="B2" s="72" t="s">
        <v>260</v>
      </c>
      <c r="C2" s="102"/>
    </row>
    <row r="3" spans="1:4" x14ac:dyDescent="0.25">
      <c r="A3" s="102"/>
      <c r="B3" s="72" t="s">
        <v>258</v>
      </c>
      <c r="C3" s="102"/>
    </row>
    <row r="4" spans="1:4" x14ac:dyDescent="0.25">
      <c r="A4" s="102"/>
      <c r="B4" s="102"/>
      <c r="C4" s="102"/>
    </row>
    <row r="5" spans="1:4" ht="49.5" customHeight="1" x14ac:dyDescent="0.25">
      <c r="A5" s="149" t="s">
        <v>262</v>
      </c>
      <c r="B5" s="149"/>
      <c r="C5" s="149"/>
    </row>
    <row r="6" spans="1:4" x14ac:dyDescent="0.25">
      <c r="A6" s="102"/>
      <c r="B6" s="102"/>
      <c r="C6" s="102"/>
    </row>
    <row r="7" spans="1:4" x14ac:dyDescent="0.25">
      <c r="A7" s="103"/>
      <c r="B7" s="72"/>
      <c r="C7" s="65" t="s">
        <v>116</v>
      </c>
    </row>
    <row r="8" spans="1:4" ht="32.25" customHeight="1" x14ac:dyDescent="0.25">
      <c r="A8" s="105" t="s">
        <v>0</v>
      </c>
      <c r="B8" s="106" t="s">
        <v>32</v>
      </c>
      <c r="C8" s="107" t="s">
        <v>259</v>
      </c>
    </row>
    <row r="9" spans="1:4" x14ac:dyDescent="0.25">
      <c r="A9" s="94">
        <v>1</v>
      </c>
      <c r="B9" s="93">
        <v>2</v>
      </c>
      <c r="C9" s="108">
        <v>3</v>
      </c>
    </row>
    <row r="10" spans="1:4" x14ac:dyDescent="0.25">
      <c r="A10" s="109">
        <v>1</v>
      </c>
      <c r="B10" s="110" t="s">
        <v>49</v>
      </c>
      <c r="C10" s="111">
        <f>+C11</f>
        <v>2900</v>
      </c>
    </row>
    <row r="11" spans="1:4" x14ac:dyDescent="0.25">
      <c r="A11" s="109">
        <v>2</v>
      </c>
      <c r="B11" s="82" t="s">
        <v>55</v>
      </c>
      <c r="C11" s="112">
        <v>2900</v>
      </c>
    </row>
    <row r="12" spans="1:4" x14ac:dyDescent="0.25">
      <c r="A12" s="109">
        <v>3</v>
      </c>
      <c r="B12" s="113" t="s">
        <v>82</v>
      </c>
      <c r="C12" s="111">
        <f>+C10</f>
        <v>2900</v>
      </c>
      <c r="D12" s="22"/>
    </row>
    <row r="13" spans="1:4" x14ac:dyDescent="0.25">
      <c r="A13" s="104"/>
      <c r="B13" s="73"/>
      <c r="C13" s="116"/>
    </row>
    <row r="14" spans="1:4" x14ac:dyDescent="0.25">
      <c r="A14" s="104"/>
      <c r="B14" s="117"/>
      <c r="C14" s="116"/>
    </row>
    <row r="15" spans="1:4" x14ac:dyDescent="0.25">
      <c r="A15" s="104"/>
      <c r="B15" s="73"/>
      <c r="C15" s="73"/>
    </row>
    <row r="16" spans="1:4" x14ac:dyDescent="0.25">
      <c r="C16" s="115"/>
    </row>
  </sheetData>
  <mergeCells count="1">
    <mergeCell ref="A5:C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showZeros="0" tabSelected="1" zoomScaleNormal="100" workbookViewId="0">
      <pane xSplit="2" ySplit="11" topLeftCell="C45" activePane="bottomRight" state="frozen"/>
      <selection pane="topRight" activeCell="C1" sqref="C1"/>
      <selection pane="bottomLeft" activeCell="A12" sqref="A12"/>
      <selection pane="bottomRight" activeCell="F50" sqref="F50"/>
    </sheetView>
  </sheetViews>
  <sheetFormatPr defaultRowHeight="15" x14ac:dyDescent="0.25"/>
  <cols>
    <col min="2" max="2" width="44" customWidth="1"/>
    <col min="3" max="3" width="10.42578125" customWidth="1"/>
    <col min="4" max="4" width="10.140625" customWidth="1"/>
    <col min="5" max="5" width="10.42578125" customWidth="1"/>
    <col min="6" max="6" width="11" customWidth="1"/>
    <col min="7" max="9" width="9.140625" customWidth="1"/>
  </cols>
  <sheetData>
    <row r="1" spans="1:6" ht="15.75" x14ac:dyDescent="0.25">
      <c r="A1" s="118"/>
      <c r="B1" s="118"/>
      <c r="C1" s="119" t="s">
        <v>91</v>
      </c>
      <c r="D1" s="118"/>
      <c r="E1" s="118"/>
      <c r="F1" s="118"/>
    </row>
    <row r="2" spans="1:6" ht="15.75" x14ac:dyDescent="0.25">
      <c r="A2" s="118"/>
      <c r="B2" s="118"/>
      <c r="C2" s="120" t="s">
        <v>181</v>
      </c>
      <c r="D2" s="118"/>
      <c r="E2" s="118"/>
      <c r="F2" s="118"/>
    </row>
    <row r="3" spans="1:6" ht="15.75" x14ac:dyDescent="0.25">
      <c r="A3" s="118"/>
      <c r="B3" s="118"/>
      <c r="C3" s="120" t="s">
        <v>163</v>
      </c>
      <c r="D3" s="118"/>
      <c r="E3" s="118"/>
      <c r="F3" s="118"/>
    </row>
    <row r="4" spans="1:6" ht="15.75" x14ac:dyDescent="0.25">
      <c r="A4" s="118"/>
      <c r="B4" s="118"/>
      <c r="C4" s="118"/>
      <c r="D4" s="118"/>
      <c r="E4" s="118"/>
      <c r="F4" s="118"/>
    </row>
    <row r="5" spans="1:6" s="2" customFormat="1" ht="15.75" x14ac:dyDescent="0.25">
      <c r="A5" s="150" t="s">
        <v>182</v>
      </c>
      <c r="B5" s="150"/>
      <c r="C5" s="150"/>
      <c r="D5" s="150"/>
      <c r="E5" s="150"/>
      <c r="F5" s="150"/>
    </row>
    <row r="6" spans="1:6" s="2" customFormat="1" ht="15.75" x14ac:dyDescent="0.25">
      <c r="A6" s="121"/>
      <c r="B6" s="121"/>
      <c r="C6" s="121"/>
      <c r="D6" s="121"/>
      <c r="E6" s="121"/>
      <c r="F6" s="121"/>
    </row>
    <row r="7" spans="1:6" s="21" customFormat="1" ht="15.75" x14ac:dyDescent="0.25">
      <c r="A7" s="84"/>
      <c r="B7" s="85"/>
      <c r="C7" s="86"/>
      <c r="D7" s="86"/>
      <c r="E7" s="86"/>
      <c r="F7" s="122" t="s">
        <v>116</v>
      </c>
    </row>
    <row r="8" spans="1:6" s="2" customFormat="1" ht="15.75" x14ac:dyDescent="0.25">
      <c r="A8" s="132" t="s">
        <v>0</v>
      </c>
      <c r="B8" s="132" t="s">
        <v>129</v>
      </c>
      <c r="C8" s="132" t="s">
        <v>1</v>
      </c>
      <c r="D8" s="133" t="s">
        <v>2</v>
      </c>
      <c r="E8" s="133"/>
      <c r="F8" s="133"/>
    </row>
    <row r="9" spans="1:6" s="2" customFormat="1" ht="15.75" x14ac:dyDescent="0.25">
      <c r="A9" s="132"/>
      <c r="B9" s="132"/>
      <c r="C9" s="132"/>
      <c r="D9" s="132" t="s">
        <v>33</v>
      </c>
      <c r="E9" s="132"/>
      <c r="F9" s="132" t="s">
        <v>34</v>
      </c>
    </row>
    <row r="10" spans="1:6" s="2" customFormat="1" ht="47.25" x14ac:dyDescent="0.25">
      <c r="A10" s="132"/>
      <c r="B10" s="132"/>
      <c r="C10" s="132"/>
      <c r="D10" s="12" t="s">
        <v>35</v>
      </c>
      <c r="E10" s="12" t="s">
        <v>36</v>
      </c>
      <c r="F10" s="132"/>
    </row>
    <row r="11" spans="1:6" s="2" customFormat="1" ht="15.75" x14ac:dyDescent="0.25">
      <c r="A11" s="95">
        <v>1</v>
      </c>
      <c r="B11" s="95">
        <v>2</v>
      </c>
      <c r="C11" s="95">
        <v>3</v>
      </c>
      <c r="D11" s="95">
        <v>4</v>
      </c>
      <c r="E11" s="95">
        <v>5</v>
      </c>
      <c r="F11" s="95">
        <v>6</v>
      </c>
    </row>
    <row r="12" spans="1:6" s="2" customFormat="1" ht="31.5" x14ac:dyDescent="0.25">
      <c r="A12" s="13">
        <v>1</v>
      </c>
      <c r="B12" s="11" t="s">
        <v>119</v>
      </c>
      <c r="C12" s="61">
        <f>+C14+C16+C19+C26</f>
        <v>1687.9</v>
      </c>
      <c r="D12" s="61">
        <f t="shared" ref="D12:F12" si="0">+D14+D16+D19+D26</f>
        <v>1447.1</v>
      </c>
      <c r="E12" s="61">
        <f t="shared" si="0"/>
        <v>136.4</v>
      </c>
      <c r="F12" s="61">
        <f t="shared" si="0"/>
        <v>240.8</v>
      </c>
    </row>
    <row r="13" spans="1:6" s="2" customFormat="1" ht="15.75" x14ac:dyDescent="0.25">
      <c r="A13" s="13">
        <v>2</v>
      </c>
      <c r="B13" s="95" t="s">
        <v>2</v>
      </c>
      <c r="C13" s="62"/>
      <c r="D13" s="62"/>
      <c r="E13" s="62"/>
      <c r="F13" s="62"/>
    </row>
    <row r="14" spans="1:6" s="2" customFormat="1" ht="15.75" x14ac:dyDescent="0.25">
      <c r="A14" s="13">
        <v>3</v>
      </c>
      <c r="B14" s="8" t="s">
        <v>3</v>
      </c>
      <c r="C14" s="61">
        <f>+C15</f>
        <v>158.5</v>
      </c>
      <c r="D14" s="61">
        <f t="shared" ref="D14:F14" si="1">+D15</f>
        <v>0</v>
      </c>
      <c r="E14" s="61">
        <f t="shared" si="1"/>
        <v>0</v>
      </c>
      <c r="F14" s="61">
        <f t="shared" si="1"/>
        <v>158.5</v>
      </c>
    </row>
    <row r="15" spans="1:6" s="2" customFormat="1" ht="15.75" x14ac:dyDescent="0.25">
      <c r="A15" s="13">
        <v>4</v>
      </c>
      <c r="B15" s="7" t="s">
        <v>38</v>
      </c>
      <c r="C15" s="62">
        <f>+D15+F15</f>
        <v>158.5</v>
      </c>
      <c r="D15" s="62"/>
      <c r="E15" s="62"/>
      <c r="F15" s="62">
        <v>158.5</v>
      </c>
    </row>
    <row r="16" spans="1:6" s="2" customFormat="1" ht="15.75" x14ac:dyDescent="0.25">
      <c r="A16" s="13">
        <v>5</v>
      </c>
      <c r="B16" s="8" t="s">
        <v>4</v>
      </c>
      <c r="C16" s="61">
        <f>+C17</f>
        <v>4.4000000000000004</v>
      </c>
      <c r="D16" s="61">
        <f t="shared" ref="D16:F16" si="2">+D17</f>
        <v>4.4000000000000004</v>
      </c>
      <c r="E16" s="61">
        <f t="shared" si="2"/>
        <v>0</v>
      </c>
      <c r="F16" s="61">
        <f t="shared" si="2"/>
        <v>0</v>
      </c>
    </row>
    <row r="17" spans="1:6" s="2" customFormat="1" ht="31.5" x14ac:dyDescent="0.25">
      <c r="A17" s="13">
        <v>6</v>
      </c>
      <c r="B17" s="7" t="s">
        <v>62</v>
      </c>
      <c r="C17" s="62">
        <f>+D17+F17</f>
        <v>4.4000000000000004</v>
      </c>
      <c r="D17" s="62">
        <f>0.5+1.7+0.4+1.8</f>
        <v>4.4000000000000004</v>
      </c>
      <c r="E17" s="62"/>
      <c r="F17" s="62"/>
    </row>
    <row r="18" spans="1:6" s="2" customFormat="1" ht="15.75" x14ac:dyDescent="0.25">
      <c r="A18" s="13">
        <v>7</v>
      </c>
      <c r="B18" s="80" t="s">
        <v>138</v>
      </c>
      <c r="C18" s="62">
        <f>+D18+F18</f>
        <v>0.5</v>
      </c>
      <c r="D18" s="62">
        <f>0.2+0.3</f>
        <v>0.5</v>
      </c>
      <c r="E18" s="62"/>
      <c r="F18" s="62"/>
    </row>
    <row r="19" spans="1:6" s="2" customFormat="1" ht="15.75" x14ac:dyDescent="0.25">
      <c r="A19" s="13">
        <v>8</v>
      </c>
      <c r="B19" s="4" t="s">
        <v>120</v>
      </c>
      <c r="C19" s="61">
        <f>+C20+C22+C24</f>
        <v>630.6</v>
      </c>
      <c r="D19" s="61">
        <f t="shared" ref="D19:F19" si="3">+D20+D22+D24</f>
        <v>550.29999999999995</v>
      </c>
      <c r="E19" s="61">
        <f t="shared" si="3"/>
        <v>136.4</v>
      </c>
      <c r="F19" s="61">
        <f t="shared" si="3"/>
        <v>80.3</v>
      </c>
    </row>
    <row r="20" spans="1:6" s="2" customFormat="1" ht="15.75" x14ac:dyDescent="0.25">
      <c r="A20" s="13">
        <v>9</v>
      </c>
      <c r="B20" s="7" t="s">
        <v>133</v>
      </c>
      <c r="C20" s="62">
        <f t="shared" ref="C20:C28" si="4">+D20+F20</f>
        <v>82.7</v>
      </c>
      <c r="D20" s="62">
        <f>82.7-15.8</f>
        <v>66.900000000000006</v>
      </c>
      <c r="E20" s="62"/>
      <c r="F20" s="62">
        <v>15.8</v>
      </c>
    </row>
    <row r="21" spans="1:6" s="2" customFormat="1" ht="15.75" x14ac:dyDescent="0.25">
      <c r="A21" s="13">
        <v>10</v>
      </c>
      <c r="B21" s="80" t="s">
        <v>138</v>
      </c>
      <c r="C21" s="62">
        <f t="shared" si="4"/>
        <v>5.7</v>
      </c>
      <c r="D21" s="62">
        <v>5.7</v>
      </c>
      <c r="E21" s="62"/>
      <c r="F21" s="62"/>
    </row>
    <row r="22" spans="1:6" s="2" customFormat="1" ht="15.75" x14ac:dyDescent="0.25">
      <c r="A22" s="13">
        <v>11</v>
      </c>
      <c r="B22" s="5" t="s">
        <v>55</v>
      </c>
      <c r="C22" s="62">
        <f t="shared" si="4"/>
        <v>482.3</v>
      </c>
      <c r="D22" s="62">
        <f>482.3-64.5</f>
        <v>417.8</v>
      </c>
      <c r="E22" s="62">
        <f>127.3+9.1</f>
        <v>136.4</v>
      </c>
      <c r="F22" s="62">
        <v>64.5</v>
      </c>
    </row>
    <row r="23" spans="1:6" s="2" customFormat="1" ht="15.75" x14ac:dyDescent="0.25">
      <c r="A23" s="13">
        <v>12</v>
      </c>
      <c r="B23" s="80" t="s">
        <v>138</v>
      </c>
      <c r="C23" s="62">
        <f t="shared" si="4"/>
        <v>27.3</v>
      </c>
      <c r="D23" s="62">
        <v>27.3</v>
      </c>
      <c r="E23" s="62"/>
      <c r="F23" s="62"/>
    </row>
    <row r="24" spans="1:6" s="2" customFormat="1" ht="15.75" x14ac:dyDescent="0.25">
      <c r="A24" s="13">
        <v>13</v>
      </c>
      <c r="B24" s="5" t="s">
        <v>69</v>
      </c>
      <c r="C24" s="62">
        <f t="shared" si="4"/>
        <v>65.599999999999994</v>
      </c>
      <c r="D24" s="62">
        <v>65.599999999999994</v>
      </c>
      <c r="E24" s="62"/>
      <c r="F24" s="62"/>
    </row>
    <row r="25" spans="1:6" s="2" customFormat="1" ht="15.75" x14ac:dyDescent="0.25">
      <c r="A25" s="13">
        <v>14</v>
      </c>
      <c r="B25" s="80" t="s">
        <v>138</v>
      </c>
      <c r="C25" s="62">
        <f t="shared" si="4"/>
        <v>2.4</v>
      </c>
      <c r="D25" s="62">
        <v>2.4</v>
      </c>
      <c r="E25" s="62"/>
      <c r="F25" s="62"/>
    </row>
    <row r="26" spans="1:6" s="2" customFormat="1" ht="15.75" x14ac:dyDescent="0.25">
      <c r="A26" s="13">
        <v>15</v>
      </c>
      <c r="B26" s="4" t="s">
        <v>6</v>
      </c>
      <c r="C26" s="61">
        <f>+C27+C29</f>
        <v>894.4</v>
      </c>
      <c r="D26" s="61">
        <f t="shared" ref="D26:F26" si="5">+D27+D29</f>
        <v>892.4</v>
      </c>
      <c r="E26" s="61">
        <f t="shared" si="5"/>
        <v>0</v>
      </c>
      <c r="F26" s="61">
        <f t="shared" si="5"/>
        <v>2</v>
      </c>
    </row>
    <row r="27" spans="1:6" s="2" customFormat="1" ht="15.75" x14ac:dyDescent="0.25">
      <c r="A27" s="13">
        <v>16</v>
      </c>
      <c r="B27" s="5" t="s">
        <v>72</v>
      </c>
      <c r="C27" s="62">
        <f t="shared" si="4"/>
        <v>891.4</v>
      </c>
      <c r="D27" s="62">
        <f>60.9+830.5-2</f>
        <v>889.4</v>
      </c>
      <c r="E27" s="62"/>
      <c r="F27" s="62">
        <v>2</v>
      </c>
    </row>
    <row r="28" spans="1:6" s="2" customFormat="1" ht="15.75" x14ac:dyDescent="0.25">
      <c r="A28" s="13">
        <v>17</v>
      </c>
      <c r="B28" s="80" t="s">
        <v>138</v>
      </c>
      <c r="C28" s="62">
        <f t="shared" si="4"/>
        <v>24.5</v>
      </c>
      <c r="D28" s="62">
        <f>14.5+10</f>
        <v>24.5</v>
      </c>
      <c r="E28" s="62"/>
      <c r="F28" s="62"/>
    </row>
    <row r="29" spans="1:6" s="2" customFormat="1" ht="15.75" x14ac:dyDescent="0.25">
      <c r="A29" s="13">
        <v>18</v>
      </c>
      <c r="B29" s="5" t="s">
        <v>78</v>
      </c>
      <c r="C29" s="62">
        <v>3</v>
      </c>
      <c r="D29" s="62">
        <v>3</v>
      </c>
      <c r="E29" s="62"/>
      <c r="F29" s="62"/>
    </row>
    <row r="30" spans="1:6" s="2" customFormat="1" ht="31.5" x14ac:dyDescent="0.25">
      <c r="A30" s="13">
        <v>19</v>
      </c>
      <c r="B30" s="11" t="s">
        <v>121</v>
      </c>
      <c r="C30" s="61">
        <f>+C32+C37+C40+C47+C51+C54+C59+C65+C71</f>
        <v>4961.8</v>
      </c>
      <c r="D30" s="61">
        <f t="shared" ref="D30:F30" si="6">+D32+D37+D40+D47+D51+D54+D59+D65+D71</f>
        <v>2876.6</v>
      </c>
      <c r="E30" s="61">
        <f t="shared" si="6"/>
        <v>206.5</v>
      </c>
      <c r="F30" s="61">
        <f t="shared" si="6"/>
        <v>2085.1999999999998</v>
      </c>
    </row>
    <row r="31" spans="1:6" s="2" customFormat="1" ht="15.75" x14ac:dyDescent="0.25">
      <c r="A31" s="13">
        <v>20</v>
      </c>
      <c r="B31" s="95" t="s">
        <v>2</v>
      </c>
      <c r="C31" s="62"/>
      <c r="D31" s="62"/>
      <c r="E31" s="62"/>
      <c r="F31" s="62"/>
    </row>
    <row r="32" spans="1:6" s="2" customFormat="1" ht="47.25" x14ac:dyDescent="0.25">
      <c r="A32" s="13">
        <v>21</v>
      </c>
      <c r="B32" s="11" t="s">
        <v>122</v>
      </c>
      <c r="C32" s="61">
        <f>+C33+C35</f>
        <v>382</v>
      </c>
      <c r="D32" s="61">
        <f>+D33+D35</f>
        <v>364.4</v>
      </c>
      <c r="E32" s="61">
        <f>+E33+E35</f>
        <v>0</v>
      </c>
      <c r="F32" s="61">
        <f>+F33+F35</f>
        <v>17.600000000000001</v>
      </c>
    </row>
    <row r="33" spans="1:6" s="2" customFormat="1" ht="15.75" x14ac:dyDescent="0.25">
      <c r="A33" s="13">
        <v>22</v>
      </c>
      <c r="B33" s="8" t="s">
        <v>60</v>
      </c>
      <c r="C33" s="61">
        <f>+C34</f>
        <v>17.600000000000001</v>
      </c>
      <c r="D33" s="61">
        <f>+D34</f>
        <v>0</v>
      </c>
      <c r="E33" s="61">
        <f>+E34</f>
        <v>0</v>
      </c>
      <c r="F33" s="61">
        <f>+F34</f>
        <v>17.600000000000001</v>
      </c>
    </row>
    <row r="34" spans="1:6" s="2" customFormat="1" ht="15.75" x14ac:dyDescent="0.25">
      <c r="A34" s="13">
        <v>23</v>
      </c>
      <c r="B34" s="5" t="s">
        <v>61</v>
      </c>
      <c r="C34" s="62">
        <f>+D34+F34</f>
        <v>17.600000000000001</v>
      </c>
      <c r="D34" s="62"/>
      <c r="E34" s="62"/>
      <c r="F34" s="62">
        <v>17.600000000000001</v>
      </c>
    </row>
    <row r="35" spans="1:6" s="2" customFormat="1" ht="15.75" x14ac:dyDescent="0.25">
      <c r="A35" s="13">
        <v>24</v>
      </c>
      <c r="B35" s="8" t="s">
        <v>4</v>
      </c>
      <c r="C35" s="61">
        <f>+C36</f>
        <v>364.4</v>
      </c>
      <c r="D35" s="61">
        <f>+D36</f>
        <v>364.4</v>
      </c>
      <c r="E35" s="61">
        <f>+E36</f>
        <v>0</v>
      </c>
      <c r="F35" s="61">
        <f>+F36</f>
        <v>0</v>
      </c>
    </row>
    <row r="36" spans="1:6" s="2" customFormat="1" ht="15.75" x14ac:dyDescent="0.25">
      <c r="A36" s="13">
        <v>25</v>
      </c>
      <c r="B36" s="5" t="s">
        <v>61</v>
      </c>
      <c r="C36" s="62">
        <f>+D36+F36</f>
        <v>364.4</v>
      </c>
      <c r="D36" s="62">
        <v>364.4</v>
      </c>
      <c r="E36" s="62"/>
      <c r="F36" s="62"/>
    </row>
    <row r="37" spans="1:6" s="2" customFormat="1" ht="47.25" x14ac:dyDescent="0.25">
      <c r="A37" s="13">
        <v>26</v>
      </c>
      <c r="B37" s="8" t="s">
        <v>125</v>
      </c>
      <c r="C37" s="61">
        <f>+C38</f>
        <v>34.799999999999997</v>
      </c>
      <c r="D37" s="61">
        <f t="shared" ref="D37:F38" si="7">+D38</f>
        <v>34.799999999999997</v>
      </c>
      <c r="E37" s="61">
        <f t="shared" si="7"/>
        <v>0</v>
      </c>
      <c r="F37" s="61">
        <f t="shared" si="7"/>
        <v>0</v>
      </c>
    </row>
    <row r="38" spans="1:6" s="2" customFormat="1" ht="15.75" x14ac:dyDescent="0.25">
      <c r="A38" s="13">
        <v>27</v>
      </c>
      <c r="B38" s="8" t="s">
        <v>6</v>
      </c>
      <c r="C38" s="61">
        <f>+C39</f>
        <v>34.799999999999997</v>
      </c>
      <c r="D38" s="61">
        <f t="shared" si="7"/>
        <v>34.799999999999997</v>
      </c>
      <c r="E38" s="61">
        <f t="shared" si="7"/>
        <v>0</v>
      </c>
      <c r="F38" s="61">
        <f t="shared" si="7"/>
        <v>0</v>
      </c>
    </row>
    <row r="39" spans="1:6" s="2" customFormat="1" ht="15.75" x14ac:dyDescent="0.25">
      <c r="A39" s="13">
        <v>28</v>
      </c>
      <c r="B39" s="7" t="s">
        <v>78</v>
      </c>
      <c r="C39" s="62">
        <f>+D39+F39</f>
        <v>34.799999999999997</v>
      </c>
      <c r="D39" s="62">
        <v>34.799999999999997</v>
      </c>
      <c r="E39" s="62"/>
      <c r="F39" s="62"/>
    </row>
    <row r="40" spans="1:6" s="2" customFormat="1" ht="63" x14ac:dyDescent="0.25">
      <c r="A40" s="13">
        <v>29</v>
      </c>
      <c r="B40" s="11" t="s">
        <v>123</v>
      </c>
      <c r="C40" s="61">
        <f>+C42+C44</f>
        <v>1235.5</v>
      </c>
      <c r="D40" s="61">
        <f>+D42+D44</f>
        <v>1235.5</v>
      </c>
      <c r="E40" s="61">
        <f>+E42+E44</f>
        <v>0</v>
      </c>
      <c r="F40" s="61">
        <f>+F42+F44</f>
        <v>0</v>
      </c>
    </row>
    <row r="41" spans="1:6" s="2" customFormat="1" ht="15.75" x14ac:dyDescent="0.25">
      <c r="A41" s="13">
        <v>30</v>
      </c>
      <c r="B41" s="96" t="s">
        <v>2</v>
      </c>
      <c r="C41" s="62"/>
      <c r="D41" s="62"/>
      <c r="E41" s="62"/>
      <c r="F41" s="62"/>
    </row>
    <row r="42" spans="1:6" s="2" customFormat="1" ht="15.75" x14ac:dyDescent="0.25">
      <c r="A42" s="13">
        <v>31</v>
      </c>
      <c r="B42" s="63" t="s">
        <v>49</v>
      </c>
      <c r="C42" s="61">
        <f>+C43</f>
        <v>720.6</v>
      </c>
      <c r="D42" s="61">
        <f>+D43</f>
        <v>720.6</v>
      </c>
      <c r="E42" s="61">
        <f>+E43</f>
        <v>0</v>
      </c>
      <c r="F42" s="61">
        <f>+F43</f>
        <v>0</v>
      </c>
    </row>
    <row r="43" spans="1:6" s="2" customFormat="1" ht="15.75" x14ac:dyDescent="0.25">
      <c r="A43" s="13">
        <v>32</v>
      </c>
      <c r="B43" s="12" t="s">
        <v>61</v>
      </c>
      <c r="C43" s="62">
        <f>+D43+F43</f>
        <v>720.6</v>
      </c>
      <c r="D43" s="62">
        <v>720.6</v>
      </c>
      <c r="E43" s="62"/>
      <c r="F43" s="62"/>
    </row>
    <row r="44" spans="1:6" s="2" customFormat="1" ht="15.75" x14ac:dyDescent="0.25">
      <c r="A44" s="13">
        <v>33</v>
      </c>
      <c r="B44" s="8" t="s">
        <v>4</v>
      </c>
      <c r="C44" s="61">
        <f>+C45</f>
        <v>514.9</v>
      </c>
      <c r="D44" s="61">
        <f>+D45</f>
        <v>514.9</v>
      </c>
      <c r="E44" s="61">
        <f>+E45</f>
        <v>0</v>
      </c>
      <c r="F44" s="61">
        <f>+F45</f>
        <v>0</v>
      </c>
    </row>
    <row r="45" spans="1:6" s="2" customFormat="1" ht="15.75" x14ac:dyDescent="0.25">
      <c r="A45" s="13">
        <v>34</v>
      </c>
      <c r="B45" s="12" t="s">
        <v>61</v>
      </c>
      <c r="C45" s="62">
        <f>+D45+F45</f>
        <v>514.9</v>
      </c>
      <c r="D45" s="62">
        <v>514.9</v>
      </c>
      <c r="E45" s="62"/>
      <c r="F45" s="62"/>
    </row>
    <row r="46" spans="1:6" s="2" customFormat="1" ht="15.75" x14ac:dyDescent="0.25">
      <c r="A46" s="13">
        <v>35</v>
      </c>
      <c r="B46" s="80" t="s">
        <v>138</v>
      </c>
      <c r="C46" s="62">
        <f>+D46+F46</f>
        <v>364.6</v>
      </c>
      <c r="D46" s="62">
        <v>364.6</v>
      </c>
      <c r="E46" s="62"/>
      <c r="F46" s="62"/>
    </row>
    <row r="47" spans="1:6" s="2" customFormat="1" ht="63" x14ac:dyDescent="0.25">
      <c r="A47" s="13">
        <v>36</v>
      </c>
      <c r="B47" s="11" t="s">
        <v>211</v>
      </c>
      <c r="C47" s="61">
        <f>+C49</f>
        <v>761.9</v>
      </c>
      <c r="D47" s="61">
        <f>+D49</f>
        <v>694.3</v>
      </c>
      <c r="E47" s="61">
        <f>+E49</f>
        <v>0</v>
      </c>
      <c r="F47" s="61">
        <f>+F49</f>
        <v>67.599999999999994</v>
      </c>
    </row>
    <row r="48" spans="1:6" s="2" customFormat="1" ht="15.75" x14ac:dyDescent="0.25">
      <c r="A48" s="13">
        <v>37</v>
      </c>
      <c r="B48" s="96" t="s">
        <v>2</v>
      </c>
      <c r="C48" s="62"/>
      <c r="D48" s="62"/>
      <c r="E48" s="62"/>
      <c r="F48" s="62"/>
    </row>
    <row r="49" spans="1:6" s="2" customFormat="1" ht="15.75" x14ac:dyDescent="0.25">
      <c r="A49" s="13">
        <v>38</v>
      </c>
      <c r="B49" s="8" t="s">
        <v>4</v>
      </c>
      <c r="C49" s="61">
        <f>+C50</f>
        <v>761.9</v>
      </c>
      <c r="D49" s="61">
        <f>+D50</f>
        <v>694.3</v>
      </c>
      <c r="E49" s="61">
        <f>+E50</f>
        <v>0</v>
      </c>
      <c r="F49" s="61">
        <f>+F50</f>
        <v>67.599999999999994</v>
      </c>
    </row>
    <row r="50" spans="1:6" s="2" customFormat="1" ht="46.5" customHeight="1" x14ac:dyDescent="0.25">
      <c r="A50" s="13">
        <v>39</v>
      </c>
      <c r="B50" s="12" t="s">
        <v>88</v>
      </c>
      <c r="C50" s="62">
        <f>+D50+F50</f>
        <v>761.9</v>
      </c>
      <c r="D50" s="62">
        <f>565.1-120.8+250</f>
        <v>694.3</v>
      </c>
      <c r="E50" s="62"/>
      <c r="F50" s="62">
        <f>317.6-250</f>
        <v>67.599999999999994</v>
      </c>
    </row>
    <row r="51" spans="1:6" s="2" customFormat="1" ht="69.75" customHeight="1" x14ac:dyDescent="0.25">
      <c r="A51" s="13">
        <v>40</v>
      </c>
      <c r="B51" s="8" t="s">
        <v>212</v>
      </c>
      <c r="C51" s="61">
        <f t="shared" ref="C51:F52" si="8">+C52</f>
        <v>10.199999999999999</v>
      </c>
      <c r="D51" s="61">
        <f t="shared" si="8"/>
        <v>10.199999999999999</v>
      </c>
      <c r="E51" s="61">
        <f t="shared" si="8"/>
        <v>10</v>
      </c>
      <c r="F51" s="61">
        <f t="shared" si="8"/>
        <v>0</v>
      </c>
    </row>
    <row r="52" spans="1:6" s="2" customFormat="1" ht="15.75" x14ac:dyDescent="0.25">
      <c r="A52" s="13">
        <v>41</v>
      </c>
      <c r="B52" s="8" t="s">
        <v>3</v>
      </c>
      <c r="C52" s="61">
        <f t="shared" si="8"/>
        <v>10.199999999999999</v>
      </c>
      <c r="D52" s="61">
        <f t="shared" si="8"/>
        <v>10.199999999999999</v>
      </c>
      <c r="E52" s="61">
        <f t="shared" si="8"/>
        <v>10</v>
      </c>
      <c r="F52" s="61">
        <f t="shared" si="8"/>
        <v>0</v>
      </c>
    </row>
    <row r="53" spans="1:6" s="2" customFormat="1" ht="15.75" x14ac:dyDescent="0.25">
      <c r="A53" s="13">
        <v>42</v>
      </c>
      <c r="B53" s="7" t="s">
        <v>38</v>
      </c>
      <c r="C53" s="62">
        <f>+D53+F53</f>
        <v>10.199999999999999</v>
      </c>
      <c r="D53" s="62">
        <v>10.199999999999999</v>
      </c>
      <c r="E53" s="62">
        <f>10.1-0.1</f>
        <v>10</v>
      </c>
      <c r="F53" s="62"/>
    </row>
    <row r="54" spans="1:6" s="2" customFormat="1" ht="63" x14ac:dyDescent="0.25">
      <c r="A54" s="13">
        <v>43</v>
      </c>
      <c r="B54" s="4" t="s">
        <v>147</v>
      </c>
      <c r="C54" s="61">
        <f>+C55+C57</f>
        <v>23.3</v>
      </c>
      <c r="D54" s="61">
        <f t="shared" ref="D54:F54" si="9">+D55+D57</f>
        <v>23.3</v>
      </c>
      <c r="E54" s="61">
        <f t="shared" si="9"/>
        <v>11.9</v>
      </c>
      <c r="F54" s="61">
        <f t="shared" si="9"/>
        <v>0</v>
      </c>
    </row>
    <row r="55" spans="1:6" s="2" customFormat="1" ht="15.75" x14ac:dyDescent="0.25">
      <c r="A55" s="13">
        <v>44</v>
      </c>
      <c r="B55" s="8" t="s">
        <v>3</v>
      </c>
      <c r="C55" s="61">
        <f>+C56</f>
        <v>12.1</v>
      </c>
      <c r="D55" s="61">
        <f t="shared" ref="D55:F55" si="10">+D56</f>
        <v>12.1</v>
      </c>
      <c r="E55" s="61">
        <f t="shared" si="10"/>
        <v>11.9</v>
      </c>
      <c r="F55" s="61">
        <f t="shared" si="10"/>
        <v>0</v>
      </c>
    </row>
    <row r="56" spans="1:6" s="2" customFormat="1" ht="15.75" x14ac:dyDescent="0.25">
      <c r="A56" s="13">
        <v>45</v>
      </c>
      <c r="B56" s="7" t="s">
        <v>38</v>
      </c>
      <c r="C56" s="62">
        <f>+D56+F56</f>
        <v>12.1</v>
      </c>
      <c r="D56" s="62">
        <v>12.1</v>
      </c>
      <c r="E56" s="62">
        <v>11.9</v>
      </c>
      <c r="F56" s="62"/>
    </row>
    <row r="57" spans="1:6" s="2" customFormat="1" ht="15.75" x14ac:dyDescent="0.25">
      <c r="A57" s="13">
        <v>46</v>
      </c>
      <c r="B57" s="4" t="s">
        <v>120</v>
      </c>
      <c r="C57" s="61">
        <f>+C58</f>
        <v>11.2</v>
      </c>
      <c r="D57" s="61">
        <f t="shared" ref="D57:F57" si="11">+D58</f>
        <v>11.2</v>
      </c>
      <c r="E57" s="61">
        <f t="shared" si="11"/>
        <v>0</v>
      </c>
      <c r="F57" s="61">
        <f t="shared" si="11"/>
        <v>0</v>
      </c>
    </row>
    <row r="58" spans="1:6" s="2" customFormat="1" ht="15.75" x14ac:dyDescent="0.25">
      <c r="A58" s="13">
        <v>47</v>
      </c>
      <c r="B58" s="7" t="s">
        <v>133</v>
      </c>
      <c r="C58" s="62">
        <f>+D58+F58</f>
        <v>11.2</v>
      </c>
      <c r="D58" s="62">
        <v>11.2</v>
      </c>
      <c r="E58" s="62"/>
      <c r="F58" s="62"/>
    </row>
    <row r="59" spans="1:6" s="2" customFormat="1" ht="31.5" x14ac:dyDescent="0.25">
      <c r="A59" s="13">
        <v>48</v>
      </c>
      <c r="B59" s="11" t="s">
        <v>213</v>
      </c>
      <c r="C59" s="61">
        <f>+C61+C63</f>
        <v>936.1</v>
      </c>
      <c r="D59" s="61">
        <f>+D61+D63</f>
        <v>10</v>
      </c>
      <c r="E59" s="61">
        <f>+E61+E63</f>
        <v>0</v>
      </c>
      <c r="F59" s="61">
        <f>+F61+F63</f>
        <v>926.1</v>
      </c>
    </row>
    <row r="60" spans="1:6" s="2" customFormat="1" ht="15.75" x14ac:dyDescent="0.25">
      <c r="A60" s="13">
        <v>49</v>
      </c>
      <c r="B60" s="96" t="s">
        <v>2</v>
      </c>
      <c r="C60" s="62">
        <f>+D60+F60</f>
        <v>0</v>
      </c>
      <c r="D60" s="62"/>
      <c r="E60" s="62"/>
      <c r="F60" s="62"/>
    </row>
    <row r="61" spans="1:6" s="2" customFormat="1" ht="15.75" x14ac:dyDescent="0.25">
      <c r="A61" s="13">
        <v>50</v>
      </c>
      <c r="B61" s="63" t="s">
        <v>49</v>
      </c>
      <c r="C61" s="61">
        <f>+C62</f>
        <v>480.6</v>
      </c>
      <c r="D61" s="61">
        <f>+D62</f>
        <v>0</v>
      </c>
      <c r="E61" s="61">
        <f>+E62</f>
        <v>0</v>
      </c>
      <c r="F61" s="61">
        <f>+F62</f>
        <v>480.6</v>
      </c>
    </row>
    <row r="62" spans="1:6" s="2" customFormat="1" ht="31.5" x14ac:dyDescent="0.25">
      <c r="A62" s="13">
        <v>51</v>
      </c>
      <c r="B62" s="12" t="s">
        <v>88</v>
      </c>
      <c r="C62" s="62">
        <f>+D62+F62</f>
        <v>480.6</v>
      </c>
      <c r="D62" s="62"/>
      <c r="E62" s="62"/>
      <c r="F62" s="62">
        <f>491.6-10.5+14.5-15</f>
        <v>480.6</v>
      </c>
    </row>
    <row r="63" spans="1:6" s="2" customFormat="1" ht="15.75" x14ac:dyDescent="0.25">
      <c r="A63" s="13">
        <v>52</v>
      </c>
      <c r="B63" s="8" t="s">
        <v>60</v>
      </c>
      <c r="C63" s="61">
        <f>+C64</f>
        <v>455.5</v>
      </c>
      <c r="D63" s="61">
        <f>+D64</f>
        <v>10</v>
      </c>
      <c r="E63" s="61">
        <f>+E64</f>
        <v>0</v>
      </c>
      <c r="F63" s="61">
        <f>+F64</f>
        <v>445.5</v>
      </c>
    </row>
    <row r="64" spans="1:6" s="2" customFormat="1" ht="15.75" x14ac:dyDescent="0.25">
      <c r="A64" s="13">
        <v>53</v>
      </c>
      <c r="B64" s="7" t="s">
        <v>124</v>
      </c>
      <c r="C64" s="62">
        <f>+D64+F64</f>
        <v>455.5</v>
      </c>
      <c r="D64" s="62">
        <v>10</v>
      </c>
      <c r="E64" s="62"/>
      <c r="F64" s="62">
        <v>445.5</v>
      </c>
    </row>
    <row r="65" spans="1:6" s="2" customFormat="1" ht="31.5" x14ac:dyDescent="0.25">
      <c r="A65" s="13">
        <v>54</v>
      </c>
      <c r="B65" s="8" t="s">
        <v>214</v>
      </c>
      <c r="C65" s="61">
        <f>+C67+C69</f>
        <v>511.5</v>
      </c>
      <c r="D65" s="61">
        <f>+D67+D69</f>
        <v>0</v>
      </c>
      <c r="E65" s="61">
        <f>+E67+E69</f>
        <v>0</v>
      </c>
      <c r="F65" s="61">
        <f>+F67+F69</f>
        <v>511.5</v>
      </c>
    </row>
    <row r="66" spans="1:6" s="6" customFormat="1" ht="15.75" x14ac:dyDescent="0.25">
      <c r="A66" s="13">
        <v>55</v>
      </c>
      <c r="B66" s="96" t="s">
        <v>2</v>
      </c>
      <c r="C66" s="61"/>
      <c r="D66" s="61"/>
      <c r="E66" s="61"/>
      <c r="F66" s="61"/>
    </row>
    <row r="67" spans="1:6" s="2" customFormat="1" ht="15.75" x14ac:dyDescent="0.25">
      <c r="A67" s="13">
        <v>56</v>
      </c>
      <c r="B67" s="63" t="s">
        <v>49</v>
      </c>
      <c r="C67" s="61">
        <f>+C68</f>
        <v>461.5</v>
      </c>
      <c r="D67" s="61">
        <f>+D68</f>
        <v>0</v>
      </c>
      <c r="E67" s="61">
        <f>+E68</f>
        <v>0</v>
      </c>
      <c r="F67" s="61">
        <f>+F68</f>
        <v>461.5</v>
      </c>
    </row>
    <row r="68" spans="1:6" s="2" customFormat="1" ht="15.75" x14ac:dyDescent="0.25">
      <c r="A68" s="13">
        <v>57</v>
      </c>
      <c r="B68" s="7" t="s">
        <v>72</v>
      </c>
      <c r="C68" s="62">
        <f>+D68+F68</f>
        <v>461.5</v>
      </c>
      <c r="D68" s="62"/>
      <c r="E68" s="62"/>
      <c r="F68" s="62">
        <v>461.5</v>
      </c>
    </row>
    <row r="69" spans="1:6" s="6" customFormat="1" ht="15.75" x14ac:dyDescent="0.25">
      <c r="A69" s="13">
        <v>58</v>
      </c>
      <c r="B69" s="8" t="s">
        <v>3</v>
      </c>
      <c r="C69" s="61">
        <f>+C70</f>
        <v>50</v>
      </c>
      <c r="D69" s="61">
        <f>+D70</f>
        <v>0</v>
      </c>
      <c r="E69" s="61">
        <f>+E70</f>
        <v>0</v>
      </c>
      <c r="F69" s="61">
        <f>+F70</f>
        <v>50</v>
      </c>
    </row>
    <row r="70" spans="1:6" s="2" customFormat="1" ht="15.75" x14ac:dyDescent="0.25">
      <c r="A70" s="13">
        <v>59</v>
      </c>
      <c r="B70" s="7" t="s">
        <v>72</v>
      </c>
      <c r="C70" s="62">
        <f>+D70+F70</f>
        <v>50</v>
      </c>
      <c r="D70" s="62"/>
      <c r="E70" s="62"/>
      <c r="F70" s="62">
        <v>50</v>
      </c>
    </row>
    <row r="71" spans="1:6" s="2" customFormat="1" ht="47.25" x14ac:dyDescent="0.25">
      <c r="A71" s="13">
        <v>60</v>
      </c>
      <c r="B71" s="4" t="s">
        <v>264</v>
      </c>
      <c r="C71" s="61">
        <f>+C72+C75+C81</f>
        <v>1066.5</v>
      </c>
      <c r="D71" s="61">
        <f t="shared" ref="D71:F71" si="12">+D72+D75+D81</f>
        <v>504.1</v>
      </c>
      <c r="E71" s="61">
        <f t="shared" si="12"/>
        <v>184.6</v>
      </c>
      <c r="F71" s="61">
        <f t="shared" si="12"/>
        <v>562.4</v>
      </c>
    </row>
    <row r="72" spans="1:6" s="2" customFormat="1" ht="15.75" x14ac:dyDescent="0.25">
      <c r="A72" s="13">
        <v>61</v>
      </c>
      <c r="B72" s="4" t="s">
        <v>6</v>
      </c>
      <c r="C72" s="61">
        <f>+C73</f>
        <v>319.39999999999998</v>
      </c>
      <c r="D72" s="61">
        <f t="shared" ref="D72:F72" si="13">+D73</f>
        <v>319.39999999999998</v>
      </c>
      <c r="E72" s="61">
        <f t="shared" si="13"/>
        <v>155.5</v>
      </c>
      <c r="F72" s="61">
        <f t="shared" si="13"/>
        <v>0</v>
      </c>
    </row>
    <row r="73" spans="1:6" s="2" customFormat="1" ht="15.75" x14ac:dyDescent="0.25">
      <c r="A73" s="13">
        <v>62</v>
      </c>
      <c r="B73" s="5" t="s">
        <v>72</v>
      </c>
      <c r="C73" s="62">
        <f>+D73+F73</f>
        <v>319.39999999999998</v>
      </c>
      <c r="D73" s="62">
        <f>113.3+207-0.9</f>
        <v>319.39999999999998</v>
      </c>
      <c r="E73" s="62">
        <f>20.9+135.1-0.5</f>
        <v>155.5</v>
      </c>
      <c r="F73" s="62"/>
    </row>
    <row r="74" spans="1:6" s="2" customFormat="1" ht="15.75" x14ac:dyDescent="0.25">
      <c r="A74" s="13">
        <v>63</v>
      </c>
      <c r="B74" s="80" t="s">
        <v>138</v>
      </c>
      <c r="C74" s="62">
        <f>+D74+F74</f>
        <v>92</v>
      </c>
      <c r="D74" s="62">
        <v>92</v>
      </c>
      <c r="E74" s="62">
        <v>1</v>
      </c>
      <c r="F74" s="62"/>
    </row>
    <row r="75" spans="1:6" s="2" customFormat="1" ht="15.75" x14ac:dyDescent="0.25">
      <c r="A75" s="13">
        <v>64</v>
      </c>
      <c r="B75" s="4" t="s">
        <v>49</v>
      </c>
      <c r="C75" s="61">
        <f>SUM(C76:C80)</f>
        <v>746.9</v>
      </c>
      <c r="D75" s="61">
        <f t="shared" ref="D75:F75" si="14">SUM(D76:D80)</f>
        <v>184.5</v>
      </c>
      <c r="E75" s="61">
        <f t="shared" si="14"/>
        <v>28.9</v>
      </c>
      <c r="F75" s="61">
        <f t="shared" si="14"/>
        <v>562.4</v>
      </c>
    </row>
    <row r="76" spans="1:6" s="2" customFormat="1" ht="31.5" x14ac:dyDescent="0.25">
      <c r="A76" s="13">
        <v>65</v>
      </c>
      <c r="B76" s="99" t="s">
        <v>136</v>
      </c>
      <c r="C76" s="62">
        <f>+D76+F76</f>
        <v>281</v>
      </c>
      <c r="D76" s="62">
        <f>15.8+1.3</f>
        <v>17.100000000000001</v>
      </c>
      <c r="E76" s="62">
        <v>0.3</v>
      </c>
      <c r="F76" s="62">
        <f>242.4+21.5</f>
        <v>263.89999999999998</v>
      </c>
    </row>
    <row r="77" spans="1:6" s="2" customFormat="1" ht="15.75" x14ac:dyDescent="0.25">
      <c r="A77" s="13">
        <v>66</v>
      </c>
      <c r="B77" s="5" t="s">
        <v>61</v>
      </c>
      <c r="C77" s="62">
        <f>+D77+F77</f>
        <v>212.2</v>
      </c>
      <c r="D77" s="62">
        <v>6.6</v>
      </c>
      <c r="E77" s="62">
        <v>6.5</v>
      </c>
      <c r="F77" s="62">
        <f>139.8+37.8+28</f>
        <v>205.6</v>
      </c>
    </row>
    <row r="78" spans="1:6" s="2" customFormat="1" ht="15.75" x14ac:dyDescent="0.25">
      <c r="A78" s="13">
        <v>67</v>
      </c>
      <c r="B78" s="7" t="s">
        <v>215</v>
      </c>
      <c r="C78" s="62">
        <f t="shared" ref="C78:C80" si="15">+D78+F78</f>
        <v>151.6</v>
      </c>
      <c r="D78" s="62">
        <v>151.6</v>
      </c>
      <c r="E78" s="62">
        <v>13.1</v>
      </c>
      <c r="F78" s="62"/>
    </row>
    <row r="79" spans="1:6" s="2" customFormat="1" ht="15.75" x14ac:dyDescent="0.25">
      <c r="A79" s="13">
        <v>68</v>
      </c>
      <c r="B79" s="7" t="s">
        <v>65</v>
      </c>
      <c r="C79" s="62">
        <f t="shared" si="15"/>
        <v>11.9</v>
      </c>
      <c r="D79" s="62">
        <f>0.3+6.9</f>
        <v>7.2</v>
      </c>
      <c r="E79" s="62">
        <f>0.3+6.7</f>
        <v>7</v>
      </c>
      <c r="F79" s="62">
        <f>0.4+4.3</f>
        <v>4.7</v>
      </c>
    </row>
    <row r="80" spans="1:6" s="2" customFormat="1" ht="15.75" x14ac:dyDescent="0.25">
      <c r="A80" s="13">
        <v>69</v>
      </c>
      <c r="B80" s="5" t="s">
        <v>72</v>
      </c>
      <c r="C80" s="62">
        <f t="shared" si="15"/>
        <v>90.2</v>
      </c>
      <c r="D80" s="62">
        <v>2</v>
      </c>
      <c r="E80" s="62">
        <f>2</f>
        <v>2</v>
      </c>
      <c r="F80" s="62">
        <v>88.2</v>
      </c>
    </row>
    <row r="81" spans="1:6" s="2" customFormat="1" ht="15.75" x14ac:dyDescent="0.25">
      <c r="A81" s="13">
        <v>70</v>
      </c>
      <c r="B81" s="8" t="s">
        <v>5</v>
      </c>
      <c r="C81" s="61">
        <f>+C82</f>
        <v>0.2</v>
      </c>
      <c r="D81" s="61">
        <f t="shared" ref="D81:F81" si="16">+D82</f>
        <v>0.2</v>
      </c>
      <c r="E81" s="61">
        <f t="shared" si="16"/>
        <v>0.2</v>
      </c>
      <c r="F81" s="61">
        <f t="shared" si="16"/>
        <v>0</v>
      </c>
    </row>
    <row r="82" spans="1:6" s="2" customFormat="1" ht="15.75" x14ac:dyDescent="0.25">
      <c r="A82" s="13">
        <v>71</v>
      </c>
      <c r="B82" s="7" t="s">
        <v>65</v>
      </c>
      <c r="C82" s="62">
        <f>+D82+F82</f>
        <v>0.2</v>
      </c>
      <c r="D82" s="62">
        <v>0.2</v>
      </c>
      <c r="E82" s="62">
        <v>0.2</v>
      </c>
      <c r="F82" s="62"/>
    </row>
    <row r="83" spans="1:6" s="2" customFormat="1" ht="31.5" x14ac:dyDescent="0.25">
      <c r="A83" s="13">
        <v>72</v>
      </c>
      <c r="B83" s="8" t="s">
        <v>126</v>
      </c>
      <c r="C83" s="61">
        <f>+C84+C90+C104+C106+C120+C124</f>
        <v>12954.7</v>
      </c>
      <c r="D83" s="61">
        <f t="shared" ref="D83:F83" si="17">+D84+D90+D104+D106+D120+D124</f>
        <v>3841</v>
      </c>
      <c r="E83" s="61">
        <f t="shared" si="17"/>
        <v>1.2</v>
      </c>
      <c r="F83" s="61">
        <f t="shared" si="17"/>
        <v>9113.7000000000007</v>
      </c>
    </row>
    <row r="84" spans="1:6" s="2" customFormat="1" ht="15.75" x14ac:dyDescent="0.25">
      <c r="A84" s="13">
        <v>73</v>
      </c>
      <c r="B84" s="8" t="s">
        <v>3</v>
      </c>
      <c r="C84" s="61">
        <f>SUM(C85:C89)</f>
        <v>1412.6</v>
      </c>
      <c r="D84" s="61">
        <f t="shared" ref="D84:F84" si="18">SUM(D85:D89)</f>
        <v>45.8</v>
      </c>
      <c r="E84" s="61">
        <f t="shared" si="18"/>
        <v>0</v>
      </c>
      <c r="F84" s="61">
        <f t="shared" si="18"/>
        <v>1366.8</v>
      </c>
    </row>
    <row r="85" spans="1:6" s="2" customFormat="1" ht="15.75" x14ac:dyDescent="0.25">
      <c r="A85" s="13">
        <v>74</v>
      </c>
      <c r="B85" s="7" t="s">
        <v>38</v>
      </c>
      <c r="C85" s="62">
        <f>+D85+F85</f>
        <v>431.3</v>
      </c>
      <c r="D85" s="62">
        <v>45.8</v>
      </c>
      <c r="E85" s="62"/>
      <c r="F85" s="62">
        <f>3289.7-2904.2</f>
        <v>385.5</v>
      </c>
    </row>
    <row r="86" spans="1:6" s="2" customFormat="1" ht="31.5" x14ac:dyDescent="0.25">
      <c r="A86" s="13">
        <v>75</v>
      </c>
      <c r="B86" s="7" t="s">
        <v>62</v>
      </c>
      <c r="C86" s="62">
        <f>+D86+F86</f>
        <v>135.19999999999999</v>
      </c>
      <c r="D86" s="62"/>
      <c r="E86" s="62"/>
      <c r="F86" s="62">
        <v>135.19999999999999</v>
      </c>
    </row>
    <row r="87" spans="1:6" s="2" customFormat="1" ht="15.75" x14ac:dyDescent="0.25">
      <c r="A87" s="13">
        <v>76</v>
      </c>
      <c r="B87" s="12" t="s">
        <v>69</v>
      </c>
      <c r="C87" s="62">
        <f>+D87+F87</f>
        <v>250.3</v>
      </c>
      <c r="D87" s="62"/>
      <c r="E87" s="62"/>
      <c r="F87" s="62">
        <v>250.3</v>
      </c>
    </row>
    <row r="88" spans="1:6" s="2" customFormat="1" ht="15.75" x14ac:dyDescent="0.25">
      <c r="A88" s="13">
        <v>77</v>
      </c>
      <c r="B88" s="7" t="s">
        <v>72</v>
      </c>
      <c r="C88" s="62">
        <f>+D88+F88</f>
        <v>345.8</v>
      </c>
      <c r="D88" s="62"/>
      <c r="E88" s="62"/>
      <c r="F88" s="62">
        <f>190+155.8</f>
        <v>345.8</v>
      </c>
    </row>
    <row r="89" spans="1:6" s="2" customFormat="1" ht="15.75" x14ac:dyDescent="0.25">
      <c r="A89" s="13">
        <v>78</v>
      </c>
      <c r="B89" s="7" t="s">
        <v>78</v>
      </c>
      <c r="C89" s="62">
        <f>+D89+F89</f>
        <v>250</v>
      </c>
      <c r="D89" s="62"/>
      <c r="E89" s="62"/>
      <c r="F89" s="62">
        <f>130+50+70</f>
        <v>250</v>
      </c>
    </row>
    <row r="90" spans="1:6" s="2" customFormat="1" ht="15.75" x14ac:dyDescent="0.25">
      <c r="A90" s="13">
        <v>79</v>
      </c>
      <c r="B90" s="63" t="s">
        <v>49</v>
      </c>
      <c r="C90" s="61">
        <f>+C91+C92+C93+C95+C96+C98+C99+C100+C101+C102+C103</f>
        <v>6050.6</v>
      </c>
      <c r="D90" s="61">
        <f t="shared" ref="D90:F90" si="19">+D91+D92+D93+D95+D96+D98+D99+D100+D101+D102+D103</f>
        <v>377.2</v>
      </c>
      <c r="E90" s="61">
        <f t="shared" si="19"/>
        <v>1.2</v>
      </c>
      <c r="F90" s="61">
        <f t="shared" si="19"/>
        <v>5673.4</v>
      </c>
    </row>
    <row r="91" spans="1:6" s="2" customFormat="1" ht="31.5" x14ac:dyDescent="0.25">
      <c r="A91" s="13">
        <v>80</v>
      </c>
      <c r="B91" s="99" t="s">
        <v>136</v>
      </c>
      <c r="C91" s="62">
        <f t="shared" ref="C91:C103" si="20">+D91+F91</f>
        <v>67.900000000000006</v>
      </c>
      <c r="D91" s="62">
        <f>48.8+3.6+3</f>
        <v>55.4</v>
      </c>
      <c r="E91" s="62"/>
      <c r="F91" s="62">
        <v>12.5</v>
      </c>
    </row>
    <row r="92" spans="1:6" s="2" customFormat="1" ht="15.75" x14ac:dyDescent="0.25">
      <c r="A92" s="13">
        <v>81</v>
      </c>
      <c r="B92" s="7" t="s">
        <v>38</v>
      </c>
      <c r="C92" s="62">
        <f t="shared" si="20"/>
        <v>22.6</v>
      </c>
      <c r="D92" s="62">
        <v>22.6</v>
      </c>
      <c r="E92" s="62"/>
      <c r="F92" s="62"/>
    </row>
    <row r="93" spans="1:6" s="2" customFormat="1" ht="15.75" x14ac:dyDescent="0.25">
      <c r="A93" s="13">
        <v>82</v>
      </c>
      <c r="B93" s="99" t="s">
        <v>87</v>
      </c>
      <c r="C93" s="62">
        <f t="shared" si="20"/>
        <v>48.1</v>
      </c>
      <c r="D93" s="62">
        <v>48.1</v>
      </c>
      <c r="E93" s="62"/>
      <c r="F93" s="62"/>
    </row>
    <row r="94" spans="1:6" s="2" customFormat="1" ht="15.75" x14ac:dyDescent="0.25">
      <c r="A94" s="13">
        <v>83</v>
      </c>
      <c r="B94" s="80" t="s">
        <v>138</v>
      </c>
      <c r="C94" s="62">
        <f t="shared" si="20"/>
        <v>17.100000000000001</v>
      </c>
      <c r="D94" s="62">
        <v>17.100000000000001</v>
      </c>
      <c r="E94" s="62"/>
      <c r="F94" s="62"/>
    </row>
    <row r="95" spans="1:6" s="2" customFormat="1" ht="15.75" x14ac:dyDescent="0.25">
      <c r="A95" s="13">
        <v>84</v>
      </c>
      <c r="B95" s="12" t="s">
        <v>51</v>
      </c>
      <c r="C95" s="62">
        <f t="shared" si="20"/>
        <v>474.7</v>
      </c>
      <c r="D95" s="62">
        <v>1.5</v>
      </c>
      <c r="E95" s="62">
        <v>1.2</v>
      </c>
      <c r="F95" s="62">
        <v>473.2</v>
      </c>
    </row>
    <row r="96" spans="1:6" s="2" customFormat="1" ht="31.5" x14ac:dyDescent="0.25">
      <c r="A96" s="13">
        <v>85</v>
      </c>
      <c r="B96" s="12" t="s">
        <v>88</v>
      </c>
      <c r="C96" s="62">
        <f t="shared" si="20"/>
        <v>906.1</v>
      </c>
      <c r="D96" s="62">
        <v>125.3</v>
      </c>
      <c r="E96" s="62"/>
      <c r="F96" s="62">
        <v>780.8</v>
      </c>
    </row>
    <row r="97" spans="1:6" s="2" customFormat="1" ht="15.75" x14ac:dyDescent="0.25">
      <c r="A97" s="13">
        <v>86</v>
      </c>
      <c r="B97" s="80" t="s">
        <v>138</v>
      </c>
      <c r="C97" s="62">
        <v>0.4</v>
      </c>
      <c r="D97" s="62">
        <v>0.4</v>
      </c>
      <c r="E97" s="62"/>
      <c r="F97" s="62"/>
    </row>
    <row r="98" spans="1:6" s="2" customFormat="1" ht="31.5" x14ac:dyDescent="0.25">
      <c r="A98" s="13">
        <v>87</v>
      </c>
      <c r="B98" s="7" t="s">
        <v>62</v>
      </c>
      <c r="C98" s="62">
        <f t="shared" si="20"/>
        <v>863.3</v>
      </c>
      <c r="D98" s="62"/>
      <c r="E98" s="62"/>
      <c r="F98" s="62">
        <v>863.3</v>
      </c>
    </row>
    <row r="99" spans="1:6" s="2" customFormat="1" ht="15.75" x14ac:dyDescent="0.25">
      <c r="A99" s="13">
        <v>88</v>
      </c>
      <c r="B99" s="7" t="s">
        <v>215</v>
      </c>
      <c r="C99" s="62">
        <f t="shared" si="20"/>
        <v>1054.5999999999999</v>
      </c>
      <c r="D99" s="62">
        <v>31.7</v>
      </c>
      <c r="E99" s="62"/>
      <c r="F99" s="62">
        <v>1022.9</v>
      </c>
    </row>
    <row r="100" spans="1:6" s="2" customFormat="1" ht="15.75" x14ac:dyDescent="0.25">
      <c r="A100" s="13">
        <v>89</v>
      </c>
      <c r="B100" s="7" t="s">
        <v>65</v>
      </c>
      <c r="C100" s="62">
        <f t="shared" si="20"/>
        <v>226.4</v>
      </c>
      <c r="D100" s="62"/>
      <c r="E100" s="62"/>
      <c r="F100" s="62">
        <v>226.4</v>
      </c>
    </row>
    <row r="101" spans="1:6" s="2" customFormat="1" ht="15.75" x14ac:dyDescent="0.25">
      <c r="A101" s="13">
        <v>90</v>
      </c>
      <c r="B101" s="12" t="s">
        <v>69</v>
      </c>
      <c r="C101" s="62">
        <f t="shared" si="20"/>
        <v>2044.8</v>
      </c>
      <c r="D101" s="62"/>
      <c r="E101" s="62"/>
      <c r="F101" s="62">
        <v>2044.8</v>
      </c>
    </row>
    <row r="102" spans="1:6" s="2" customFormat="1" ht="15.75" x14ac:dyDescent="0.25">
      <c r="A102" s="13">
        <v>91</v>
      </c>
      <c r="B102" s="7" t="s">
        <v>72</v>
      </c>
      <c r="C102" s="62">
        <f t="shared" si="20"/>
        <v>239.2</v>
      </c>
      <c r="D102" s="62">
        <v>67.2</v>
      </c>
      <c r="E102" s="62"/>
      <c r="F102" s="62">
        <v>172</v>
      </c>
    </row>
    <row r="103" spans="1:6" s="2" customFormat="1" ht="15.75" x14ac:dyDescent="0.25">
      <c r="A103" s="13">
        <v>92</v>
      </c>
      <c r="B103" s="7" t="s">
        <v>78</v>
      </c>
      <c r="C103" s="62">
        <f t="shared" si="20"/>
        <v>102.9</v>
      </c>
      <c r="D103" s="62">
        <v>25.4</v>
      </c>
      <c r="E103" s="62"/>
      <c r="F103" s="62">
        <v>77.5</v>
      </c>
    </row>
    <row r="104" spans="1:6" s="2" customFormat="1" ht="15.75" x14ac:dyDescent="0.25">
      <c r="A104" s="13">
        <v>93</v>
      </c>
      <c r="B104" s="8" t="s">
        <v>60</v>
      </c>
      <c r="C104" s="61">
        <f>+C105</f>
        <v>7.6</v>
      </c>
      <c r="D104" s="61">
        <f>+D105</f>
        <v>0</v>
      </c>
      <c r="E104" s="61">
        <f>+E105</f>
        <v>0</v>
      </c>
      <c r="F104" s="61">
        <f>+F105</f>
        <v>7.6</v>
      </c>
    </row>
    <row r="105" spans="1:6" s="2" customFormat="1" ht="15.75" x14ac:dyDescent="0.25">
      <c r="A105" s="13">
        <v>94</v>
      </c>
      <c r="B105" s="7" t="s">
        <v>124</v>
      </c>
      <c r="C105" s="62">
        <f>+D105+F105</f>
        <v>7.6</v>
      </c>
      <c r="D105" s="62"/>
      <c r="E105" s="62"/>
      <c r="F105" s="62">
        <v>7.6</v>
      </c>
    </row>
    <row r="106" spans="1:6" s="2" customFormat="1" ht="15.75" x14ac:dyDescent="0.25">
      <c r="A106" s="13">
        <v>95</v>
      </c>
      <c r="B106" s="8" t="s">
        <v>4</v>
      </c>
      <c r="C106" s="61">
        <f>+C107+C108+C110+C112+C114+C116+C118</f>
        <v>4962.8999999999996</v>
      </c>
      <c r="D106" s="61">
        <f t="shared" ref="D106:F106" si="21">+D107+D108+D110+D112+D114+D116+D118</f>
        <v>2986.5</v>
      </c>
      <c r="E106" s="61">
        <f t="shared" si="21"/>
        <v>0</v>
      </c>
      <c r="F106" s="61">
        <f t="shared" si="21"/>
        <v>1976.4</v>
      </c>
    </row>
    <row r="107" spans="1:6" s="2" customFormat="1" ht="15.75" x14ac:dyDescent="0.25">
      <c r="A107" s="13">
        <v>96</v>
      </c>
      <c r="B107" s="12" t="s">
        <v>51</v>
      </c>
      <c r="C107" s="62">
        <f t="shared" ref="C107:C119" si="22">+D107+F107</f>
        <v>1.8</v>
      </c>
      <c r="D107" s="62">
        <v>1.8</v>
      </c>
      <c r="E107" s="62"/>
      <c r="F107" s="62"/>
    </row>
    <row r="108" spans="1:6" s="2" customFormat="1" ht="31.5" x14ac:dyDescent="0.25">
      <c r="A108" s="13">
        <v>97</v>
      </c>
      <c r="B108" s="12" t="s">
        <v>88</v>
      </c>
      <c r="C108" s="62">
        <f t="shared" si="22"/>
        <v>2229.4</v>
      </c>
      <c r="D108" s="62">
        <v>2162.5</v>
      </c>
      <c r="E108" s="62"/>
      <c r="F108" s="62">
        <v>66.900000000000006</v>
      </c>
    </row>
    <row r="109" spans="1:6" s="2" customFormat="1" ht="15.75" x14ac:dyDescent="0.25">
      <c r="A109" s="13">
        <v>98</v>
      </c>
      <c r="B109" s="80" t="s">
        <v>138</v>
      </c>
      <c r="C109" s="62">
        <f t="shared" si="22"/>
        <v>118.8</v>
      </c>
      <c r="D109" s="62">
        <v>118.8</v>
      </c>
      <c r="E109" s="62"/>
      <c r="F109" s="62"/>
    </row>
    <row r="110" spans="1:6" s="2" customFormat="1" ht="31.5" x14ac:dyDescent="0.25">
      <c r="A110" s="13">
        <v>99</v>
      </c>
      <c r="B110" s="7" t="s">
        <v>62</v>
      </c>
      <c r="C110" s="62">
        <f t="shared" si="22"/>
        <v>1865.3</v>
      </c>
      <c r="D110" s="62">
        <f>242.7+90.4</f>
        <v>333.1</v>
      </c>
      <c r="E110" s="62"/>
      <c r="F110" s="62">
        <v>1532.2</v>
      </c>
    </row>
    <row r="111" spans="1:6" s="2" customFormat="1" ht="15.75" x14ac:dyDescent="0.25">
      <c r="A111" s="13">
        <v>100</v>
      </c>
      <c r="B111" s="80" t="s">
        <v>138</v>
      </c>
      <c r="C111" s="62">
        <f t="shared" si="22"/>
        <v>333.1</v>
      </c>
      <c r="D111" s="62">
        <f>242.7+90.4</f>
        <v>333.1</v>
      </c>
      <c r="E111" s="62"/>
      <c r="F111" s="62"/>
    </row>
    <row r="112" spans="1:6" s="2" customFormat="1" ht="15.75" x14ac:dyDescent="0.25">
      <c r="A112" s="13">
        <v>101</v>
      </c>
      <c r="B112" s="7" t="s">
        <v>215</v>
      </c>
      <c r="C112" s="62">
        <f t="shared" si="22"/>
        <v>21.9</v>
      </c>
      <c r="D112" s="62">
        <v>21.9</v>
      </c>
      <c r="E112" s="62"/>
      <c r="F112" s="62"/>
    </row>
    <row r="113" spans="1:6" s="2" customFormat="1" ht="15.75" x14ac:dyDescent="0.25">
      <c r="A113" s="13">
        <v>102</v>
      </c>
      <c r="B113" s="80" t="s">
        <v>138</v>
      </c>
      <c r="C113" s="62">
        <f t="shared" si="22"/>
        <v>21.9</v>
      </c>
      <c r="D113" s="62">
        <v>21.9</v>
      </c>
      <c r="E113" s="62"/>
      <c r="F113" s="62"/>
    </row>
    <row r="114" spans="1:6" s="2" customFormat="1" ht="15.75" x14ac:dyDescent="0.25">
      <c r="A114" s="13">
        <v>103</v>
      </c>
      <c r="B114" s="7" t="s">
        <v>65</v>
      </c>
      <c r="C114" s="62">
        <f t="shared" si="22"/>
        <v>798.8</v>
      </c>
      <c r="D114" s="62">
        <v>421.5</v>
      </c>
      <c r="E114" s="62"/>
      <c r="F114" s="62">
        <f>192.4+184.9</f>
        <v>377.3</v>
      </c>
    </row>
    <row r="115" spans="1:6" s="2" customFormat="1" ht="15.75" x14ac:dyDescent="0.25">
      <c r="A115" s="13">
        <v>104</v>
      </c>
      <c r="B115" s="80" t="s">
        <v>138</v>
      </c>
      <c r="C115" s="62">
        <f t="shared" si="22"/>
        <v>421.5</v>
      </c>
      <c r="D115" s="62">
        <v>421.5</v>
      </c>
      <c r="E115" s="62"/>
      <c r="F115" s="62"/>
    </row>
    <row r="116" spans="1:6" s="2" customFormat="1" ht="15.75" x14ac:dyDescent="0.25">
      <c r="A116" s="13">
        <v>105</v>
      </c>
      <c r="B116" s="12" t="s">
        <v>69</v>
      </c>
      <c r="C116" s="62">
        <f t="shared" si="22"/>
        <v>28.7</v>
      </c>
      <c r="D116" s="62">
        <v>28.7</v>
      </c>
      <c r="E116" s="62"/>
      <c r="F116" s="62"/>
    </row>
    <row r="117" spans="1:6" s="2" customFormat="1" ht="15.75" x14ac:dyDescent="0.25">
      <c r="A117" s="13">
        <v>106</v>
      </c>
      <c r="B117" s="80" t="s">
        <v>138</v>
      </c>
      <c r="C117" s="62">
        <f t="shared" si="22"/>
        <v>28.7</v>
      </c>
      <c r="D117" s="62">
        <v>28.7</v>
      </c>
      <c r="E117" s="62"/>
      <c r="F117" s="62"/>
    </row>
    <row r="118" spans="1:6" s="2" customFormat="1" ht="15.75" x14ac:dyDescent="0.25">
      <c r="A118" s="13">
        <v>107</v>
      </c>
      <c r="B118" s="7" t="s">
        <v>72</v>
      </c>
      <c r="C118" s="62">
        <f t="shared" si="22"/>
        <v>17</v>
      </c>
      <c r="D118" s="62">
        <v>17</v>
      </c>
      <c r="E118" s="62"/>
      <c r="F118" s="62"/>
    </row>
    <row r="119" spans="1:6" s="2" customFormat="1" ht="15.75" x14ac:dyDescent="0.25">
      <c r="A119" s="13">
        <v>108</v>
      </c>
      <c r="B119" s="80" t="s">
        <v>138</v>
      </c>
      <c r="C119" s="62">
        <f t="shared" si="22"/>
        <v>17</v>
      </c>
      <c r="D119" s="62">
        <v>17</v>
      </c>
      <c r="E119" s="62"/>
      <c r="F119" s="62"/>
    </row>
    <row r="120" spans="1:6" s="2" customFormat="1" ht="15.75" x14ac:dyDescent="0.25">
      <c r="A120" s="13">
        <v>109</v>
      </c>
      <c r="B120" s="8" t="s">
        <v>5</v>
      </c>
      <c r="C120" s="61">
        <f>+C121+C123</f>
        <v>146.5</v>
      </c>
      <c r="D120" s="61">
        <f t="shared" ref="D120:F120" si="23">+D121+D123</f>
        <v>57</v>
      </c>
      <c r="E120" s="61">
        <f t="shared" si="23"/>
        <v>0</v>
      </c>
      <c r="F120" s="61">
        <f t="shared" si="23"/>
        <v>89.5</v>
      </c>
    </row>
    <row r="121" spans="1:6" s="2" customFormat="1" ht="15.75" x14ac:dyDescent="0.25">
      <c r="A121" s="13">
        <v>110</v>
      </c>
      <c r="B121" s="7" t="s">
        <v>215</v>
      </c>
      <c r="C121" s="62">
        <f>+D121+F121</f>
        <v>122.8</v>
      </c>
      <c r="D121" s="62">
        <v>51</v>
      </c>
      <c r="E121" s="62"/>
      <c r="F121" s="62">
        <v>71.8</v>
      </c>
    </row>
    <row r="122" spans="1:6" s="2" customFormat="1" ht="15.75" x14ac:dyDescent="0.25">
      <c r="A122" s="13">
        <v>111</v>
      </c>
      <c r="B122" s="80" t="s">
        <v>138</v>
      </c>
      <c r="C122" s="62">
        <f>+D122+F122</f>
        <v>36</v>
      </c>
      <c r="D122" s="62">
        <v>36</v>
      </c>
      <c r="E122" s="62"/>
      <c r="F122" s="62"/>
    </row>
    <row r="123" spans="1:6" s="2" customFormat="1" ht="15.75" x14ac:dyDescent="0.25">
      <c r="A123" s="13">
        <v>112</v>
      </c>
      <c r="B123" s="12" t="s">
        <v>69</v>
      </c>
      <c r="C123" s="62">
        <f>+D123+F123</f>
        <v>23.7</v>
      </c>
      <c r="D123" s="62">
        <v>6</v>
      </c>
      <c r="E123" s="62"/>
      <c r="F123" s="62">
        <v>17.7</v>
      </c>
    </row>
    <row r="124" spans="1:6" s="2" customFormat="1" ht="15.75" x14ac:dyDescent="0.25">
      <c r="A124" s="13">
        <v>113</v>
      </c>
      <c r="B124" s="8" t="s">
        <v>6</v>
      </c>
      <c r="C124" s="61">
        <f>+C125+C127</f>
        <v>374.5</v>
      </c>
      <c r="D124" s="61">
        <f t="shared" ref="D124:F124" si="24">+D125+D127</f>
        <v>374.5</v>
      </c>
      <c r="E124" s="61">
        <f t="shared" si="24"/>
        <v>0</v>
      </c>
      <c r="F124" s="61">
        <f t="shared" si="24"/>
        <v>0</v>
      </c>
    </row>
    <row r="125" spans="1:6" s="2" customFormat="1" ht="15.75" x14ac:dyDescent="0.25">
      <c r="A125" s="13">
        <v>114</v>
      </c>
      <c r="B125" s="7" t="s">
        <v>72</v>
      </c>
      <c r="C125" s="62">
        <f>+D125+F125</f>
        <v>324.5</v>
      </c>
      <c r="D125" s="62">
        <v>324.5</v>
      </c>
      <c r="E125" s="61"/>
      <c r="F125" s="61"/>
    </row>
    <row r="126" spans="1:6" s="2" customFormat="1" ht="15.75" x14ac:dyDescent="0.25">
      <c r="A126" s="13">
        <v>115</v>
      </c>
      <c r="B126" s="80" t="s">
        <v>138</v>
      </c>
      <c r="C126" s="62">
        <f>+D126+F126</f>
        <v>207.2</v>
      </c>
      <c r="D126" s="62">
        <f>83.3+123.9</f>
        <v>207.2</v>
      </c>
      <c r="E126" s="61"/>
      <c r="F126" s="61"/>
    </row>
    <row r="127" spans="1:6" s="2" customFormat="1" ht="15.75" x14ac:dyDescent="0.25">
      <c r="A127" s="13">
        <v>116</v>
      </c>
      <c r="B127" s="7" t="s">
        <v>78</v>
      </c>
      <c r="C127" s="62">
        <f>+D127+F127</f>
        <v>50</v>
      </c>
      <c r="D127" s="62">
        <v>50</v>
      </c>
      <c r="E127" s="62"/>
      <c r="F127" s="62"/>
    </row>
    <row r="128" spans="1:6" s="2" customFormat="1" ht="15.75" x14ac:dyDescent="0.25">
      <c r="A128" s="13">
        <v>117</v>
      </c>
      <c r="B128" s="8" t="s">
        <v>117</v>
      </c>
      <c r="C128" s="61">
        <f>+C12+C30+C83</f>
        <v>19604.400000000001</v>
      </c>
      <c r="D128" s="61">
        <f>+D12+D30+D83</f>
        <v>8164.7</v>
      </c>
      <c r="E128" s="61">
        <f>+E12+E30+E83</f>
        <v>344.1</v>
      </c>
      <c r="F128" s="61">
        <f>+F12+F30+F83</f>
        <v>11439.7</v>
      </c>
    </row>
    <row r="130" spans="2:2" x14ac:dyDescent="0.25">
      <c r="B130" s="124"/>
    </row>
  </sheetData>
  <mergeCells count="7">
    <mergeCell ref="A5:F5"/>
    <mergeCell ref="A8:A10"/>
    <mergeCell ref="B8:B10"/>
    <mergeCell ref="C8:C10"/>
    <mergeCell ref="D8:F8"/>
    <mergeCell ref="D9:E9"/>
    <mergeCell ref="F9:F10"/>
  </mergeCells>
  <pageMargins left="0.94488188976377963" right="0.35433070866141736" top="0.74803149606299213" bottom="0.55118110236220474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Zeros="0" zoomScale="94" zoomScaleNormal="94" workbookViewId="0">
      <pane xSplit="2" ySplit="12" topLeftCell="C34" activePane="bottomRight" state="frozen"/>
      <selection pane="topRight" activeCell="C1" sqref="C1"/>
      <selection pane="bottomLeft" activeCell="A13" sqref="A13"/>
      <selection pane="bottomRight" activeCell="F44" sqref="F44"/>
    </sheetView>
  </sheetViews>
  <sheetFormatPr defaultRowHeight="15.75" x14ac:dyDescent="0.25"/>
  <cols>
    <col min="1" max="1" width="5.28515625" style="72" customWidth="1"/>
    <col min="2" max="2" width="44" style="72" customWidth="1"/>
    <col min="3" max="3" width="12.7109375" style="72" customWidth="1"/>
    <col min="4" max="4" width="10.5703125" customWidth="1"/>
    <col min="5" max="6" width="11.140625" customWidth="1"/>
    <col min="7" max="7" width="9.140625" customWidth="1"/>
    <col min="207" max="207" width="5.28515625" customWidth="1"/>
    <col min="208" max="208" width="39.5703125" customWidth="1"/>
    <col min="209" max="209" width="14.7109375" customWidth="1"/>
    <col min="210" max="210" width="14.140625" customWidth="1"/>
    <col min="211" max="211" width="13.7109375" customWidth="1"/>
    <col min="463" max="463" width="5.28515625" customWidth="1"/>
    <col min="464" max="464" width="39.5703125" customWidth="1"/>
    <col min="465" max="465" width="14.7109375" customWidth="1"/>
    <col min="466" max="466" width="14.140625" customWidth="1"/>
    <col min="467" max="467" width="13.7109375" customWidth="1"/>
    <col min="719" max="719" width="5.28515625" customWidth="1"/>
    <col min="720" max="720" width="39.5703125" customWidth="1"/>
    <col min="721" max="721" width="14.7109375" customWidth="1"/>
    <col min="722" max="722" width="14.140625" customWidth="1"/>
    <col min="723" max="723" width="13.7109375" customWidth="1"/>
    <col min="975" max="975" width="5.28515625" customWidth="1"/>
    <col min="976" max="976" width="39.5703125" customWidth="1"/>
    <col min="977" max="977" width="14.7109375" customWidth="1"/>
    <col min="978" max="978" width="14.140625" customWidth="1"/>
    <col min="979" max="979" width="13.7109375" customWidth="1"/>
    <col min="1231" max="1231" width="5.28515625" customWidth="1"/>
    <col min="1232" max="1232" width="39.5703125" customWidth="1"/>
    <col min="1233" max="1233" width="14.7109375" customWidth="1"/>
    <col min="1234" max="1234" width="14.140625" customWidth="1"/>
    <col min="1235" max="1235" width="13.7109375" customWidth="1"/>
    <col min="1487" max="1487" width="5.28515625" customWidth="1"/>
    <col min="1488" max="1488" width="39.5703125" customWidth="1"/>
    <col min="1489" max="1489" width="14.7109375" customWidth="1"/>
    <col min="1490" max="1490" width="14.140625" customWidth="1"/>
    <col min="1491" max="1491" width="13.7109375" customWidth="1"/>
    <col min="1743" max="1743" width="5.28515625" customWidth="1"/>
    <col min="1744" max="1744" width="39.5703125" customWidth="1"/>
    <col min="1745" max="1745" width="14.7109375" customWidth="1"/>
    <col min="1746" max="1746" width="14.140625" customWidth="1"/>
    <col min="1747" max="1747" width="13.7109375" customWidth="1"/>
    <col min="1999" max="1999" width="5.28515625" customWidth="1"/>
    <col min="2000" max="2000" width="39.5703125" customWidth="1"/>
    <col min="2001" max="2001" width="14.7109375" customWidth="1"/>
    <col min="2002" max="2002" width="14.140625" customWidth="1"/>
    <col min="2003" max="2003" width="13.7109375" customWidth="1"/>
    <col min="2255" max="2255" width="5.28515625" customWidth="1"/>
    <col min="2256" max="2256" width="39.5703125" customWidth="1"/>
    <col min="2257" max="2257" width="14.7109375" customWidth="1"/>
    <col min="2258" max="2258" width="14.140625" customWidth="1"/>
    <col min="2259" max="2259" width="13.7109375" customWidth="1"/>
    <col min="2511" max="2511" width="5.28515625" customWidth="1"/>
    <col min="2512" max="2512" width="39.5703125" customWidth="1"/>
    <col min="2513" max="2513" width="14.7109375" customWidth="1"/>
    <col min="2514" max="2514" width="14.140625" customWidth="1"/>
    <col min="2515" max="2515" width="13.7109375" customWidth="1"/>
    <col min="2767" max="2767" width="5.28515625" customWidth="1"/>
    <col min="2768" max="2768" width="39.5703125" customWidth="1"/>
    <col min="2769" max="2769" width="14.7109375" customWidth="1"/>
    <col min="2770" max="2770" width="14.140625" customWidth="1"/>
    <col min="2771" max="2771" width="13.7109375" customWidth="1"/>
    <col min="3023" max="3023" width="5.28515625" customWidth="1"/>
    <col min="3024" max="3024" width="39.5703125" customWidth="1"/>
    <col min="3025" max="3025" width="14.7109375" customWidth="1"/>
    <col min="3026" max="3026" width="14.140625" customWidth="1"/>
    <col min="3027" max="3027" width="13.7109375" customWidth="1"/>
    <col min="3279" max="3279" width="5.28515625" customWidth="1"/>
    <col min="3280" max="3280" width="39.5703125" customWidth="1"/>
    <col min="3281" max="3281" width="14.7109375" customWidth="1"/>
    <col min="3282" max="3282" width="14.140625" customWidth="1"/>
    <col min="3283" max="3283" width="13.7109375" customWidth="1"/>
    <col min="3535" max="3535" width="5.28515625" customWidth="1"/>
    <col min="3536" max="3536" width="39.5703125" customWidth="1"/>
    <col min="3537" max="3537" width="14.7109375" customWidth="1"/>
    <col min="3538" max="3538" width="14.140625" customWidth="1"/>
    <col min="3539" max="3539" width="13.7109375" customWidth="1"/>
    <col min="3791" max="3791" width="5.28515625" customWidth="1"/>
    <col min="3792" max="3792" width="39.5703125" customWidth="1"/>
    <col min="3793" max="3793" width="14.7109375" customWidth="1"/>
    <col min="3794" max="3794" width="14.140625" customWidth="1"/>
    <col min="3795" max="3795" width="13.7109375" customWidth="1"/>
    <col min="4047" max="4047" width="5.28515625" customWidth="1"/>
    <col min="4048" max="4048" width="39.5703125" customWidth="1"/>
    <col min="4049" max="4049" width="14.7109375" customWidth="1"/>
    <col min="4050" max="4050" width="14.140625" customWidth="1"/>
    <col min="4051" max="4051" width="13.7109375" customWidth="1"/>
    <col min="4303" max="4303" width="5.28515625" customWidth="1"/>
    <col min="4304" max="4304" width="39.5703125" customWidth="1"/>
    <col min="4305" max="4305" width="14.7109375" customWidth="1"/>
    <col min="4306" max="4306" width="14.140625" customWidth="1"/>
    <col min="4307" max="4307" width="13.7109375" customWidth="1"/>
    <col min="4559" max="4559" width="5.28515625" customWidth="1"/>
    <col min="4560" max="4560" width="39.5703125" customWidth="1"/>
    <col min="4561" max="4561" width="14.7109375" customWidth="1"/>
    <col min="4562" max="4562" width="14.140625" customWidth="1"/>
    <col min="4563" max="4563" width="13.7109375" customWidth="1"/>
    <col min="4815" max="4815" width="5.28515625" customWidth="1"/>
    <col min="4816" max="4816" width="39.5703125" customWidth="1"/>
    <col min="4817" max="4817" width="14.7109375" customWidth="1"/>
    <col min="4818" max="4818" width="14.140625" customWidth="1"/>
    <col min="4819" max="4819" width="13.7109375" customWidth="1"/>
    <col min="5071" max="5071" width="5.28515625" customWidth="1"/>
    <col min="5072" max="5072" width="39.5703125" customWidth="1"/>
    <col min="5073" max="5073" width="14.7109375" customWidth="1"/>
    <col min="5074" max="5074" width="14.140625" customWidth="1"/>
    <col min="5075" max="5075" width="13.7109375" customWidth="1"/>
    <col min="5327" max="5327" width="5.28515625" customWidth="1"/>
    <col min="5328" max="5328" width="39.5703125" customWidth="1"/>
    <col min="5329" max="5329" width="14.7109375" customWidth="1"/>
    <col min="5330" max="5330" width="14.140625" customWidth="1"/>
    <col min="5331" max="5331" width="13.7109375" customWidth="1"/>
    <col min="5583" max="5583" width="5.28515625" customWidth="1"/>
    <col min="5584" max="5584" width="39.5703125" customWidth="1"/>
    <col min="5585" max="5585" width="14.7109375" customWidth="1"/>
    <col min="5586" max="5586" width="14.140625" customWidth="1"/>
    <col min="5587" max="5587" width="13.7109375" customWidth="1"/>
    <col min="5839" max="5839" width="5.28515625" customWidth="1"/>
    <col min="5840" max="5840" width="39.5703125" customWidth="1"/>
    <col min="5841" max="5841" width="14.7109375" customWidth="1"/>
    <col min="5842" max="5842" width="14.140625" customWidth="1"/>
    <col min="5843" max="5843" width="13.7109375" customWidth="1"/>
    <col min="6095" max="6095" width="5.28515625" customWidth="1"/>
    <col min="6096" max="6096" width="39.5703125" customWidth="1"/>
    <col min="6097" max="6097" width="14.7109375" customWidth="1"/>
    <col min="6098" max="6098" width="14.140625" customWidth="1"/>
    <col min="6099" max="6099" width="13.7109375" customWidth="1"/>
    <col min="6351" max="6351" width="5.28515625" customWidth="1"/>
    <col min="6352" max="6352" width="39.5703125" customWidth="1"/>
    <col min="6353" max="6353" width="14.7109375" customWidth="1"/>
    <col min="6354" max="6354" width="14.140625" customWidth="1"/>
    <col min="6355" max="6355" width="13.7109375" customWidth="1"/>
    <col min="6607" max="6607" width="5.28515625" customWidth="1"/>
    <col min="6608" max="6608" width="39.5703125" customWidth="1"/>
    <col min="6609" max="6609" width="14.7109375" customWidth="1"/>
    <col min="6610" max="6610" width="14.140625" customWidth="1"/>
    <col min="6611" max="6611" width="13.7109375" customWidth="1"/>
    <col min="6863" max="6863" width="5.28515625" customWidth="1"/>
    <col min="6864" max="6864" width="39.5703125" customWidth="1"/>
    <col min="6865" max="6865" width="14.7109375" customWidth="1"/>
    <col min="6866" max="6866" width="14.140625" customWidth="1"/>
    <col min="6867" max="6867" width="13.7109375" customWidth="1"/>
    <col min="7119" max="7119" width="5.28515625" customWidth="1"/>
    <col min="7120" max="7120" width="39.5703125" customWidth="1"/>
    <col min="7121" max="7121" width="14.7109375" customWidth="1"/>
    <col min="7122" max="7122" width="14.140625" customWidth="1"/>
    <col min="7123" max="7123" width="13.7109375" customWidth="1"/>
    <col min="7375" max="7375" width="5.28515625" customWidth="1"/>
    <col min="7376" max="7376" width="39.5703125" customWidth="1"/>
    <col min="7377" max="7377" width="14.7109375" customWidth="1"/>
    <col min="7378" max="7378" width="14.140625" customWidth="1"/>
    <col min="7379" max="7379" width="13.7109375" customWidth="1"/>
    <col min="7631" max="7631" width="5.28515625" customWidth="1"/>
    <col min="7632" max="7632" width="39.5703125" customWidth="1"/>
    <col min="7633" max="7633" width="14.7109375" customWidth="1"/>
    <col min="7634" max="7634" width="14.140625" customWidth="1"/>
    <col min="7635" max="7635" width="13.7109375" customWidth="1"/>
    <col min="7887" max="7887" width="5.28515625" customWidth="1"/>
    <col min="7888" max="7888" width="39.5703125" customWidth="1"/>
    <col min="7889" max="7889" width="14.7109375" customWidth="1"/>
    <col min="7890" max="7890" width="14.140625" customWidth="1"/>
    <col min="7891" max="7891" width="13.7109375" customWidth="1"/>
    <col min="8143" max="8143" width="5.28515625" customWidth="1"/>
    <col min="8144" max="8144" width="39.5703125" customWidth="1"/>
    <col min="8145" max="8145" width="14.7109375" customWidth="1"/>
    <col min="8146" max="8146" width="14.140625" customWidth="1"/>
    <col min="8147" max="8147" width="13.7109375" customWidth="1"/>
    <col min="8399" max="8399" width="5.28515625" customWidth="1"/>
    <col min="8400" max="8400" width="39.5703125" customWidth="1"/>
    <col min="8401" max="8401" width="14.7109375" customWidth="1"/>
    <col min="8402" max="8402" width="14.140625" customWidth="1"/>
    <col min="8403" max="8403" width="13.7109375" customWidth="1"/>
    <col min="8655" max="8655" width="5.28515625" customWidth="1"/>
    <col min="8656" max="8656" width="39.5703125" customWidth="1"/>
    <col min="8657" max="8657" width="14.7109375" customWidth="1"/>
    <col min="8658" max="8658" width="14.140625" customWidth="1"/>
    <col min="8659" max="8659" width="13.7109375" customWidth="1"/>
    <col min="8911" max="8911" width="5.28515625" customWidth="1"/>
    <col min="8912" max="8912" width="39.5703125" customWidth="1"/>
    <col min="8913" max="8913" width="14.7109375" customWidth="1"/>
    <col min="8914" max="8914" width="14.140625" customWidth="1"/>
    <col min="8915" max="8915" width="13.7109375" customWidth="1"/>
    <col min="9167" max="9167" width="5.28515625" customWidth="1"/>
    <col min="9168" max="9168" width="39.5703125" customWidth="1"/>
    <col min="9169" max="9169" width="14.7109375" customWidth="1"/>
    <col min="9170" max="9170" width="14.140625" customWidth="1"/>
    <col min="9171" max="9171" width="13.7109375" customWidth="1"/>
    <col min="9423" max="9423" width="5.28515625" customWidth="1"/>
    <col min="9424" max="9424" width="39.5703125" customWidth="1"/>
    <col min="9425" max="9425" width="14.7109375" customWidth="1"/>
    <col min="9426" max="9426" width="14.140625" customWidth="1"/>
    <col min="9427" max="9427" width="13.7109375" customWidth="1"/>
    <col min="9679" max="9679" width="5.28515625" customWidth="1"/>
    <col min="9680" max="9680" width="39.5703125" customWidth="1"/>
    <col min="9681" max="9681" width="14.7109375" customWidth="1"/>
    <col min="9682" max="9682" width="14.140625" customWidth="1"/>
    <col min="9683" max="9683" width="13.7109375" customWidth="1"/>
    <col min="9935" max="9935" width="5.28515625" customWidth="1"/>
    <col min="9936" max="9936" width="39.5703125" customWidth="1"/>
    <col min="9937" max="9937" width="14.7109375" customWidth="1"/>
    <col min="9938" max="9938" width="14.140625" customWidth="1"/>
    <col min="9939" max="9939" width="13.7109375" customWidth="1"/>
    <col min="10191" max="10191" width="5.28515625" customWidth="1"/>
    <col min="10192" max="10192" width="39.5703125" customWidth="1"/>
    <col min="10193" max="10193" width="14.7109375" customWidth="1"/>
    <col min="10194" max="10194" width="14.140625" customWidth="1"/>
    <col min="10195" max="10195" width="13.7109375" customWidth="1"/>
    <col min="10447" max="10447" width="5.28515625" customWidth="1"/>
    <col min="10448" max="10448" width="39.5703125" customWidth="1"/>
    <col min="10449" max="10449" width="14.7109375" customWidth="1"/>
    <col min="10450" max="10450" width="14.140625" customWidth="1"/>
    <col min="10451" max="10451" width="13.7109375" customWidth="1"/>
    <col min="10703" max="10703" width="5.28515625" customWidth="1"/>
    <col min="10704" max="10704" width="39.5703125" customWidth="1"/>
    <col min="10705" max="10705" width="14.7109375" customWidth="1"/>
    <col min="10706" max="10706" width="14.140625" customWidth="1"/>
    <col min="10707" max="10707" width="13.7109375" customWidth="1"/>
    <col min="10959" max="10959" width="5.28515625" customWidth="1"/>
    <col min="10960" max="10960" width="39.5703125" customWidth="1"/>
    <col min="10961" max="10961" width="14.7109375" customWidth="1"/>
    <col min="10962" max="10962" width="14.140625" customWidth="1"/>
    <col min="10963" max="10963" width="13.7109375" customWidth="1"/>
    <col min="11215" max="11215" width="5.28515625" customWidth="1"/>
    <col min="11216" max="11216" width="39.5703125" customWidth="1"/>
    <col min="11217" max="11217" width="14.7109375" customWidth="1"/>
    <col min="11218" max="11218" width="14.140625" customWidth="1"/>
    <col min="11219" max="11219" width="13.7109375" customWidth="1"/>
    <col min="11471" max="11471" width="5.28515625" customWidth="1"/>
    <col min="11472" max="11472" width="39.5703125" customWidth="1"/>
    <col min="11473" max="11473" width="14.7109375" customWidth="1"/>
    <col min="11474" max="11474" width="14.140625" customWidth="1"/>
    <col min="11475" max="11475" width="13.7109375" customWidth="1"/>
    <col min="11727" max="11727" width="5.28515625" customWidth="1"/>
    <col min="11728" max="11728" width="39.5703125" customWidth="1"/>
    <col min="11729" max="11729" width="14.7109375" customWidth="1"/>
    <col min="11730" max="11730" width="14.140625" customWidth="1"/>
    <col min="11731" max="11731" width="13.7109375" customWidth="1"/>
    <col min="11983" max="11983" width="5.28515625" customWidth="1"/>
    <col min="11984" max="11984" width="39.5703125" customWidth="1"/>
    <col min="11985" max="11985" width="14.7109375" customWidth="1"/>
    <col min="11986" max="11986" width="14.140625" customWidth="1"/>
    <col min="11987" max="11987" width="13.7109375" customWidth="1"/>
    <col min="12239" max="12239" width="5.28515625" customWidth="1"/>
    <col min="12240" max="12240" width="39.5703125" customWidth="1"/>
    <col min="12241" max="12241" width="14.7109375" customWidth="1"/>
    <col min="12242" max="12242" width="14.140625" customWidth="1"/>
    <col min="12243" max="12243" width="13.7109375" customWidth="1"/>
    <col min="12495" max="12495" width="5.28515625" customWidth="1"/>
    <col min="12496" max="12496" width="39.5703125" customWidth="1"/>
    <col min="12497" max="12497" width="14.7109375" customWidth="1"/>
    <col min="12498" max="12498" width="14.140625" customWidth="1"/>
    <col min="12499" max="12499" width="13.7109375" customWidth="1"/>
    <col min="12751" max="12751" width="5.28515625" customWidth="1"/>
    <col min="12752" max="12752" width="39.5703125" customWidth="1"/>
    <col min="12753" max="12753" width="14.7109375" customWidth="1"/>
    <col min="12754" max="12754" width="14.140625" customWidth="1"/>
    <col min="12755" max="12755" width="13.7109375" customWidth="1"/>
    <col min="13007" max="13007" width="5.28515625" customWidth="1"/>
    <col min="13008" max="13008" width="39.5703125" customWidth="1"/>
    <col min="13009" max="13009" width="14.7109375" customWidth="1"/>
    <col min="13010" max="13010" width="14.140625" customWidth="1"/>
    <col min="13011" max="13011" width="13.7109375" customWidth="1"/>
    <col min="13263" max="13263" width="5.28515625" customWidth="1"/>
    <col min="13264" max="13264" width="39.5703125" customWidth="1"/>
    <col min="13265" max="13265" width="14.7109375" customWidth="1"/>
    <col min="13266" max="13266" width="14.140625" customWidth="1"/>
    <col min="13267" max="13267" width="13.7109375" customWidth="1"/>
    <col min="13519" max="13519" width="5.28515625" customWidth="1"/>
    <col min="13520" max="13520" width="39.5703125" customWidth="1"/>
    <col min="13521" max="13521" width="14.7109375" customWidth="1"/>
    <col min="13522" max="13522" width="14.140625" customWidth="1"/>
    <col min="13523" max="13523" width="13.7109375" customWidth="1"/>
    <col min="13775" max="13775" width="5.28515625" customWidth="1"/>
    <col min="13776" max="13776" width="39.5703125" customWidth="1"/>
    <col min="13777" max="13777" width="14.7109375" customWidth="1"/>
    <col min="13778" max="13778" width="14.140625" customWidth="1"/>
    <col min="13779" max="13779" width="13.7109375" customWidth="1"/>
    <col min="14031" max="14031" width="5.28515625" customWidth="1"/>
    <col min="14032" max="14032" width="39.5703125" customWidth="1"/>
    <col min="14033" max="14033" width="14.7109375" customWidth="1"/>
    <col min="14034" max="14034" width="14.140625" customWidth="1"/>
    <col min="14035" max="14035" width="13.7109375" customWidth="1"/>
    <col min="14287" max="14287" width="5.28515625" customWidth="1"/>
    <col min="14288" max="14288" width="39.5703125" customWidth="1"/>
    <col min="14289" max="14289" width="14.7109375" customWidth="1"/>
    <col min="14290" max="14290" width="14.140625" customWidth="1"/>
    <col min="14291" max="14291" width="13.7109375" customWidth="1"/>
    <col min="14543" max="14543" width="5.28515625" customWidth="1"/>
    <col min="14544" max="14544" width="39.5703125" customWidth="1"/>
    <col min="14545" max="14545" width="14.7109375" customWidth="1"/>
    <col min="14546" max="14546" width="14.140625" customWidth="1"/>
    <col min="14547" max="14547" width="13.7109375" customWidth="1"/>
    <col min="14799" max="14799" width="5.28515625" customWidth="1"/>
    <col min="14800" max="14800" width="39.5703125" customWidth="1"/>
    <col min="14801" max="14801" width="14.7109375" customWidth="1"/>
    <col min="14802" max="14802" width="14.140625" customWidth="1"/>
    <col min="14803" max="14803" width="13.7109375" customWidth="1"/>
    <col min="15055" max="15055" width="5.28515625" customWidth="1"/>
    <col min="15056" max="15056" width="39.5703125" customWidth="1"/>
    <col min="15057" max="15057" width="14.7109375" customWidth="1"/>
    <col min="15058" max="15058" width="14.140625" customWidth="1"/>
    <col min="15059" max="15059" width="13.7109375" customWidth="1"/>
    <col min="15311" max="15311" width="5.28515625" customWidth="1"/>
    <col min="15312" max="15312" width="39.5703125" customWidth="1"/>
    <col min="15313" max="15313" width="14.7109375" customWidth="1"/>
    <col min="15314" max="15314" width="14.140625" customWidth="1"/>
    <col min="15315" max="15315" width="13.7109375" customWidth="1"/>
    <col min="15567" max="15567" width="5.28515625" customWidth="1"/>
    <col min="15568" max="15568" width="39.5703125" customWidth="1"/>
    <col min="15569" max="15569" width="14.7109375" customWidth="1"/>
    <col min="15570" max="15570" width="14.140625" customWidth="1"/>
    <col min="15571" max="15571" width="13.7109375" customWidth="1"/>
    <col min="15823" max="15823" width="5.28515625" customWidth="1"/>
    <col min="15824" max="15824" width="39.5703125" customWidth="1"/>
    <col min="15825" max="15825" width="14.7109375" customWidth="1"/>
    <col min="15826" max="15826" width="14.140625" customWidth="1"/>
    <col min="15827" max="15827" width="13.7109375" customWidth="1"/>
    <col min="16079" max="16079" width="5.28515625" customWidth="1"/>
    <col min="16080" max="16080" width="39.5703125" customWidth="1"/>
    <col min="16081" max="16081" width="14.7109375" customWidth="1"/>
    <col min="16082" max="16082" width="14.140625" customWidth="1"/>
    <col min="16083" max="16083" width="13.7109375" customWidth="1"/>
  </cols>
  <sheetData>
    <row r="1" spans="1:6" x14ac:dyDescent="0.25">
      <c r="A1" s="118"/>
      <c r="B1" s="125"/>
      <c r="C1" s="118" t="s">
        <v>216</v>
      </c>
      <c r="D1" s="126"/>
      <c r="E1" s="118"/>
      <c r="F1" s="118"/>
    </row>
    <row r="2" spans="1:6" x14ac:dyDescent="0.25">
      <c r="A2" s="118"/>
      <c r="B2" s="118"/>
      <c r="C2" s="118" t="s">
        <v>235</v>
      </c>
      <c r="D2" s="126"/>
      <c r="E2" s="118"/>
      <c r="F2" s="118"/>
    </row>
    <row r="3" spans="1:6" x14ac:dyDescent="0.25">
      <c r="A3" s="118"/>
      <c r="B3" s="118"/>
      <c r="C3" s="118" t="s">
        <v>265</v>
      </c>
      <c r="D3" s="126"/>
      <c r="E3" s="118"/>
      <c r="F3" s="118"/>
    </row>
    <row r="4" spans="1:6" ht="15" customHeight="1" x14ac:dyDescent="0.25">
      <c r="A4" s="118"/>
      <c r="B4" s="118"/>
      <c r="C4" s="127"/>
      <c r="D4" s="126"/>
      <c r="E4" s="126"/>
      <c r="F4" s="126"/>
    </row>
    <row r="5" spans="1:6" ht="16.5" customHeight="1" x14ac:dyDescent="0.25">
      <c r="A5" s="151" t="s">
        <v>266</v>
      </c>
      <c r="B5" s="151"/>
      <c r="C5" s="151"/>
      <c r="D5" s="151"/>
      <c r="E5" s="151"/>
      <c r="F5" s="151"/>
    </row>
    <row r="6" spans="1:6" ht="12.75" customHeight="1" x14ac:dyDescent="0.25">
      <c r="A6" s="128"/>
      <c r="B6" s="128"/>
      <c r="C6" s="128"/>
      <c r="D6" s="128"/>
      <c r="E6" s="128"/>
      <c r="F6" s="128"/>
    </row>
    <row r="7" spans="1:6" ht="14.25" customHeight="1" x14ac:dyDescent="0.25">
      <c r="A7" s="128"/>
      <c r="B7" s="128"/>
      <c r="C7" s="128"/>
      <c r="D7" s="128"/>
      <c r="E7" s="128"/>
      <c r="F7" s="129" t="s">
        <v>116</v>
      </c>
    </row>
    <row r="8" spans="1:6" ht="15" customHeight="1" x14ac:dyDescent="0.25">
      <c r="A8" s="152" t="s">
        <v>0</v>
      </c>
      <c r="B8" s="152" t="s">
        <v>217</v>
      </c>
      <c r="C8" s="153" t="s">
        <v>236</v>
      </c>
      <c r="D8" s="153"/>
      <c r="E8" s="153"/>
      <c r="F8" s="153"/>
    </row>
    <row r="9" spans="1:6" ht="18" customHeight="1" x14ac:dyDescent="0.25">
      <c r="A9" s="152"/>
      <c r="B9" s="152"/>
      <c r="C9" s="152" t="s">
        <v>1</v>
      </c>
      <c r="D9" s="154" t="s">
        <v>2</v>
      </c>
      <c r="E9" s="154"/>
      <c r="F9" s="154"/>
    </row>
    <row r="10" spans="1:6" ht="21.75" customHeight="1" x14ac:dyDescent="0.25">
      <c r="A10" s="152"/>
      <c r="B10" s="152"/>
      <c r="C10" s="152"/>
      <c r="D10" s="153" t="s">
        <v>218</v>
      </c>
      <c r="E10" s="153" t="s">
        <v>219</v>
      </c>
      <c r="F10" s="155" t="s">
        <v>269</v>
      </c>
    </row>
    <row r="11" spans="1:6" ht="41.25" customHeight="1" x14ac:dyDescent="0.25">
      <c r="A11" s="152"/>
      <c r="B11" s="152"/>
      <c r="C11" s="152"/>
      <c r="D11" s="153"/>
      <c r="E11" s="153"/>
      <c r="F11" s="155"/>
    </row>
    <row r="12" spans="1:6" ht="15" customHeight="1" x14ac:dyDescent="0.25">
      <c r="A12" s="108">
        <v>1</v>
      </c>
      <c r="B12" s="46" t="s">
        <v>168</v>
      </c>
      <c r="C12" s="46" t="s">
        <v>169</v>
      </c>
      <c r="D12" s="108">
        <v>4</v>
      </c>
      <c r="E12" s="108">
        <v>5</v>
      </c>
      <c r="F12" s="108">
        <v>6</v>
      </c>
    </row>
    <row r="13" spans="1:6" x14ac:dyDescent="0.25">
      <c r="A13" s="47">
        <v>1</v>
      </c>
      <c r="B13" s="8" t="s">
        <v>3</v>
      </c>
      <c r="C13" s="74">
        <f>+C14</f>
        <v>158.6</v>
      </c>
      <c r="D13" s="74">
        <f t="shared" ref="D13:F13" si="0">+D14</f>
        <v>158.6</v>
      </c>
      <c r="E13" s="74">
        <f t="shared" si="0"/>
        <v>0</v>
      </c>
      <c r="F13" s="74">
        <f t="shared" si="0"/>
        <v>0</v>
      </c>
    </row>
    <row r="14" spans="1:6" x14ac:dyDescent="0.25">
      <c r="A14" s="47">
        <v>2</v>
      </c>
      <c r="B14" s="75" t="s">
        <v>38</v>
      </c>
      <c r="C14" s="76">
        <f>+D14+E14+F14</f>
        <v>158.6</v>
      </c>
      <c r="D14" s="77">
        <v>158.6</v>
      </c>
      <c r="E14" s="77"/>
      <c r="F14" s="77"/>
    </row>
    <row r="15" spans="1:6" ht="15.75" customHeight="1" x14ac:dyDescent="0.25">
      <c r="A15" s="47">
        <v>3</v>
      </c>
      <c r="B15" s="8" t="s">
        <v>4</v>
      </c>
      <c r="C15" s="74">
        <f>+C16</f>
        <v>4.5</v>
      </c>
      <c r="D15" s="74">
        <f t="shared" ref="D15:E15" si="1">+D16</f>
        <v>4.5</v>
      </c>
      <c r="E15" s="74">
        <f t="shared" si="1"/>
        <v>0</v>
      </c>
      <c r="F15" s="74"/>
    </row>
    <row r="16" spans="1:6" ht="28.5" customHeight="1" x14ac:dyDescent="0.25">
      <c r="A16" s="47">
        <v>4</v>
      </c>
      <c r="B16" s="75" t="s">
        <v>62</v>
      </c>
      <c r="C16" s="76">
        <f>+D16+F16</f>
        <v>4.5</v>
      </c>
      <c r="D16" s="76">
        <v>4.5</v>
      </c>
      <c r="E16" s="76">
        <f t="shared" ref="E16:F16" si="2">+E18</f>
        <v>0</v>
      </c>
      <c r="F16" s="76">
        <f t="shared" si="2"/>
        <v>0</v>
      </c>
    </row>
    <row r="17" spans="1:6" x14ac:dyDescent="0.25">
      <c r="A17" s="47">
        <v>5</v>
      </c>
      <c r="B17" s="78" t="s">
        <v>2</v>
      </c>
      <c r="C17" s="74"/>
      <c r="D17" s="77"/>
      <c r="E17" s="77"/>
      <c r="F17" s="77"/>
    </row>
    <row r="18" spans="1:6" ht="15.75" customHeight="1" x14ac:dyDescent="0.25">
      <c r="A18" s="47">
        <v>6</v>
      </c>
      <c r="B18" s="7" t="s">
        <v>172</v>
      </c>
      <c r="C18" s="76">
        <f t="shared" ref="C18" si="3">+D18+E18</f>
        <v>2.7</v>
      </c>
      <c r="D18" s="77">
        <v>2.7</v>
      </c>
      <c r="E18" s="77"/>
      <c r="F18" s="77"/>
    </row>
    <row r="19" spans="1:6" s="79" customFormat="1" x14ac:dyDescent="0.25">
      <c r="A19" s="47">
        <v>7</v>
      </c>
      <c r="B19" s="4" t="s">
        <v>120</v>
      </c>
      <c r="C19" s="74">
        <f>SUM(C20:C22)</f>
        <v>639.70000000000005</v>
      </c>
      <c r="D19" s="74">
        <f t="shared" ref="D19:F19" si="4">SUM(D20:D22)</f>
        <v>639.70000000000005</v>
      </c>
      <c r="E19" s="74">
        <f t="shared" si="4"/>
        <v>0</v>
      </c>
      <c r="F19" s="74">
        <f t="shared" si="4"/>
        <v>0</v>
      </c>
    </row>
    <row r="20" spans="1:6" s="81" customFormat="1" ht="31.5" x14ac:dyDescent="0.25">
      <c r="A20" s="47">
        <v>8</v>
      </c>
      <c r="B20" s="80" t="s">
        <v>220</v>
      </c>
      <c r="C20" s="76">
        <f>+D20+E20+F20</f>
        <v>83.3</v>
      </c>
      <c r="D20" s="76">
        <v>83.3</v>
      </c>
      <c r="E20" s="76"/>
      <c r="F20" s="76"/>
    </row>
    <row r="21" spans="1:6" ht="31.5" x14ac:dyDescent="0.25">
      <c r="A21" s="47">
        <v>9</v>
      </c>
      <c r="B21" s="80" t="s">
        <v>221</v>
      </c>
      <c r="C21" s="76">
        <f t="shared" ref="C21" si="5">+D21+E21+F21</f>
        <v>490.1</v>
      </c>
      <c r="D21" s="76">
        <v>490.1</v>
      </c>
      <c r="E21" s="76"/>
      <c r="F21" s="76"/>
    </row>
    <row r="22" spans="1:6" s="79" customFormat="1" ht="33.75" customHeight="1" x14ac:dyDescent="0.25">
      <c r="A22" s="47">
        <v>10</v>
      </c>
      <c r="B22" s="80" t="s">
        <v>222</v>
      </c>
      <c r="C22" s="76">
        <f>+D22+E22+F22</f>
        <v>66.3</v>
      </c>
      <c r="D22" s="76">
        <v>66.3</v>
      </c>
      <c r="E22" s="76"/>
      <c r="F22" s="76"/>
    </row>
    <row r="23" spans="1:6" x14ac:dyDescent="0.25">
      <c r="A23" s="47">
        <v>11</v>
      </c>
      <c r="B23" s="4" t="s">
        <v>6</v>
      </c>
      <c r="C23" s="74">
        <f>+C24+C28</f>
        <v>895.1</v>
      </c>
      <c r="D23" s="74">
        <f t="shared" ref="D23:F23" si="6">+D24+D28</f>
        <v>895.1</v>
      </c>
      <c r="E23" s="74">
        <f t="shared" si="6"/>
        <v>0</v>
      </c>
      <c r="F23" s="74">
        <f t="shared" si="6"/>
        <v>0</v>
      </c>
    </row>
    <row r="24" spans="1:6" ht="18.75" customHeight="1" x14ac:dyDescent="0.25">
      <c r="A24" s="47">
        <v>12</v>
      </c>
      <c r="B24" s="80" t="s">
        <v>72</v>
      </c>
      <c r="C24" s="76">
        <f>+C26+C27</f>
        <v>891.9</v>
      </c>
      <c r="D24" s="76">
        <f>+D26+D27</f>
        <v>891.9</v>
      </c>
      <c r="E24" s="76">
        <f>SUM(E26:E28)</f>
        <v>0</v>
      </c>
      <c r="F24" s="76"/>
    </row>
    <row r="25" spans="1:6" x14ac:dyDescent="0.25">
      <c r="A25" s="47">
        <v>13</v>
      </c>
      <c r="B25" s="78" t="s">
        <v>2</v>
      </c>
      <c r="C25" s="76"/>
      <c r="D25" s="76"/>
      <c r="E25" s="76"/>
      <c r="F25" s="76"/>
    </row>
    <row r="26" spans="1:6" ht="47.25" x14ac:dyDescent="0.25">
      <c r="A26" s="47">
        <v>14</v>
      </c>
      <c r="B26" s="5" t="s">
        <v>223</v>
      </c>
      <c r="C26" s="76">
        <f>+D26+E26</f>
        <v>830.6</v>
      </c>
      <c r="D26" s="77">
        <v>830.6</v>
      </c>
      <c r="E26" s="77"/>
      <c r="F26" s="77"/>
    </row>
    <row r="27" spans="1:6" x14ac:dyDescent="0.25">
      <c r="A27" s="47">
        <v>15</v>
      </c>
      <c r="B27" s="7" t="s">
        <v>224</v>
      </c>
      <c r="C27" s="76">
        <f>+D27+E27</f>
        <v>61.3</v>
      </c>
      <c r="D27" s="77">
        <v>61.3</v>
      </c>
      <c r="E27" s="77"/>
      <c r="F27" s="77"/>
    </row>
    <row r="28" spans="1:6" ht="31.5" x14ac:dyDescent="0.25">
      <c r="A28" s="47">
        <v>16</v>
      </c>
      <c r="B28" s="80" t="s">
        <v>225</v>
      </c>
      <c r="C28" s="76">
        <f t="shared" ref="C28" si="7">+D28+E28</f>
        <v>3.2</v>
      </c>
      <c r="D28" s="77">
        <v>3.2</v>
      </c>
      <c r="E28" s="77"/>
      <c r="F28" s="77"/>
    </row>
    <row r="29" spans="1:6" ht="15.75" customHeight="1" x14ac:dyDescent="0.25">
      <c r="A29" s="47">
        <v>17</v>
      </c>
      <c r="B29" s="5" t="s">
        <v>234</v>
      </c>
      <c r="C29" s="76">
        <f t="shared" ref="C29:C38" si="8">+D29+E29+F29</f>
        <v>17450.8</v>
      </c>
      <c r="D29" s="77"/>
      <c r="E29" s="77">
        <v>17450.8</v>
      </c>
      <c r="F29" s="77"/>
    </row>
    <row r="30" spans="1:6" s="81" customFormat="1" x14ac:dyDescent="0.25">
      <c r="A30" s="47">
        <v>18</v>
      </c>
      <c r="B30" s="7" t="s">
        <v>226</v>
      </c>
      <c r="C30" s="76">
        <f t="shared" si="8"/>
        <v>1220.4000000000001</v>
      </c>
      <c r="D30" s="76"/>
      <c r="E30" s="76"/>
      <c r="F30" s="76">
        <v>1220.4000000000001</v>
      </c>
    </row>
    <row r="31" spans="1:6" ht="31.5" x14ac:dyDescent="0.25">
      <c r="A31" s="47">
        <v>19</v>
      </c>
      <c r="B31" s="5" t="s">
        <v>227</v>
      </c>
      <c r="C31" s="76">
        <f t="shared" si="8"/>
        <v>469.4</v>
      </c>
      <c r="D31" s="77"/>
      <c r="E31" s="77"/>
      <c r="F31" s="77">
        <v>469.4</v>
      </c>
    </row>
    <row r="32" spans="1:6" ht="31.5" x14ac:dyDescent="0.25">
      <c r="A32" s="47">
        <v>20</v>
      </c>
      <c r="B32" s="7" t="s">
        <v>228</v>
      </c>
      <c r="C32" s="76">
        <f t="shared" si="8"/>
        <v>34.9</v>
      </c>
      <c r="D32" s="77"/>
      <c r="E32" s="77"/>
      <c r="F32" s="77">
        <v>34.9</v>
      </c>
    </row>
    <row r="33" spans="1:6" ht="47.25" x14ac:dyDescent="0.25">
      <c r="A33" s="47">
        <v>21</v>
      </c>
      <c r="B33" s="7" t="s">
        <v>229</v>
      </c>
      <c r="C33" s="76">
        <f t="shared" si="8"/>
        <v>18.3</v>
      </c>
      <c r="D33" s="77"/>
      <c r="E33" s="77"/>
      <c r="F33" s="77">
        <v>18.3</v>
      </c>
    </row>
    <row r="34" spans="1:6" ht="47.25" x14ac:dyDescent="0.25">
      <c r="A34" s="47">
        <v>22</v>
      </c>
      <c r="B34" s="7" t="s">
        <v>230</v>
      </c>
      <c r="C34" s="76">
        <f t="shared" si="8"/>
        <v>30.8</v>
      </c>
      <c r="D34" s="77"/>
      <c r="E34" s="77"/>
      <c r="F34" s="77">
        <v>30.8</v>
      </c>
    </row>
    <row r="35" spans="1:6" ht="47.25" x14ac:dyDescent="0.25">
      <c r="A35" s="47">
        <v>23</v>
      </c>
      <c r="B35" s="5" t="s">
        <v>231</v>
      </c>
      <c r="C35" s="76">
        <f t="shared" si="8"/>
        <v>2722.4</v>
      </c>
      <c r="D35" s="77"/>
      <c r="E35" s="77"/>
      <c r="F35" s="77">
        <v>2722.4</v>
      </c>
    </row>
    <row r="36" spans="1:6" ht="47.25" x14ac:dyDescent="0.25">
      <c r="A36" s="47">
        <v>24</v>
      </c>
      <c r="B36" s="5" t="s">
        <v>232</v>
      </c>
      <c r="C36" s="76">
        <f t="shared" si="8"/>
        <v>911.8</v>
      </c>
      <c r="D36" s="77"/>
      <c r="E36" s="77"/>
      <c r="F36" s="77">
        <v>911.8</v>
      </c>
    </row>
    <row r="37" spans="1:6" x14ac:dyDescent="0.25">
      <c r="A37" s="47">
        <v>25</v>
      </c>
      <c r="B37" s="7" t="s">
        <v>233</v>
      </c>
      <c r="C37" s="76">
        <f t="shared" si="8"/>
        <v>1101.4000000000001</v>
      </c>
      <c r="D37" s="77"/>
      <c r="E37" s="77"/>
      <c r="F37" s="77">
        <v>1101.4000000000001</v>
      </c>
    </row>
    <row r="38" spans="1:6" ht="31.5" x14ac:dyDescent="0.25">
      <c r="A38" s="47">
        <v>26</v>
      </c>
      <c r="B38" s="7" t="s">
        <v>263</v>
      </c>
      <c r="C38" s="76">
        <f t="shared" si="8"/>
        <v>1066.5</v>
      </c>
      <c r="D38" s="77"/>
      <c r="E38" s="77"/>
      <c r="F38" s="77">
        <v>1066.5</v>
      </c>
    </row>
    <row r="40" spans="1:6" x14ac:dyDescent="0.25">
      <c r="B40" s="130"/>
    </row>
  </sheetData>
  <mergeCells count="9">
    <mergeCell ref="A5:F5"/>
    <mergeCell ref="A8:A11"/>
    <mergeCell ref="B8:B11"/>
    <mergeCell ref="C8:F8"/>
    <mergeCell ref="C9:C11"/>
    <mergeCell ref="D9:F9"/>
    <mergeCell ref="D10:D11"/>
    <mergeCell ref="E10:E11"/>
    <mergeCell ref="F10:F11"/>
  </mergeCells>
  <pageMargins left="0.70866141732283472" right="0.70866141732283472" top="0.74803149606299213" bottom="0.55118110236220474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showZeros="0" topLeftCell="A19" zoomScale="115" zoomScaleNormal="115" workbookViewId="0">
      <selection sqref="A1:F27"/>
    </sheetView>
  </sheetViews>
  <sheetFormatPr defaultRowHeight="15.75" x14ac:dyDescent="0.25"/>
  <cols>
    <col min="1" max="1" width="5.140625" style="1" customWidth="1"/>
    <col min="2" max="2" width="39.5703125" style="1" customWidth="1"/>
    <col min="3" max="3" width="11" style="2" customWidth="1"/>
    <col min="4" max="4" width="10.5703125" style="2" customWidth="1"/>
    <col min="5" max="5" width="10.42578125" style="2" customWidth="1"/>
    <col min="6" max="6" width="12.7109375" style="2" customWidth="1"/>
    <col min="7" max="12" width="9.140625" style="2" customWidth="1"/>
    <col min="13" max="16384" width="9.140625" style="2"/>
  </cols>
  <sheetData>
    <row r="1" spans="1:6" x14ac:dyDescent="0.25">
      <c r="C1" s="23" t="s">
        <v>91</v>
      </c>
      <c r="D1" s="24"/>
      <c r="E1" s="24"/>
      <c r="F1" s="24"/>
    </row>
    <row r="2" spans="1:6" x14ac:dyDescent="0.25">
      <c r="C2" s="24" t="s">
        <v>180</v>
      </c>
      <c r="D2" s="24"/>
      <c r="E2" s="24"/>
      <c r="F2" s="24"/>
    </row>
    <row r="3" spans="1:6" x14ac:dyDescent="0.25">
      <c r="C3" s="24" t="s">
        <v>267</v>
      </c>
      <c r="D3" s="24"/>
      <c r="E3" s="24"/>
      <c r="F3" s="24"/>
    </row>
    <row r="4" spans="1:6" x14ac:dyDescent="0.25">
      <c r="B4" s="35"/>
      <c r="C4" s="1"/>
      <c r="D4" s="1"/>
      <c r="E4" s="1"/>
      <c r="F4" s="1"/>
    </row>
    <row r="5" spans="1:6" ht="18" customHeight="1" x14ac:dyDescent="0.2">
      <c r="A5" s="156" t="s">
        <v>179</v>
      </c>
      <c r="B5" s="156"/>
      <c r="C5" s="156"/>
      <c r="D5" s="156"/>
      <c r="E5" s="156"/>
      <c r="F5" s="156"/>
    </row>
    <row r="6" spans="1:6" ht="18" customHeight="1" x14ac:dyDescent="0.2">
      <c r="A6" s="156"/>
      <c r="B6" s="156"/>
      <c r="C6" s="156"/>
      <c r="D6" s="156"/>
      <c r="E6" s="156"/>
      <c r="F6" s="156"/>
    </row>
    <row r="7" spans="1:6" ht="15" customHeight="1" x14ac:dyDescent="0.25">
      <c r="A7" s="36"/>
      <c r="B7" s="36"/>
      <c r="C7" s="37"/>
      <c r="D7" s="38"/>
      <c r="E7" s="38"/>
      <c r="F7" s="38"/>
    </row>
    <row r="8" spans="1:6" ht="15.75" customHeight="1" x14ac:dyDescent="0.25">
      <c r="A8" s="39"/>
      <c r="B8" s="40"/>
      <c r="C8" s="41"/>
      <c r="D8" s="41"/>
      <c r="E8" s="41"/>
      <c r="F8" s="42" t="s">
        <v>116</v>
      </c>
    </row>
    <row r="9" spans="1:6" ht="17.25" customHeight="1" x14ac:dyDescent="0.25">
      <c r="A9" s="157" t="s">
        <v>0</v>
      </c>
      <c r="B9" s="157" t="s">
        <v>164</v>
      </c>
      <c r="C9" s="152" t="s">
        <v>1</v>
      </c>
      <c r="D9" s="132" t="s">
        <v>2</v>
      </c>
      <c r="E9" s="132"/>
      <c r="F9" s="132"/>
    </row>
    <row r="10" spans="1:6" ht="113.25" customHeight="1" x14ac:dyDescent="0.2">
      <c r="A10" s="157"/>
      <c r="B10" s="157"/>
      <c r="C10" s="152"/>
      <c r="D10" s="43" t="s">
        <v>165</v>
      </c>
      <c r="E10" s="44" t="s">
        <v>166</v>
      </c>
      <c r="F10" s="44" t="s">
        <v>167</v>
      </c>
    </row>
    <row r="11" spans="1:6" ht="15" customHeight="1" x14ac:dyDescent="0.25">
      <c r="A11" s="3">
        <v>1</v>
      </c>
      <c r="B11" s="45" t="s">
        <v>168</v>
      </c>
      <c r="C11" s="46" t="s">
        <v>169</v>
      </c>
      <c r="D11" s="46" t="s">
        <v>170</v>
      </c>
      <c r="E11" s="96">
        <v>5</v>
      </c>
      <c r="F11" s="46" t="s">
        <v>171</v>
      </c>
    </row>
    <row r="12" spans="1:6" ht="21" customHeight="1" x14ac:dyDescent="0.25">
      <c r="A12" s="47">
        <v>1</v>
      </c>
      <c r="B12" s="4" t="s">
        <v>3</v>
      </c>
      <c r="C12" s="48">
        <f>+D12+E12+F12</f>
        <v>150</v>
      </c>
      <c r="D12" s="19">
        <v>0</v>
      </c>
      <c r="E12" s="19">
        <v>0</v>
      </c>
      <c r="F12" s="19">
        <v>150</v>
      </c>
    </row>
    <row r="13" spans="1:6" ht="19.5" customHeight="1" x14ac:dyDescent="0.25">
      <c r="A13" s="47">
        <v>2</v>
      </c>
      <c r="B13" s="4" t="s">
        <v>4</v>
      </c>
      <c r="C13" s="48">
        <f>+C15+C16</f>
        <v>34.700000000000003</v>
      </c>
      <c r="D13" s="48">
        <f t="shared" ref="D13:F13" si="0">+D15+D16</f>
        <v>0</v>
      </c>
      <c r="E13" s="48">
        <f t="shared" si="0"/>
        <v>27</v>
      </c>
      <c r="F13" s="48">
        <f t="shared" si="0"/>
        <v>7.7</v>
      </c>
    </row>
    <row r="14" spans="1:6" ht="19.5" customHeight="1" x14ac:dyDescent="0.25">
      <c r="A14" s="47">
        <v>3</v>
      </c>
      <c r="B14" s="95" t="s">
        <v>2</v>
      </c>
      <c r="C14" s="48">
        <v>0</v>
      </c>
      <c r="D14" s="48"/>
      <c r="E14" s="48"/>
      <c r="F14" s="48"/>
    </row>
    <row r="15" spans="1:6" ht="19.5" customHeight="1" x14ac:dyDescent="0.25">
      <c r="A15" s="47">
        <v>4</v>
      </c>
      <c r="B15" s="5" t="s">
        <v>4</v>
      </c>
      <c r="C15" s="49">
        <f>+D15+E15+F15</f>
        <v>2</v>
      </c>
      <c r="D15" s="49">
        <v>0</v>
      </c>
      <c r="E15" s="49">
        <v>2</v>
      </c>
      <c r="F15" s="49">
        <v>0</v>
      </c>
    </row>
    <row r="16" spans="1:6" ht="19.5" customHeight="1" x14ac:dyDescent="0.25">
      <c r="A16" s="47">
        <v>5</v>
      </c>
      <c r="B16" s="7" t="s">
        <v>172</v>
      </c>
      <c r="C16" s="49">
        <f>+D16+E16+F16</f>
        <v>32.700000000000003</v>
      </c>
      <c r="D16" s="49">
        <v>0</v>
      </c>
      <c r="E16" s="49">
        <v>25</v>
      </c>
      <c r="F16" s="49">
        <v>7.7</v>
      </c>
    </row>
    <row r="17" spans="1:6" s="6" customFormat="1" x14ac:dyDescent="0.25">
      <c r="A17" s="47">
        <v>6</v>
      </c>
      <c r="B17" s="4" t="s">
        <v>5</v>
      </c>
      <c r="C17" s="48">
        <f>SUM(C19:C21)</f>
        <v>6324.2</v>
      </c>
      <c r="D17" s="48">
        <f t="shared" ref="D17:F17" si="1">SUM(D19:D21)</f>
        <v>4852.3999999999996</v>
      </c>
      <c r="E17" s="48">
        <f t="shared" si="1"/>
        <v>1344.8</v>
      </c>
      <c r="F17" s="48">
        <f t="shared" si="1"/>
        <v>127</v>
      </c>
    </row>
    <row r="18" spans="1:6" s="6" customFormat="1" x14ac:dyDescent="0.25">
      <c r="A18" s="47">
        <v>7</v>
      </c>
      <c r="B18" s="95" t="s">
        <v>2</v>
      </c>
      <c r="C18" s="48">
        <v>0</v>
      </c>
      <c r="D18" s="48"/>
      <c r="E18" s="48"/>
      <c r="F18" s="48"/>
    </row>
    <row r="19" spans="1:6" s="6" customFormat="1" x14ac:dyDescent="0.25">
      <c r="A19" s="47">
        <v>8</v>
      </c>
      <c r="B19" s="50" t="s">
        <v>173</v>
      </c>
      <c r="C19" s="49">
        <f t="shared" ref="C19:C21" si="2">+D19+E19+F19</f>
        <v>5544.9</v>
      </c>
      <c r="D19" s="49">
        <v>4755</v>
      </c>
      <c r="E19" s="49">
        <v>728</v>
      </c>
      <c r="F19" s="49">
        <v>61.9</v>
      </c>
    </row>
    <row r="20" spans="1:6" s="6" customFormat="1" x14ac:dyDescent="0.25">
      <c r="A20" s="47">
        <v>9</v>
      </c>
      <c r="B20" s="50" t="s">
        <v>174</v>
      </c>
      <c r="C20" s="49">
        <f t="shared" si="2"/>
        <v>350.3</v>
      </c>
      <c r="D20" s="49">
        <v>97.4</v>
      </c>
      <c r="E20" s="49">
        <v>242.5</v>
      </c>
      <c r="F20" s="49">
        <v>10.4</v>
      </c>
    </row>
    <row r="21" spans="1:6" s="6" customFormat="1" x14ac:dyDescent="0.25">
      <c r="A21" s="47">
        <v>10</v>
      </c>
      <c r="B21" s="50" t="s">
        <v>175</v>
      </c>
      <c r="C21" s="49">
        <f t="shared" si="2"/>
        <v>429</v>
      </c>
      <c r="D21" s="49">
        <v>0</v>
      </c>
      <c r="E21" s="49">
        <v>374.3</v>
      </c>
      <c r="F21" s="49">
        <v>54.7</v>
      </c>
    </row>
    <row r="22" spans="1:6" ht="15" customHeight="1" x14ac:dyDescent="0.25">
      <c r="A22" s="47">
        <v>11</v>
      </c>
      <c r="B22" s="8" t="s">
        <v>6</v>
      </c>
      <c r="C22" s="48">
        <f>SUM(C24:C26)</f>
        <v>1765.7</v>
      </c>
      <c r="D22" s="48">
        <f t="shared" ref="D22:F22" si="3">SUM(D24:D26)</f>
        <v>519.1</v>
      </c>
      <c r="E22" s="48">
        <f t="shared" si="3"/>
        <v>150.30000000000001</v>
      </c>
      <c r="F22" s="48">
        <f t="shared" si="3"/>
        <v>1096.3</v>
      </c>
    </row>
    <row r="23" spans="1:6" ht="15" customHeight="1" x14ac:dyDescent="0.25">
      <c r="A23" s="47">
        <v>12</v>
      </c>
      <c r="B23" s="95" t="s">
        <v>2</v>
      </c>
      <c r="C23" s="48">
        <v>0</v>
      </c>
      <c r="D23" s="48"/>
      <c r="E23" s="48"/>
      <c r="F23" s="48"/>
    </row>
    <row r="24" spans="1:6" ht="33" customHeight="1" x14ac:dyDescent="0.25">
      <c r="A24" s="47">
        <v>13</v>
      </c>
      <c r="B24" s="7" t="s">
        <v>176</v>
      </c>
      <c r="C24" s="49">
        <f t="shared" ref="C24:C26" si="4">+D24+E24+F24</f>
        <v>1096.3</v>
      </c>
      <c r="D24" s="60">
        <v>0</v>
      </c>
      <c r="E24" s="60">
        <v>0</v>
      </c>
      <c r="F24" s="49">
        <v>1096.3</v>
      </c>
    </row>
    <row r="25" spans="1:6" ht="15" customHeight="1" x14ac:dyDescent="0.25">
      <c r="A25" s="47">
        <v>14</v>
      </c>
      <c r="B25" s="50" t="s">
        <v>177</v>
      </c>
      <c r="C25" s="49">
        <f t="shared" si="4"/>
        <v>646.9</v>
      </c>
      <c r="D25" s="49">
        <v>503.1</v>
      </c>
      <c r="E25" s="49">
        <v>143.80000000000001</v>
      </c>
      <c r="F25" s="49">
        <v>0</v>
      </c>
    </row>
    <row r="26" spans="1:6" ht="15" customHeight="1" x14ac:dyDescent="0.25">
      <c r="A26" s="47">
        <v>15</v>
      </c>
      <c r="B26" s="50" t="s">
        <v>178</v>
      </c>
      <c r="C26" s="49">
        <f t="shared" si="4"/>
        <v>22.5</v>
      </c>
      <c r="D26" s="49">
        <v>16</v>
      </c>
      <c r="E26" s="49">
        <v>6.5</v>
      </c>
      <c r="F26" s="49">
        <v>0</v>
      </c>
    </row>
    <row r="27" spans="1:6" x14ac:dyDescent="0.25">
      <c r="A27" s="47">
        <v>16</v>
      </c>
      <c r="B27" s="4" t="s">
        <v>1</v>
      </c>
      <c r="C27" s="51">
        <f>+C12+C13+C17+C22</f>
        <v>8274.6</v>
      </c>
      <c r="D27" s="51">
        <f t="shared" ref="D27:F27" si="5">+D12+D13+D17+D22</f>
        <v>5371.5</v>
      </c>
      <c r="E27" s="51">
        <f t="shared" si="5"/>
        <v>1522.1</v>
      </c>
      <c r="F27" s="51">
        <f t="shared" si="5"/>
        <v>1381</v>
      </c>
    </row>
    <row r="28" spans="1:6" x14ac:dyDescent="0.25">
      <c r="A28" s="32"/>
      <c r="B28" s="52"/>
      <c r="C28" s="53"/>
      <c r="D28" s="54"/>
      <c r="E28" s="54"/>
      <c r="F28" s="54"/>
    </row>
    <row r="29" spans="1:6" s="25" customFormat="1" x14ac:dyDescent="0.25">
      <c r="A29" s="32"/>
      <c r="B29" s="55"/>
      <c r="C29" s="56"/>
      <c r="D29" s="57"/>
      <c r="E29" s="57"/>
      <c r="F29" s="57"/>
    </row>
    <row r="30" spans="1:6" x14ac:dyDescent="0.25">
      <c r="A30" s="32"/>
      <c r="B30" s="58"/>
      <c r="C30" s="53"/>
      <c r="D30" s="54"/>
      <c r="E30" s="54"/>
      <c r="F30" s="54"/>
    </row>
    <row r="31" spans="1:6" x14ac:dyDescent="0.25">
      <c r="A31" s="32"/>
      <c r="B31" s="58"/>
      <c r="C31" s="53"/>
      <c r="D31" s="54"/>
      <c r="E31" s="54"/>
      <c r="F31" s="54"/>
    </row>
    <row r="32" spans="1:6" x14ac:dyDescent="0.25">
      <c r="A32" s="38"/>
      <c r="B32" s="34"/>
      <c r="C32" s="59"/>
      <c r="D32" s="59"/>
      <c r="E32" s="59"/>
      <c r="F32" s="59"/>
    </row>
    <row r="33" spans="2:2" x14ac:dyDescent="0.25">
      <c r="B33" s="9"/>
    </row>
    <row r="34" spans="2:2" x14ac:dyDescent="0.25">
      <c r="B34" s="9"/>
    </row>
    <row r="35" spans="2:2" x14ac:dyDescent="0.25">
      <c r="B35" s="9"/>
    </row>
    <row r="36" spans="2:2" x14ac:dyDescent="0.25">
      <c r="B36" s="9"/>
    </row>
  </sheetData>
  <mergeCells count="5">
    <mergeCell ref="A5:F6"/>
    <mergeCell ref="A9:A10"/>
    <mergeCell ref="B9:B10"/>
    <mergeCell ref="C9:C10"/>
    <mergeCell ref="D9:F9"/>
  </mergeCells>
  <pageMargins left="0.78740157480314965" right="0.39370078740157483" top="0.78740157480314965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7</vt:i4>
      </vt:variant>
      <vt:variant>
        <vt:lpstr>Įvardinti diapazonai</vt:lpstr>
      </vt:variant>
      <vt:variant>
        <vt:i4>7</vt:i4>
      </vt:variant>
    </vt:vector>
  </HeadingPairs>
  <TitlesOfParts>
    <vt:vector size="14" baseType="lpstr">
      <vt:lpstr>1 pr. pajamos </vt:lpstr>
      <vt:lpstr>1 pr. asignavimai</vt:lpstr>
      <vt:lpstr>2 pr.</vt:lpstr>
      <vt:lpstr>3 pr.</vt:lpstr>
      <vt:lpstr>4 pr.</vt:lpstr>
      <vt:lpstr>5 pr.</vt:lpstr>
      <vt:lpstr>6 pr.</vt:lpstr>
      <vt:lpstr>'4 pr.'!Print_Area</vt:lpstr>
      <vt:lpstr>'1 pr. asignavimai'!Print_Titles</vt:lpstr>
      <vt:lpstr>'1 pr. pajamos '!Print_Titles</vt:lpstr>
      <vt:lpstr>'2 pr.'!Print_Titles</vt:lpstr>
      <vt:lpstr>'4 pr.'!Print_Titles</vt:lpstr>
      <vt:lpstr>'5 pr.'!Print_Titles</vt:lpstr>
      <vt:lpstr>'6 pr.'!Print_Titles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Lietute Demidova</cp:lastModifiedBy>
  <cp:lastPrinted>2019-01-28T06:24:00Z</cp:lastPrinted>
  <dcterms:created xsi:type="dcterms:W3CDTF">2013-11-22T06:09:34Z</dcterms:created>
  <dcterms:modified xsi:type="dcterms:W3CDTF">2019-02-04T13:31:32Z</dcterms:modified>
</cp:coreProperties>
</file>