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0" yWindow="0" windowWidth="28770" windowHeight="12270"/>
  </bookViews>
  <sheets>
    <sheet name="6 programa" sheetId="12" r:id="rId1"/>
    <sheet name="Lyginamoji lentelė" sheetId="13" state="hidden" r:id="rId2"/>
    <sheet name="aiškinamoji lentelė " sheetId="5" state="hidden" r:id="rId3"/>
  </sheets>
  <definedNames>
    <definedName name="_xlnm.Print_Area" localSheetId="0">'6 programa'!$A$1:$N$271</definedName>
    <definedName name="_xlnm.Print_Area" localSheetId="2">'aiškinamoji lentelė '!$A$1:$R$297</definedName>
    <definedName name="_xlnm.Print_Area" localSheetId="1">'Lyginamoji lentelė'!$A$1:$U$271</definedName>
    <definedName name="_xlnm.Print_Titles" localSheetId="0">'6 programa'!$9:$11</definedName>
    <definedName name="_xlnm.Print_Titles" localSheetId="2">'aiškinamoji lentelė '!$6:$8</definedName>
    <definedName name="_xlnm.Print_Titles" localSheetId="1">'Lyginamoji lentelė'!$8:$10</definedName>
  </definedNames>
  <calcPr calcId="162913" fullPrecision="0"/>
</workbook>
</file>

<file path=xl/calcChain.xml><?xml version="1.0" encoding="utf-8"?>
<calcChain xmlns="http://schemas.openxmlformats.org/spreadsheetml/2006/main">
  <c r="O266" i="13" l="1"/>
  <c r="N266" i="13"/>
  <c r="O265" i="13"/>
  <c r="N265" i="13"/>
  <c r="O264" i="13"/>
  <c r="N264" i="13"/>
  <c r="O263" i="13"/>
  <c r="N263" i="13"/>
  <c r="O262" i="13"/>
  <c r="N262" i="13"/>
  <c r="O260" i="13"/>
  <c r="N260" i="13"/>
  <c r="O259" i="13"/>
  <c r="N259" i="13"/>
  <c r="O258" i="13"/>
  <c r="N258" i="13"/>
  <c r="O257" i="13"/>
  <c r="N257" i="13"/>
  <c r="O256" i="13"/>
  <c r="N256" i="13"/>
  <c r="O255" i="13"/>
  <c r="N255" i="13"/>
  <c r="O254" i="13"/>
  <c r="N254" i="13"/>
  <c r="O253" i="13"/>
  <c r="N253" i="13"/>
  <c r="O252" i="13"/>
  <c r="N252" i="13"/>
  <c r="P251" i="13"/>
  <c r="O251" i="13"/>
  <c r="N251" i="13"/>
  <c r="L266" i="13"/>
  <c r="K266" i="13"/>
  <c r="L265" i="13"/>
  <c r="K265" i="13"/>
  <c r="L264" i="13"/>
  <c r="K264" i="13"/>
  <c r="L263" i="13"/>
  <c r="K263" i="13"/>
  <c r="L262" i="13"/>
  <c r="K262" i="13"/>
  <c r="L260" i="13"/>
  <c r="K260" i="13"/>
  <c r="L259" i="13"/>
  <c r="K259" i="13"/>
  <c r="L258" i="13"/>
  <c r="K258" i="13"/>
  <c r="L257" i="13"/>
  <c r="K257" i="13"/>
  <c r="L256" i="13"/>
  <c r="K256" i="13"/>
  <c r="L255" i="13"/>
  <c r="K255" i="13"/>
  <c r="L254" i="13"/>
  <c r="K254" i="13"/>
  <c r="L253" i="13"/>
  <c r="K253" i="13"/>
  <c r="L252" i="13"/>
  <c r="K252" i="13"/>
  <c r="L251" i="13"/>
  <c r="K251" i="13"/>
  <c r="I266" i="13"/>
  <c r="H266" i="13"/>
  <c r="I265" i="13"/>
  <c r="H265" i="13"/>
  <c r="I264" i="13"/>
  <c r="H264" i="13"/>
  <c r="I263" i="13"/>
  <c r="H263" i="13"/>
  <c r="I262" i="13"/>
  <c r="H262" i="13"/>
  <c r="I260" i="13"/>
  <c r="H260" i="13"/>
  <c r="I259" i="13"/>
  <c r="H259" i="13"/>
  <c r="I258" i="13"/>
  <c r="H258" i="13"/>
  <c r="I257" i="13"/>
  <c r="H257" i="13"/>
  <c r="I256" i="13"/>
  <c r="H256" i="13"/>
  <c r="I255" i="13"/>
  <c r="H255" i="13"/>
  <c r="I254" i="13"/>
  <c r="H254" i="13"/>
  <c r="I253" i="13"/>
  <c r="H253" i="13"/>
  <c r="H252" i="13"/>
  <c r="I252" i="13"/>
  <c r="I251" i="13"/>
  <c r="H251" i="13"/>
  <c r="J251" i="13"/>
  <c r="O241" i="13"/>
  <c r="O199" i="13"/>
  <c r="O197" i="13"/>
  <c r="O237" i="13" s="1"/>
  <c r="O192" i="13"/>
  <c r="O193" i="13" s="1"/>
  <c r="O172" i="13"/>
  <c r="O169" i="13"/>
  <c r="O146" i="13"/>
  <c r="O142" i="13"/>
  <c r="O107" i="13"/>
  <c r="O133" i="13" s="1"/>
  <c r="O104" i="13"/>
  <c r="O99" i="13"/>
  <c r="O94" i="13"/>
  <c r="O82" i="13"/>
  <c r="O72" i="13"/>
  <c r="O57" i="13"/>
  <c r="O41" i="13"/>
  <c r="N241" i="13"/>
  <c r="N237" i="13"/>
  <c r="N199" i="13"/>
  <c r="N197" i="13"/>
  <c r="N192" i="13"/>
  <c r="N193" i="13" s="1"/>
  <c r="N172" i="13"/>
  <c r="N169" i="13"/>
  <c r="N146" i="13"/>
  <c r="N142" i="13"/>
  <c r="N107" i="13"/>
  <c r="N133" i="13" s="1"/>
  <c r="N104" i="13"/>
  <c r="N99" i="13"/>
  <c r="N94" i="13"/>
  <c r="N82" i="13"/>
  <c r="N72" i="13"/>
  <c r="N57" i="13"/>
  <c r="N41" i="13"/>
  <c r="L241" i="13"/>
  <c r="L237" i="13"/>
  <c r="L199" i="13"/>
  <c r="L197" i="13"/>
  <c r="L192" i="13"/>
  <c r="L193" i="13" s="1"/>
  <c r="L172" i="13"/>
  <c r="L169" i="13"/>
  <c r="L146" i="13"/>
  <c r="L142" i="13"/>
  <c r="L107" i="13"/>
  <c r="L133" i="13" s="1"/>
  <c r="L104" i="13"/>
  <c r="L99" i="13"/>
  <c r="L94" i="13"/>
  <c r="L82" i="13"/>
  <c r="L72" i="13"/>
  <c r="L57" i="13"/>
  <c r="L41" i="13"/>
  <c r="K241" i="13"/>
  <c r="K237" i="13"/>
  <c r="K199" i="13"/>
  <c r="K197" i="13"/>
  <c r="K192" i="13"/>
  <c r="K193" i="13" s="1"/>
  <c r="K172" i="13"/>
  <c r="K169" i="13"/>
  <c r="K146" i="13"/>
  <c r="K142" i="13"/>
  <c r="K107" i="13"/>
  <c r="K133" i="13" s="1"/>
  <c r="K104" i="13"/>
  <c r="K99" i="13"/>
  <c r="K94" i="13"/>
  <c r="K82" i="13"/>
  <c r="K72" i="13"/>
  <c r="K57" i="13"/>
  <c r="K41" i="13"/>
  <c r="I241" i="13"/>
  <c r="I242" i="13" s="1"/>
  <c r="I237" i="13"/>
  <c r="I198" i="13"/>
  <c r="I197" i="13"/>
  <c r="I192" i="13"/>
  <c r="I193" i="13" s="1"/>
  <c r="I172" i="13"/>
  <c r="I152" i="13"/>
  <c r="I169" i="13" s="1"/>
  <c r="I146" i="13"/>
  <c r="I135" i="13"/>
  <c r="I142" i="13" s="1"/>
  <c r="I147" i="13" s="1"/>
  <c r="I133" i="13"/>
  <c r="I109" i="13"/>
  <c r="I104" i="13"/>
  <c r="I99" i="13"/>
  <c r="I94" i="13"/>
  <c r="I82" i="13"/>
  <c r="I72" i="13"/>
  <c r="I57" i="13"/>
  <c r="I41" i="13"/>
  <c r="H241" i="13"/>
  <c r="H198" i="13"/>
  <c r="H197" i="13"/>
  <c r="H237" i="13" s="1"/>
  <c r="H192" i="13"/>
  <c r="H193" i="13" s="1"/>
  <c r="H172" i="13"/>
  <c r="H152" i="13"/>
  <c r="H169" i="13" s="1"/>
  <c r="H146" i="13"/>
  <c r="H135" i="13"/>
  <c r="H142" i="13" s="1"/>
  <c r="H109" i="13"/>
  <c r="H133" i="13" s="1"/>
  <c r="H104" i="13"/>
  <c r="H99" i="13"/>
  <c r="H94" i="13"/>
  <c r="H82" i="13"/>
  <c r="H72" i="13"/>
  <c r="H57" i="13"/>
  <c r="H41" i="13"/>
  <c r="P266" i="13"/>
  <c r="M266" i="13"/>
  <c r="J266" i="13"/>
  <c r="P265" i="13"/>
  <c r="M265" i="13"/>
  <c r="J265" i="13"/>
  <c r="P264" i="13"/>
  <c r="M264" i="13"/>
  <c r="J264" i="13"/>
  <c r="P263" i="13"/>
  <c r="M263" i="13"/>
  <c r="J263" i="13"/>
  <c r="P262" i="13"/>
  <c r="M262" i="13"/>
  <c r="J262" i="13"/>
  <c r="P260" i="13"/>
  <c r="M260" i="13"/>
  <c r="J260" i="13"/>
  <c r="P259" i="13"/>
  <c r="M259" i="13"/>
  <c r="J259" i="13"/>
  <c r="P258" i="13"/>
  <c r="M258" i="13"/>
  <c r="J257" i="13"/>
  <c r="P256" i="13"/>
  <c r="M256" i="13"/>
  <c r="J256" i="13"/>
  <c r="P255" i="13"/>
  <c r="M255" i="13"/>
  <c r="J255" i="13"/>
  <c r="P254" i="13"/>
  <c r="M254" i="13"/>
  <c r="J254" i="13"/>
  <c r="P252" i="13"/>
  <c r="M252" i="13"/>
  <c r="J252" i="13"/>
  <c r="P241" i="13"/>
  <c r="M241" i="13"/>
  <c r="J241" i="13"/>
  <c r="M257" i="13"/>
  <c r="P253" i="13"/>
  <c r="P192" i="13"/>
  <c r="M192" i="13"/>
  <c r="J192" i="13"/>
  <c r="P172" i="13"/>
  <c r="M172" i="13"/>
  <c r="J172" i="13"/>
  <c r="P169" i="13"/>
  <c r="M169" i="13"/>
  <c r="R155" i="13"/>
  <c r="J169" i="13"/>
  <c r="P146" i="13"/>
  <c r="M146" i="13"/>
  <c r="J146" i="13"/>
  <c r="P142" i="13"/>
  <c r="M142" i="13"/>
  <c r="J142" i="13"/>
  <c r="J253" i="13"/>
  <c r="J133" i="13"/>
  <c r="R130" i="13"/>
  <c r="P133" i="13"/>
  <c r="M251" i="13"/>
  <c r="P104" i="13"/>
  <c r="M104" i="13"/>
  <c r="J104" i="13"/>
  <c r="P99" i="13"/>
  <c r="M99" i="13"/>
  <c r="J99" i="13"/>
  <c r="P94" i="13"/>
  <c r="M94" i="13"/>
  <c r="J94" i="13"/>
  <c r="P82" i="13"/>
  <c r="M82" i="13"/>
  <c r="J82" i="13"/>
  <c r="P72" i="13"/>
  <c r="M72" i="13"/>
  <c r="J72" i="13"/>
  <c r="P57" i="13"/>
  <c r="M57" i="13"/>
  <c r="J57" i="13"/>
  <c r="P41" i="13"/>
  <c r="M41" i="13"/>
  <c r="J41" i="13"/>
  <c r="K242" i="13" l="1"/>
  <c r="K243" i="13" s="1"/>
  <c r="K244" i="13" s="1"/>
  <c r="L242" i="13"/>
  <c r="N242" i="13"/>
  <c r="H261" i="13"/>
  <c r="J193" i="13"/>
  <c r="J250" i="13"/>
  <c r="J261" i="13"/>
  <c r="P105" i="13"/>
  <c r="M261" i="13"/>
  <c r="H105" i="13"/>
  <c r="O242" i="13"/>
  <c r="O243" i="13" s="1"/>
  <c r="O244" i="13" s="1"/>
  <c r="J237" i="13"/>
  <c r="J242" i="13" s="1"/>
  <c r="P261" i="13"/>
  <c r="H250" i="13"/>
  <c r="H249" i="13" s="1"/>
  <c r="I105" i="13"/>
  <c r="I243" i="13" s="1"/>
  <c r="I244" i="13" s="1"/>
  <c r="I261" i="13"/>
  <c r="K147" i="13"/>
  <c r="K261" i="13"/>
  <c r="L147" i="13"/>
  <c r="L261" i="13"/>
  <c r="N147" i="13"/>
  <c r="N261" i="13"/>
  <c r="O147" i="13"/>
  <c r="O250" i="13"/>
  <c r="O249" i="13" s="1"/>
  <c r="O261" i="13"/>
  <c r="P147" i="13"/>
  <c r="J147" i="13"/>
  <c r="M237" i="13"/>
  <c r="M242" i="13" s="1"/>
  <c r="P237" i="13"/>
  <c r="P242" i="13" s="1"/>
  <c r="I250" i="13"/>
  <c r="I249" i="13" s="1"/>
  <c r="K250" i="13"/>
  <c r="K249" i="13" s="1"/>
  <c r="L250" i="13"/>
  <c r="L249" i="13" s="1"/>
  <c r="L267" i="13" s="1"/>
  <c r="N250" i="13"/>
  <c r="N249" i="13" s="1"/>
  <c r="J105" i="13"/>
  <c r="M105" i="13"/>
  <c r="J258" i="13"/>
  <c r="M193" i="13"/>
  <c r="P193" i="13"/>
  <c r="P250" i="13"/>
  <c r="H147" i="13"/>
  <c r="H242" i="13"/>
  <c r="K105" i="13"/>
  <c r="L105" i="13"/>
  <c r="N105" i="13"/>
  <c r="N243" i="13" s="1"/>
  <c r="N244" i="13" s="1"/>
  <c r="O105" i="13"/>
  <c r="M133" i="13"/>
  <c r="M147" i="13" s="1"/>
  <c r="M253" i="13"/>
  <c r="M250" i="13" s="1"/>
  <c r="M249" i="13" s="1"/>
  <c r="M267" i="13" s="1"/>
  <c r="P257" i="13"/>
  <c r="H199" i="12"/>
  <c r="H243" i="13" l="1"/>
  <c r="H244" i="13" s="1"/>
  <c r="I267" i="13"/>
  <c r="K267" i="13"/>
  <c r="L243" i="13"/>
  <c r="L244" i="13" s="1"/>
  <c r="O267" i="13"/>
  <c r="N267" i="13"/>
  <c r="H267" i="13"/>
  <c r="P243" i="13"/>
  <c r="P244" i="13" s="1"/>
  <c r="J249" i="13"/>
  <c r="J267" i="13" s="1"/>
  <c r="J243" i="13"/>
  <c r="J244" i="13" s="1"/>
  <c r="M243" i="13"/>
  <c r="M244" i="13" s="1"/>
  <c r="P249" i="13"/>
  <c r="P267" i="13" s="1"/>
  <c r="H110" i="12"/>
  <c r="J108" i="12"/>
  <c r="I108" i="12"/>
  <c r="H153" i="12" l="1"/>
  <c r="K257" i="5"/>
  <c r="K243" i="5"/>
  <c r="J100" i="12" l="1"/>
  <c r="I100" i="12"/>
  <c r="H100" i="12"/>
  <c r="H264" i="12" l="1"/>
  <c r="J258" i="12"/>
  <c r="M287" i="5"/>
  <c r="J255" i="12"/>
  <c r="J266" i="12"/>
  <c r="I266" i="12"/>
  <c r="H266" i="12"/>
  <c r="J264" i="12"/>
  <c r="I264" i="12"/>
  <c r="J262" i="12"/>
  <c r="I262" i="12"/>
  <c r="H262" i="12"/>
  <c r="J260" i="12"/>
  <c r="I260" i="12"/>
  <c r="H260" i="12"/>
  <c r="H257" i="12"/>
  <c r="I258" i="12"/>
  <c r="H258" i="12"/>
  <c r="H259" i="12"/>
  <c r="H251" i="12"/>
  <c r="I241" i="12"/>
  <c r="J241" i="12"/>
  <c r="J200" i="12"/>
  <c r="I200" i="12"/>
  <c r="J198" i="12" l="1"/>
  <c r="J237" i="12" s="1"/>
  <c r="J242" i="12" s="1"/>
  <c r="I198" i="12"/>
  <c r="I237" i="12" s="1"/>
  <c r="I242" i="12" s="1"/>
  <c r="H198" i="12"/>
  <c r="H237" i="12" s="1"/>
  <c r="H193" i="12"/>
  <c r="I193" i="12"/>
  <c r="J193" i="12"/>
  <c r="H170" i="12"/>
  <c r="I170" i="12"/>
  <c r="J170" i="12"/>
  <c r="H147" i="12" l="1"/>
  <c r="I143" i="12"/>
  <c r="J143" i="12"/>
  <c r="H136" i="12"/>
  <c r="H143" i="12" s="1"/>
  <c r="I134" i="12"/>
  <c r="J134" i="12"/>
  <c r="H134" i="12"/>
  <c r="I105" i="12"/>
  <c r="J105" i="12"/>
  <c r="H105" i="12"/>
  <c r="H95" i="12"/>
  <c r="I95" i="12"/>
  <c r="J95" i="12"/>
  <c r="I83" i="12"/>
  <c r="J83" i="12"/>
  <c r="H83" i="12"/>
  <c r="I73" i="12"/>
  <c r="J73" i="12"/>
  <c r="H73" i="12"/>
  <c r="I58" i="12"/>
  <c r="J58" i="12"/>
  <c r="H58" i="12"/>
  <c r="I42" i="12"/>
  <c r="J42" i="12"/>
  <c r="H42" i="12"/>
  <c r="J265" i="12"/>
  <c r="I265" i="12"/>
  <c r="H265" i="12"/>
  <c r="J263" i="12"/>
  <c r="I263" i="12"/>
  <c r="H263" i="12"/>
  <c r="J259" i="12"/>
  <c r="I259" i="12"/>
  <c r="J257" i="12"/>
  <c r="I257" i="12"/>
  <c r="J256" i="12"/>
  <c r="I256" i="12"/>
  <c r="H256" i="12"/>
  <c r="I255" i="12"/>
  <c r="H255" i="12"/>
  <c r="J254" i="12"/>
  <c r="I254" i="12"/>
  <c r="H254" i="12"/>
  <c r="J252" i="12"/>
  <c r="I252" i="12"/>
  <c r="H252" i="12"/>
  <c r="H241" i="12"/>
  <c r="H242" i="12" s="1"/>
  <c r="J253" i="12"/>
  <c r="I253" i="12"/>
  <c r="J173" i="12"/>
  <c r="J194" i="12" s="1"/>
  <c r="I173" i="12"/>
  <c r="I194" i="12" s="1"/>
  <c r="H173" i="12"/>
  <c r="H194" i="12" s="1"/>
  <c r="L156" i="12"/>
  <c r="J147" i="12"/>
  <c r="I147" i="12"/>
  <c r="L131" i="12"/>
  <c r="H106" i="12" l="1"/>
  <c r="H148" i="12"/>
  <c r="I106" i="12"/>
  <c r="J106" i="12"/>
  <c r="I251" i="12"/>
  <c r="I250" i="12" s="1"/>
  <c r="I249" i="12" s="1"/>
  <c r="H253" i="12"/>
  <c r="I261" i="12"/>
  <c r="J261" i="12"/>
  <c r="J251" i="12"/>
  <c r="J250" i="12" s="1"/>
  <c r="J249" i="12" s="1"/>
  <c r="H261" i="12"/>
  <c r="M237" i="5"/>
  <c r="L237" i="5"/>
  <c r="M115" i="5"/>
  <c r="L115" i="5"/>
  <c r="J148" i="12" l="1"/>
  <c r="J243" i="12" s="1"/>
  <c r="J244" i="12" s="1"/>
  <c r="I148" i="12"/>
  <c r="I243" i="12" s="1"/>
  <c r="I244" i="12" s="1"/>
  <c r="J267" i="12"/>
  <c r="H250" i="12"/>
  <c r="H249" i="12" s="1"/>
  <c r="H267" i="12" s="1"/>
  <c r="I267" i="12"/>
  <c r="H243" i="12"/>
  <c r="H244" i="12" s="1"/>
  <c r="M242" i="5"/>
  <c r="L242" i="5"/>
  <c r="J45" i="5" l="1"/>
  <c r="K38" i="5" l="1"/>
  <c r="K242" i="5" l="1"/>
  <c r="K164" i="5"/>
  <c r="K186" i="5" s="1"/>
  <c r="M266" i="5"/>
  <c r="K237" i="5" l="1"/>
  <c r="M52" i="5" l="1"/>
  <c r="L52" i="5"/>
  <c r="K41" i="5"/>
  <c r="K52" i="5" s="1"/>
  <c r="L293" i="5" l="1"/>
  <c r="L68" i="5"/>
  <c r="K68" i="5"/>
  <c r="M68" i="5"/>
  <c r="M94" i="5"/>
  <c r="L94" i="5"/>
  <c r="L208" i="5"/>
  <c r="M286" i="5"/>
  <c r="L286" i="5"/>
  <c r="K293" i="5"/>
  <c r="M293" i="5"/>
  <c r="K286" i="5" l="1"/>
  <c r="M285" i="5"/>
  <c r="L285" i="5"/>
  <c r="K285" i="5"/>
  <c r="M292" i="5"/>
  <c r="L292" i="5"/>
  <c r="K292" i="5"/>
  <c r="J292" i="5"/>
  <c r="L38" i="5" l="1"/>
  <c r="M38" i="5"/>
  <c r="J189" i="5"/>
  <c r="J105" i="5"/>
  <c r="L280" i="5" l="1"/>
  <c r="L221" i="5"/>
  <c r="K208" i="5"/>
  <c r="L110" i="5"/>
  <c r="K105" i="5"/>
  <c r="K94" i="5"/>
  <c r="K79" i="5"/>
  <c r="M208" i="5"/>
  <c r="K270" i="5"/>
  <c r="J87" i="5"/>
  <c r="J41" i="5"/>
  <c r="J81" i="5" l="1"/>
  <c r="J54" i="5"/>
  <c r="K256" i="5" l="1"/>
  <c r="P165" i="5" l="1"/>
  <c r="M79" i="5" l="1"/>
  <c r="L79" i="5"/>
  <c r="J23" i="5" l="1"/>
  <c r="J38" i="5" l="1"/>
  <c r="M280" i="5" l="1"/>
  <c r="J166" i="5"/>
  <c r="L266" i="5" l="1"/>
  <c r="K253" i="5" l="1"/>
  <c r="K266" i="5" s="1"/>
  <c r="K280" i="5" l="1"/>
  <c r="K141" i="5"/>
  <c r="K147" i="5" l="1"/>
  <c r="K153" i="5" s="1"/>
  <c r="L153" i="5" l="1"/>
  <c r="M153" i="5"/>
  <c r="J153" i="5"/>
  <c r="L281" i="5" l="1"/>
  <c r="L282" i="5"/>
  <c r="L289" i="5"/>
  <c r="L141" i="5"/>
  <c r="M141" i="5"/>
  <c r="L186" i="5"/>
  <c r="M186" i="5"/>
  <c r="J253" i="5" l="1"/>
  <c r="J228" i="5"/>
  <c r="L105" i="5" l="1"/>
  <c r="L111" i="5" s="1"/>
  <c r="P138" i="5"/>
  <c r="K284" i="5" l="1"/>
  <c r="M284" i="5"/>
  <c r="L284" i="5"/>
  <c r="L283" i="5"/>
  <c r="J284" i="5"/>
  <c r="L279" i="5" l="1"/>
  <c r="K289" i="5"/>
  <c r="M289" i="5"/>
  <c r="M288" i="5"/>
  <c r="L288" i="5"/>
  <c r="K288" i="5"/>
  <c r="K287" i="5"/>
  <c r="L294" i="5"/>
  <c r="M294" i="5"/>
  <c r="K294" i="5"/>
  <c r="K110" i="5"/>
  <c r="K111" i="5" s="1"/>
  <c r="M110" i="5"/>
  <c r="J110" i="5"/>
  <c r="M105" i="5"/>
  <c r="M111" i="5" l="1"/>
  <c r="J267" i="5" l="1"/>
  <c r="J94" i="5"/>
  <c r="J57" i="5"/>
  <c r="J52" i="5" l="1"/>
  <c r="J74" i="5" l="1"/>
  <c r="J71" i="5"/>
  <c r="J70" i="5"/>
  <c r="J285" i="5" l="1"/>
  <c r="J79" i="5"/>
  <c r="J172" i="5" l="1"/>
  <c r="J256" i="5" l="1"/>
  <c r="J241" i="5"/>
  <c r="J239" i="5"/>
  <c r="J122" i="5" l="1"/>
  <c r="J116" i="5"/>
  <c r="K271" i="5" l="1"/>
  <c r="L295" i="5"/>
  <c r="L291" i="5"/>
  <c r="L287" i="5"/>
  <c r="L278" i="5" s="1"/>
  <c r="J237" i="5"/>
  <c r="J266" i="5" s="1"/>
  <c r="J115" i="5"/>
  <c r="J141" i="5" s="1"/>
  <c r="L290" i="5" l="1"/>
  <c r="J59" i="5"/>
  <c r="J289" i="5" s="1"/>
  <c r="L270" i="5" l="1"/>
  <c r="L189" i="5"/>
  <c r="L157" i="5"/>
  <c r="L158" i="5" s="1"/>
  <c r="L209" i="5" l="1"/>
  <c r="L271" i="5"/>
  <c r="L296" i="5" l="1"/>
  <c r="L272" i="5"/>
  <c r="L273" i="5" s="1"/>
  <c r="J193" i="5" l="1"/>
  <c r="J208" i="5" s="1"/>
  <c r="J288" i="5" l="1"/>
  <c r="M157" i="5"/>
  <c r="M158" i="5" s="1"/>
  <c r="K157" i="5"/>
  <c r="K158" i="5" s="1"/>
  <c r="J157" i="5"/>
  <c r="J158" i="5" s="1"/>
  <c r="J182" i="5" l="1"/>
  <c r="J186" i="5" s="1"/>
  <c r="K282" i="5" l="1"/>
  <c r="J270" i="5" l="1"/>
  <c r="J271" i="5" l="1"/>
  <c r="J55" i="5"/>
  <c r="J280" i="5" s="1"/>
  <c r="J68" i="5" l="1"/>
  <c r="J111" i="5" s="1"/>
  <c r="J295" i="5" l="1"/>
  <c r="J294" i="5"/>
  <c r="J293" i="5"/>
  <c r="K189" i="5" l="1"/>
  <c r="K209" i="5" s="1"/>
  <c r="M189" i="5"/>
  <c r="M283" i="5" l="1"/>
  <c r="K283" i="5"/>
  <c r="J283" i="5"/>
  <c r="M291" i="5"/>
  <c r="K291" i="5"/>
  <c r="J291" i="5"/>
  <c r="J290" i="5" s="1"/>
  <c r="M282" i="5" l="1"/>
  <c r="M281" i="5"/>
  <c r="K281" i="5"/>
  <c r="K279" i="5" s="1"/>
  <c r="K278" i="5" s="1"/>
  <c r="M295" i="5"/>
  <c r="M290" i="5" s="1"/>
  <c r="M279" i="5" l="1"/>
  <c r="J287" i="5"/>
  <c r="J282" i="5"/>
  <c r="J281" i="5"/>
  <c r="K295" i="5"/>
  <c r="K290" i="5" s="1"/>
  <c r="J279" i="5" l="1"/>
  <c r="J278" i="5" s="1"/>
  <c r="M278" i="5"/>
  <c r="M296" i="5" s="1"/>
  <c r="K296" i="5"/>
  <c r="M270" i="5" l="1"/>
  <c r="J209" i="5"/>
  <c r="M209" i="5"/>
  <c r="J272" i="5" l="1"/>
  <c r="M271" i="5"/>
  <c r="J273" i="5" l="1"/>
  <c r="K272" i="5" l="1"/>
  <c r="K273" i="5" s="1"/>
  <c r="M272" i="5"/>
  <c r="M273" i="5" s="1"/>
  <c r="J296" i="5" l="1"/>
</calcChain>
</file>

<file path=xl/comments1.xml><?xml version="1.0" encoding="utf-8"?>
<comments xmlns="http://schemas.openxmlformats.org/spreadsheetml/2006/main">
  <authors>
    <author>Audra Cepiene</author>
  </authors>
  <commentList>
    <comment ref="E16"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E23"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E27"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33"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G35"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36"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38"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43"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D54" authorId="0" shapeId="0">
      <text>
        <r>
          <rPr>
            <b/>
            <sz val="9"/>
            <color indexed="81"/>
            <rFont val="Tahoma"/>
            <family val="2"/>
            <charset val="186"/>
          </rPr>
          <t>SPG protokolas 2016-09-23 Nr. STR-12</t>
        </r>
        <r>
          <rPr>
            <sz val="9"/>
            <color indexed="81"/>
            <rFont val="Tahoma"/>
            <family val="2"/>
            <charset val="186"/>
          </rPr>
          <t xml:space="preserve">
</t>
        </r>
      </text>
    </comment>
    <comment ref="E59"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G68" authorId="0" shapeId="0">
      <text>
        <r>
          <rPr>
            <sz val="9"/>
            <color indexed="81"/>
            <rFont val="Tahoma"/>
            <family val="2"/>
            <charset val="186"/>
          </rPr>
          <t>Gyventojų lėšos</t>
        </r>
      </text>
    </comment>
    <comment ref="E74"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E84"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E91"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E96"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E97"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E108"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E130" authorId="0" shapeId="0">
      <text>
        <r>
          <rPr>
            <b/>
            <sz val="9"/>
            <color indexed="81"/>
            <rFont val="Tahoma"/>
            <family val="2"/>
            <charset val="186"/>
          </rPr>
          <t>Klaipėdos miesto darnaus judumo planas (2018-09-13, T2-185)
P6, Klaipėdos miesto ekonominės plėtros strategija ir įgyvendinimo veiksmų planas iki 2030 metų, 3.3.4. priemonė</t>
        </r>
        <r>
          <rPr>
            <sz val="9"/>
            <color indexed="81"/>
            <rFont val="Tahoma"/>
            <family val="2"/>
            <charset val="186"/>
          </rPr>
          <t xml:space="preserve">
 </t>
        </r>
      </text>
    </comment>
    <comment ref="E136"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M136" authorId="0" shapeId="0">
      <text>
        <r>
          <rPr>
            <b/>
            <sz val="9"/>
            <color indexed="81"/>
            <rFont val="Tahoma"/>
            <family val="2"/>
            <charset val="186"/>
          </rPr>
          <t>Iš viso bus įrengta 13 stotelių:</t>
        </r>
        <r>
          <rPr>
            <sz val="9"/>
            <color indexed="81"/>
            <rFont val="Tahoma"/>
            <family val="2"/>
            <charset val="186"/>
          </rPr>
          <t xml:space="preserve"> 
1. Kauno stotelė šiaurės kryptimi (Taikos pr. 55A);
2. Kauno stotelė pietų kryptimi (Taikos pr. 52C);
3. Baltijos stotelė šiaurės kryptimi (Taikos pr. 71A);
4. Baltijos stotelė pietų kryptimi (Taikos pr. 66A);
5. Vėtrungės stotelė pietų kryptimi (Taikos pr. 28);
6. Vėtrungės stotelė šiaurės kryptimi (Taikos pr. 29/33);
7. Naujojo Turgaus stotelė šiaurės kryptimi (Taikos pr. 109);
8. Smiltelės stotelė pietų kryptimi (prie PC „BIG“, Taikos pr. 139);
9. Rasos stotelė šiaurės kryptimi (Šilutės pl. 49B);
10. Žardės stotelė šiaurės kryptimi (Taikos pr. 115);
11. Vyturio stotelė šiaurės kryptimi (Vingio g.39);
12. Bandužių stotelė šiaurės kryptimi (Vingio g. 21A);
13. Sausio 15-osios stotelė pietų kryptimi (Taikos pr.18/18T).
</t>
        </r>
      </text>
    </comment>
    <comment ref="D144" authorId="0" shapeId="0">
      <text>
        <r>
          <rPr>
            <sz val="9"/>
            <color indexed="81"/>
            <rFont val="Tahoma"/>
            <family val="2"/>
            <charset val="186"/>
          </rPr>
          <t>Projektas vykdomas kartu su Autobusų parku</t>
        </r>
      </text>
    </comment>
    <comment ref="E14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50"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55"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E171"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E174" authorId="0" shapeId="0">
      <text>
        <r>
          <rPr>
            <b/>
            <sz val="9"/>
            <color indexed="81"/>
            <rFont val="Tahoma"/>
            <family val="2"/>
            <charset val="186"/>
          </rPr>
          <t>P2, Klaipėdos miesto darnaus judumo planas (2018-09-13, T2-185)</t>
        </r>
      </text>
    </comment>
    <comment ref="E181"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E183"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E186"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89"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90"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L202" authorId="0" shapeId="0">
      <text>
        <r>
          <rPr>
            <b/>
            <sz val="9"/>
            <color indexed="81"/>
            <rFont val="Tahoma"/>
            <family val="2"/>
            <charset val="186"/>
          </rPr>
          <t>59 445 kv.m</t>
        </r>
        <r>
          <rPr>
            <sz val="9"/>
            <color indexed="81"/>
            <rFont val="Tahoma"/>
            <family val="2"/>
            <charset val="186"/>
          </rPr>
          <t xml:space="preserve">
</t>
        </r>
      </text>
    </comment>
    <comment ref="M210" authorId="0" shapeId="0">
      <text>
        <r>
          <rPr>
            <b/>
            <sz val="9"/>
            <color indexed="81"/>
            <rFont val="Tahoma"/>
            <family val="2"/>
            <charset val="186"/>
          </rPr>
          <t xml:space="preserve">78 500 kv.m </t>
        </r>
        <r>
          <rPr>
            <sz val="9"/>
            <color indexed="81"/>
            <rFont val="Tahoma"/>
            <family val="2"/>
            <charset val="186"/>
          </rPr>
          <t xml:space="preserve">
</t>
        </r>
      </text>
    </comment>
    <comment ref="N210" authorId="0" shapeId="0">
      <text>
        <r>
          <rPr>
            <sz val="9"/>
            <color indexed="81"/>
            <rFont val="Tahoma"/>
            <family val="2"/>
            <charset val="186"/>
          </rPr>
          <t>Gatvių sarašas bus sudaromas po gatvių apžiūrų 2019-2020 m.</t>
        </r>
      </text>
    </comment>
    <comment ref="K224" authorId="0" shapeId="0">
      <text>
        <r>
          <rPr>
            <sz val="9"/>
            <color indexed="81"/>
            <rFont val="Tahoma"/>
            <family val="2"/>
            <charset val="186"/>
          </rPr>
          <t>Miesto ūkio ir aplinkosaugos komiteto pastaba 2019-01-25 TAR-5</t>
        </r>
      </text>
    </comment>
    <comment ref="D231" authorId="0" shapeId="0">
      <text>
        <r>
          <rPr>
            <sz val="9"/>
            <color indexed="81"/>
            <rFont val="Tahoma"/>
            <family val="2"/>
            <charset val="186"/>
          </rPr>
          <t>parkavimo vietų subraižymas, žaliųjų vejų ir skverų sutvarkymas</t>
        </r>
      </text>
    </comment>
  </commentList>
</comments>
</file>

<file path=xl/comments2.xml><?xml version="1.0" encoding="utf-8"?>
<comments xmlns="http://schemas.openxmlformats.org/spreadsheetml/2006/main">
  <authors>
    <author>Audra Cepiene</author>
  </authors>
  <commentList>
    <comment ref="E15"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E22"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E26"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32"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G34"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3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37"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42"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D53" authorId="0" shapeId="0">
      <text>
        <r>
          <rPr>
            <b/>
            <sz val="9"/>
            <color indexed="81"/>
            <rFont val="Tahoma"/>
            <family val="2"/>
            <charset val="186"/>
          </rPr>
          <t>SPG protokolas 2016-09-23 Nr. STR-12</t>
        </r>
        <r>
          <rPr>
            <sz val="9"/>
            <color indexed="81"/>
            <rFont val="Tahoma"/>
            <family val="2"/>
            <charset val="186"/>
          </rPr>
          <t xml:space="preserve">
</t>
        </r>
      </text>
    </comment>
    <comment ref="E58"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G67" authorId="0" shapeId="0">
      <text>
        <r>
          <rPr>
            <sz val="9"/>
            <color indexed="81"/>
            <rFont val="Tahoma"/>
            <family val="2"/>
            <charset val="186"/>
          </rPr>
          <t>Gyventojų lėšos</t>
        </r>
      </text>
    </comment>
    <comment ref="E73"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E83"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E90"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E95"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E96"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E107"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E129" authorId="0" shapeId="0">
      <text>
        <r>
          <rPr>
            <b/>
            <sz val="9"/>
            <color indexed="81"/>
            <rFont val="Tahoma"/>
            <family val="2"/>
            <charset val="186"/>
          </rPr>
          <t>Klaipėdos miesto darnaus judumo planas (2018-09-13, T2-185)
P6, Klaipėdos miesto ekonominės plėtros strategija ir įgyvendinimo veiksmų planas iki 2030 metų, 3.3.4. priemonė</t>
        </r>
        <r>
          <rPr>
            <sz val="9"/>
            <color indexed="81"/>
            <rFont val="Tahoma"/>
            <family val="2"/>
            <charset val="186"/>
          </rPr>
          <t xml:space="preserve">
 </t>
        </r>
      </text>
    </comment>
    <comment ref="E13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S135" authorId="0" shapeId="0">
      <text>
        <r>
          <rPr>
            <b/>
            <sz val="9"/>
            <color indexed="81"/>
            <rFont val="Tahoma"/>
            <family val="2"/>
            <charset val="186"/>
          </rPr>
          <t>Iš viso bus įrengta 13 stotelių:</t>
        </r>
        <r>
          <rPr>
            <sz val="9"/>
            <color indexed="81"/>
            <rFont val="Tahoma"/>
            <family val="2"/>
            <charset val="186"/>
          </rPr>
          <t xml:space="preserve"> 
1. Kauno stotelė šiaurės kryptimi (Taikos pr. 55A);
2. Kauno stotelė pietų kryptimi (Taikos pr. 52C);
3. Baltijos stotelė šiaurės kryptimi (Taikos pr. 71A);
4. Baltijos stotelė pietų kryptimi (Taikos pr. 66A);
5. Vėtrungės stotelė pietų kryptimi (Taikos pr. 28);
6. Vėtrungės stotelė šiaurės kryptimi (Taikos pr. 29/33);
7. Naujojo Turgaus stotelė šiaurės kryptimi (Taikos pr. 109);
8. Smiltelės stotelė pietų kryptimi (prie PC „BIG“, Taikos pr. 139);
9. Rasos stotelė šiaurės kryptimi (Šilutės pl. 49B);
10. Žardės stotelė šiaurės kryptimi (Taikos pr. 115);
11. Vyturio stotelė šiaurės kryptimi (Vingio g.39);
12. Bandužių stotelė šiaurės kryptimi (Vingio g. 21A);
13. Sausio 15-osios stotelė pietų kryptimi (Taikos pr.18/18T).
</t>
        </r>
      </text>
    </comment>
    <comment ref="D143" authorId="0" shapeId="0">
      <text>
        <r>
          <rPr>
            <sz val="9"/>
            <color indexed="81"/>
            <rFont val="Tahoma"/>
            <family val="2"/>
            <charset val="186"/>
          </rPr>
          <t>Projektas vykdomas kartu su Autobusų parku</t>
        </r>
      </text>
    </comment>
    <comment ref="E144"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4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54"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E170"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E173" authorId="0" shapeId="0">
      <text>
        <r>
          <rPr>
            <b/>
            <sz val="9"/>
            <color indexed="81"/>
            <rFont val="Tahoma"/>
            <family val="2"/>
            <charset val="186"/>
          </rPr>
          <t>P2, Klaipėdos miesto darnaus judumo planas (2018-09-13, T2-185)</t>
        </r>
      </text>
    </comment>
    <comment ref="E180"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E182"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E185"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88"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89"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R201" authorId="0" shapeId="0">
      <text>
        <r>
          <rPr>
            <b/>
            <sz val="9"/>
            <color indexed="81"/>
            <rFont val="Tahoma"/>
            <family val="2"/>
            <charset val="186"/>
          </rPr>
          <t>59 445 kv.m</t>
        </r>
        <r>
          <rPr>
            <sz val="9"/>
            <color indexed="81"/>
            <rFont val="Tahoma"/>
            <family val="2"/>
            <charset val="186"/>
          </rPr>
          <t xml:space="preserve">
</t>
        </r>
      </text>
    </comment>
    <comment ref="S209" authorId="0" shapeId="0">
      <text>
        <r>
          <rPr>
            <b/>
            <sz val="9"/>
            <color indexed="81"/>
            <rFont val="Tahoma"/>
            <family val="2"/>
            <charset val="186"/>
          </rPr>
          <t xml:space="preserve">78 500 kv.m </t>
        </r>
        <r>
          <rPr>
            <sz val="9"/>
            <color indexed="81"/>
            <rFont val="Tahoma"/>
            <family val="2"/>
            <charset val="186"/>
          </rPr>
          <t xml:space="preserve">
</t>
        </r>
      </text>
    </comment>
    <comment ref="T209" authorId="0" shapeId="0">
      <text>
        <r>
          <rPr>
            <sz val="9"/>
            <color indexed="81"/>
            <rFont val="Tahoma"/>
            <family val="2"/>
            <charset val="186"/>
          </rPr>
          <t>Gatvių sarašas bus sudaromas po gatvių apžiūrų 2019-2020 m.</t>
        </r>
      </text>
    </comment>
    <comment ref="Q224" authorId="0" shapeId="0">
      <text>
        <r>
          <rPr>
            <sz val="9"/>
            <color indexed="81"/>
            <rFont val="Tahoma"/>
            <family val="2"/>
            <charset val="186"/>
          </rPr>
          <t>Miesto ūkio ir aplinkosaugos komiteto pastaba 2019-01-25 TAR-5</t>
        </r>
      </text>
    </comment>
    <comment ref="D231" authorId="0" shapeId="0">
      <text>
        <r>
          <rPr>
            <sz val="9"/>
            <color indexed="81"/>
            <rFont val="Tahoma"/>
            <family val="2"/>
            <charset val="186"/>
          </rPr>
          <t>parkavimo vietų subraižymas, žaliųjų vejų ir skverų sutvarkymas</t>
        </r>
      </text>
    </comment>
    <comment ref="H244" authorId="0" shapeId="0">
      <text>
        <r>
          <rPr>
            <b/>
            <sz val="9"/>
            <color indexed="81"/>
            <rFont val="Tahoma"/>
            <family val="2"/>
            <charset val="186"/>
          </rPr>
          <t xml:space="preserve">27558,6
</t>
        </r>
        <r>
          <rPr>
            <sz val="9"/>
            <color indexed="81"/>
            <rFont val="Tahoma"/>
            <family val="2"/>
            <charset val="186"/>
          </rPr>
          <t xml:space="preserve">
</t>
        </r>
      </text>
    </comment>
    <comment ref="H267" authorId="0" shapeId="0">
      <text>
        <r>
          <rPr>
            <b/>
            <sz val="9"/>
            <color indexed="81"/>
            <rFont val="Tahoma"/>
            <family val="2"/>
            <charset val="186"/>
          </rPr>
          <t>27558,6</t>
        </r>
        <r>
          <rPr>
            <sz val="9"/>
            <color indexed="81"/>
            <rFont val="Tahoma"/>
            <family val="2"/>
            <charset val="186"/>
          </rPr>
          <t xml:space="preserve">
</t>
        </r>
      </text>
    </comment>
  </commentList>
</comments>
</file>

<file path=xl/comments3.xml><?xml version="1.0" encoding="utf-8"?>
<comments xmlns="http://schemas.openxmlformats.org/spreadsheetml/2006/main">
  <authors>
    <author>Audra Cepiene</author>
  </authors>
  <commentList>
    <comment ref="F13"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F14"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N14" authorId="0" shapeId="0">
      <text>
        <r>
          <rPr>
            <b/>
            <sz val="9"/>
            <color indexed="81"/>
            <rFont val="Tahoma"/>
            <family val="2"/>
            <charset val="186"/>
          </rPr>
          <t>Į senamiesčio grindinio atnaujinimo projektą įtraukta priemonė "</t>
        </r>
        <r>
          <rPr>
            <sz val="9"/>
            <color indexed="81"/>
            <rFont val="Tahoma"/>
            <family val="2"/>
            <charset val="186"/>
          </rPr>
          <t>Tomo ir Pylimo g. rekonstravimas", iš viso bus tvarkomos 8 gatvės:
Žvejų g., Teatro g., Sukilėlių g., Daržų g. (nuo Pilies g. iki Aukštosios g.), Aukštoji g. (nuo Daržų g. iki Didžiosios Vandens g.), Didžioji Vandens g. (nuo Aukštosios g. iki Tiltų g.), Vežėjų g. (nuo Turgaus g. iki Daržų g.), Tomo ir Pylimo g.</t>
        </r>
      </text>
    </comment>
    <comment ref="F1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N19" authorId="0" shapeId="0">
      <text>
        <r>
          <rPr>
            <sz val="9"/>
            <color indexed="81"/>
            <rFont val="Tahoma"/>
            <family val="2"/>
            <charset val="186"/>
          </rPr>
          <t>Šiuo metu projektuotojai rengia poveikio aplinkai vertinimą, kol nebus atliktas PAV projektavimo darbai nebus vykdomi, nes PAV gali įtakoti techninio darbo projekto sprendinius.</t>
        </r>
      </text>
    </comment>
    <comment ref="N20" authorId="0" shapeId="0">
      <text>
        <r>
          <rPr>
            <b/>
            <sz val="9"/>
            <color indexed="81"/>
            <rFont val="Tahoma"/>
            <family val="2"/>
            <charset val="186"/>
          </rPr>
          <t>I etapas.</t>
        </r>
        <r>
          <rPr>
            <sz val="9"/>
            <color indexed="81"/>
            <rFont val="Tahoma"/>
            <family val="2"/>
            <charset val="186"/>
          </rPr>
          <t xml:space="preserve"> Bastionų g. nuo Danės g. iki Danės upės ir nuo Danės upės iki Gluosnių g. tiesimas. Pabaiga 2022 m.</t>
        </r>
      </text>
    </comment>
    <comment ref="I23" authorId="0" shapeId="0">
      <text>
        <r>
          <rPr>
            <b/>
            <sz val="9"/>
            <color indexed="81"/>
            <rFont val="Tahoma"/>
            <family val="2"/>
            <charset val="186"/>
          </rPr>
          <t>ŽP 637</t>
        </r>
        <r>
          <rPr>
            <sz val="9"/>
            <color indexed="81"/>
            <rFont val="Tahoma"/>
            <family val="2"/>
            <charset val="186"/>
          </rPr>
          <t xml:space="preserve">
</t>
        </r>
      </text>
    </comment>
    <comment ref="N28" authorId="0" shapeId="0">
      <text>
        <r>
          <rPr>
            <sz val="9"/>
            <color indexed="81"/>
            <rFont val="Tahoma"/>
            <family val="2"/>
            <charset val="186"/>
          </rPr>
          <t>privaloma atlikti specialiąją paveldosaugos ekspertizę, todėl atliekamos viešųjų pirkimų procedūros, paveldosaugos ekspertizės pirkimui.</t>
        </r>
      </text>
    </comment>
    <comment ref="F29"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N30" authorId="0" shapeId="0">
      <text>
        <r>
          <rPr>
            <sz val="9"/>
            <color indexed="81"/>
            <rFont val="Tahoma"/>
            <family val="2"/>
            <charset val="186"/>
          </rPr>
          <t xml:space="preserve">Darbai nikelti į tolimesnį laikotarpį. Atlikta rekonstravimo (I etapo) darbų. Užbaigtumas, proc. </t>
        </r>
      </text>
    </comment>
    <comment ref="I31"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N31" authorId="0" shapeId="0">
      <text>
        <r>
          <rPr>
            <sz val="9"/>
            <color indexed="81"/>
            <rFont val="Tahoma"/>
            <family val="2"/>
            <charset val="186"/>
          </rPr>
          <t>Savivaldybė rengia tik techninį projektą. Bendra projekto vertė 2 mln. Eur.</t>
        </r>
      </text>
    </comment>
    <comment ref="F32"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34"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N36" authorId="0" shapeId="0">
      <text>
        <r>
          <rPr>
            <sz val="9"/>
            <color indexed="81"/>
            <rFont val="Tahoma"/>
            <family val="2"/>
            <charset val="186"/>
          </rPr>
          <t>Puodžių g. rekonstravimas siejamas su Šv. Jono bažnyčios atstatymu.</t>
        </r>
      </text>
    </comment>
    <comment ref="F39"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E48" authorId="0" shapeId="0">
      <text>
        <r>
          <rPr>
            <b/>
            <sz val="9"/>
            <color indexed="81"/>
            <rFont val="Tahoma"/>
            <family val="2"/>
            <charset val="186"/>
          </rPr>
          <t>SPG protokolas 2016-09-23 Nr. STR-12</t>
        </r>
        <r>
          <rPr>
            <sz val="9"/>
            <color indexed="81"/>
            <rFont val="Tahoma"/>
            <family val="2"/>
            <charset val="186"/>
          </rPr>
          <t xml:space="preserve">
</t>
        </r>
      </text>
    </comment>
    <comment ref="N48" authorId="0" shapeId="0">
      <text>
        <r>
          <rPr>
            <sz val="9"/>
            <color indexed="81"/>
            <rFont val="Tahoma"/>
            <family val="2"/>
            <charset val="186"/>
          </rPr>
          <t>Gatvės įrengimo darbai nukelti į 2022 m.</t>
        </r>
      </text>
    </comment>
    <comment ref="F53"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J55" authorId="0" shapeId="0">
      <text>
        <r>
          <rPr>
            <b/>
            <sz val="9"/>
            <color indexed="81"/>
            <rFont val="Tahoma"/>
            <family val="2"/>
            <charset val="186"/>
          </rPr>
          <t>minusuotas likutis</t>
        </r>
        <r>
          <rPr>
            <sz val="9"/>
            <color indexed="81"/>
            <rFont val="Tahoma"/>
            <family val="2"/>
            <charset val="186"/>
          </rPr>
          <t xml:space="preserve">
</t>
        </r>
      </text>
    </comment>
    <comment ref="I65" authorId="0" shapeId="0">
      <text>
        <r>
          <rPr>
            <sz val="9"/>
            <color indexed="81"/>
            <rFont val="Tahoma"/>
            <family val="2"/>
            <charset val="186"/>
          </rPr>
          <t>Gyventojų lėšos</t>
        </r>
      </text>
    </comment>
    <comment ref="F66"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N66" authorId="0" shapeId="0">
      <text>
        <r>
          <rPr>
            <sz val="9"/>
            <color indexed="81"/>
            <rFont val="Tahoma"/>
            <family val="2"/>
            <charset val="186"/>
          </rPr>
          <t>Projektas nebus vykdomas dėl per didelės projekto finansinės vertės.</t>
        </r>
      </text>
    </comment>
    <comment ref="F69"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I75" authorId="0" shapeId="0">
      <text>
        <r>
          <rPr>
            <sz val="9"/>
            <color indexed="81"/>
            <rFont val="Tahoma"/>
            <family val="2"/>
            <charset val="186"/>
          </rPr>
          <t xml:space="preserve">AB „Klaipėdos nafta“ skirtia tikslines lėšas 175.000 Eur 
</t>
        </r>
      </text>
    </comment>
    <comment ref="E76" authorId="0" shapeId="0">
      <text>
        <r>
          <rPr>
            <sz val="9"/>
            <color indexed="81"/>
            <rFont val="Tahoma"/>
            <family val="2"/>
            <charset val="186"/>
          </rPr>
          <t>SPG protokolas 2016-09-23 Nr. STR-12</t>
        </r>
      </text>
    </comment>
    <comment ref="F80"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J81" authorId="0" shapeId="0">
      <text>
        <r>
          <rPr>
            <sz val="9"/>
            <color indexed="81"/>
            <rFont val="Tahoma"/>
            <family val="2"/>
            <charset val="186"/>
          </rPr>
          <t>LR Susisiekimo ministro</t>
        </r>
        <r>
          <rPr>
            <b/>
            <sz val="9"/>
            <color indexed="81"/>
            <rFont val="Tahoma"/>
            <family val="2"/>
            <charset val="186"/>
          </rPr>
          <t xml:space="preserve"> 2018 m. lapkričio 21 d.  įsakymas Nr.3-581</t>
        </r>
        <r>
          <rPr>
            <sz val="9"/>
            <color indexed="81"/>
            <rFont val="Tahoma"/>
            <family val="2"/>
            <charset val="186"/>
          </rPr>
          <t xml:space="preserve"> "Dėl Lietuvos Respublikos susisiekimo ministro 2018 m. gegužės 16 d. įsakymo Nr.3-234 "Dėl vietinės reikšmės kelių (gatvių) tikslinio finansavimo 2018 metų sąrašo patvirtinimo" pakeitimo".</t>
        </r>
      </text>
    </comment>
    <comment ref="N85" authorId="0" shapeId="0">
      <text>
        <r>
          <rPr>
            <b/>
            <sz val="9"/>
            <color indexed="81"/>
            <rFont val="Tahoma"/>
            <family val="2"/>
            <charset val="186"/>
          </rPr>
          <t>Techninis projektas yra parengtas</t>
        </r>
        <r>
          <rPr>
            <sz val="9"/>
            <color indexed="81"/>
            <rFont val="Tahoma"/>
            <family val="2"/>
            <charset val="186"/>
          </rPr>
          <t xml:space="preserve">
</t>
        </r>
      </text>
    </comment>
    <comment ref="F87"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N87" authorId="0" shapeId="0">
      <text>
        <r>
          <rPr>
            <sz val="9"/>
            <color indexed="81"/>
            <rFont val="Tahoma"/>
            <family val="2"/>
            <charset val="186"/>
          </rPr>
          <t>Rekonstravimo darbai bus pradėti 2022 metais. Atlikta gatvės (571 m) tiesimo darbų (II etapas). Užbaigtumas, proc.</t>
        </r>
      </text>
    </comment>
    <comment ref="N90" authorId="0" shapeId="0">
      <text>
        <r>
          <rPr>
            <sz val="9"/>
            <color indexed="81"/>
            <rFont val="Tahoma"/>
            <family val="2"/>
            <charset val="186"/>
          </rPr>
          <t xml:space="preserve">Rekonstravimo darbai bus pradėti 2022 m. </t>
        </r>
      </text>
    </comment>
    <comment ref="N92" authorId="0" shapeId="0">
      <text>
        <r>
          <rPr>
            <b/>
            <sz val="9"/>
            <color indexed="81"/>
            <rFont val="Tahoma"/>
            <family val="2"/>
            <charset val="186"/>
          </rPr>
          <t>projekta parengs privatus investuotojas</t>
        </r>
      </text>
    </comment>
    <comment ref="F95"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F96"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N96" authorId="0" shapeId="0">
      <text>
        <r>
          <rPr>
            <sz val="9"/>
            <color indexed="81"/>
            <rFont val="Tahoma"/>
            <family val="2"/>
            <charset val="186"/>
          </rPr>
          <t xml:space="preserve">Techn. projekto </t>
        </r>
        <r>
          <rPr>
            <b/>
            <sz val="9"/>
            <color indexed="81"/>
            <rFont val="Tahoma"/>
            <family val="2"/>
            <charset val="186"/>
          </rPr>
          <t xml:space="preserve">kaina 534 tūkst. eur </t>
        </r>
        <r>
          <rPr>
            <sz val="8"/>
            <color indexed="81"/>
            <rFont val="Tahoma"/>
            <family val="2"/>
            <charset val="186"/>
          </rPr>
          <t xml:space="preserve">(Geologinių, topografinių (geodezinių) tyrinėjimo dokumentų parengimas; Techninis projektas; Investicinis projektas; Detaliojo plano koregavimas) </t>
        </r>
        <r>
          <rPr>
            <b/>
            <sz val="8"/>
            <color indexed="81"/>
            <rFont val="Tahoma"/>
            <family val="2"/>
            <charset val="186"/>
          </rPr>
          <t>10 tūkst. eur ekspertizė</t>
        </r>
      </text>
    </comment>
    <comment ref="F113"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N120" authorId="0" shapeId="0">
      <text>
        <r>
          <rPr>
            <sz val="9"/>
            <color indexed="81"/>
            <rFont val="Tahoma"/>
            <family val="2"/>
            <charset val="186"/>
          </rPr>
          <t xml:space="preserve">2019 m.
1.1. Lietuvos valstybės atkūrimo dieną, 2019 m. vasario 16 d.;
1.2. Klaipėdos šviesų festivalio metu, 2019 m. vasario 17 d.;
1.3. Lietuvos nepriklausomybės atkūrimo dieną, 2019 m. kovo 11 d.
1.4. Dieną be automobilio, 2019 m. rugsėjo 20 d.
</t>
        </r>
      </text>
    </comment>
    <comment ref="K124" authorId="0" shapeId="0">
      <text>
        <r>
          <rPr>
            <sz val="9"/>
            <color indexed="81"/>
            <rFont val="Tahoma"/>
            <family val="2"/>
            <charset val="186"/>
          </rPr>
          <t xml:space="preserve">įsakymu bus įrašytos lėšos iš vežėjų už trasportą
</t>
        </r>
      </text>
    </comment>
    <comment ref="R125" authorId="0" shapeId="0">
      <text>
        <r>
          <rPr>
            <sz val="9"/>
            <color indexed="81"/>
            <rFont val="Tahoma"/>
            <family val="2"/>
            <charset val="186"/>
          </rPr>
          <t>Rodikliai yra didesni 17 vnt.,  maršrutų, kuriais važinės ekologiški autobusai. UAB „Klaipėdos autobusų parkas“ dalyvauja konkurse dėl ekologiškų autobusų įsigijimo. Konkursas įvyks 2019 m., todėl nuostoliai kasmet augs.</t>
        </r>
      </text>
    </comment>
    <comment ref="N129" authorId="0" shapeId="0">
      <text>
        <r>
          <rPr>
            <sz val="9"/>
            <color indexed="81"/>
            <rFont val="Tahoma"/>
            <family val="2"/>
            <charset val="186"/>
          </rPr>
          <t xml:space="preserve">1. priemonę „Nuostolingų maršrutų subsidijavimas priemiesčio maršrutus aptarnaujantiems 
vežėjams“, numatant finansavimą iš savivaldybės biudžeto lėšų maršrutams į s. b. „Vaiteliai“, s. b. „Rasa“, „Klaipėdos autobusų stotis–Palangos oro uostas“, bandomajam maršrutui (aptarnaujamas elektriniu autobusu) ir į Ermitažą (nuo 2022 m.) naktiniam maršrutui subsidijuoti
</t>
        </r>
      </text>
    </comment>
    <comment ref="N135" authorId="0" shapeId="0">
      <text>
        <r>
          <rPr>
            <sz val="9"/>
            <color indexed="81"/>
            <rFont val="Tahoma"/>
            <family val="2"/>
            <charset val="186"/>
          </rPr>
          <t>Klaipėdos miesto darnaus judumo planas (2018-09-13, T2-185). Maršrutai, kuriais važinės ekologiški autobusai. UAB „Klaipėdos autobusų parkas“ dalyvauja konkurse dėl ekologiškų autobusų įsigijimo. Konkursas įvyks 2019 m., todėl nuostoliai kasmet augs.</t>
        </r>
      </text>
    </comment>
    <comment ref="F137" authorId="0" shapeId="0">
      <text>
        <r>
          <rPr>
            <b/>
            <sz val="9"/>
            <color indexed="81"/>
            <rFont val="Tahoma"/>
            <family val="2"/>
            <charset val="186"/>
          </rPr>
          <t>Klaipėdos miesto darnaus judumo planas (2018-09-13, T2-185)
P6, Klaipėdos miesto ekonominės plėtros strategija ir įgyvendinimo veiksmų planas iki 2030 metų, 3.3.4. priemonė</t>
        </r>
        <r>
          <rPr>
            <sz val="9"/>
            <color indexed="81"/>
            <rFont val="Tahoma"/>
            <family val="2"/>
            <charset val="186"/>
          </rPr>
          <t xml:space="preserve">
 </t>
        </r>
      </text>
    </comment>
    <comment ref="O137" authorId="0" shapeId="0">
      <text>
        <r>
          <rPr>
            <sz val="9"/>
            <color indexed="81"/>
            <rFont val="Tahoma"/>
            <family val="2"/>
            <charset val="186"/>
          </rPr>
          <t xml:space="preserve">iš viso bus integruota iki 2020 m.  205 vieš. transporto priemonių
</t>
        </r>
      </text>
    </comment>
    <comment ref="F143"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J143" authorId="0" shapeId="0">
      <text>
        <r>
          <rPr>
            <sz val="9"/>
            <color indexed="81"/>
            <rFont val="Tahoma"/>
            <family val="2"/>
            <charset val="186"/>
          </rPr>
          <t xml:space="preserve">10 tūkst. eur projektas,
20 tūkst. eur avansui dėl įrengimo 
</t>
        </r>
      </text>
    </comment>
    <comment ref="N144" authorId="0" shapeId="0">
      <text>
        <r>
          <rPr>
            <sz val="9"/>
            <color indexed="81"/>
            <rFont val="Tahoma"/>
            <family val="2"/>
            <charset val="186"/>
          </rPr>
          <t xml:space="preserve">bendra vertė 123,1 tūkst. eur, iš jų 10 tūkst eur techninis projektas
</t>
        </r>
      </text>
    </comment>
    <comment ref="Q144" authorId="0" shapeId="0">
      <text>
        <r>
          <rPr>
            <b/>
            <sz val="9"/>
            <color indexed="81"/>
            <rFont val="Tahoma"/>
            <family val="2"/>
            <charset val="186"/>
          </rPr>
          <t>Iš viso bus įrengta 13 stotelių:</t>
        </r>
        <r>
          <rPr>
            <sz val="9"/>
            <color indexed="81"/>
            <rFont val="Tahoma"/>
            <family val="2"/>
            <charset val="186"/>
          </rPr>
          <t xml:space="preserve"> 
1. Kauno stotelė šiaurės kryptimi (Taikos pr. 55A);
2. Kauno stotelė pietų kryptimi (Taikos pr. 52C);
3. Baltijos stotelė šiaurės kryptimi (Taikos pr. 71A);
4. Baltijos stotelė pietų kryptimi (Taikos pr. 66A);
5. Vėtrungės stotelė pietų kryptimi (Taikos pr. 28);
6. Vėtrungės stotelė šiaurės kryptimi (Taikos pr. 29/33);
7. Naujojo Turgaus stotelė šiaurės kryptimi (Taikos pr. 109);
8. Smiltelės stotelė pietų kryptimi (prie PC „BIG“, Taikos pr. 139);
9. Rasos stotelė šiaurės kryptimi (Šilutės pl. 49B);
10. Žardės stotelė šiaurės kryptimi (Taikos pr. 115);
11. Vyturio stotelė šiaurės kryptimi (Vingio g.39);
12. Bandužių stotelė šiaurės kryptimi (Vingio g. 21A);
13. Sausio 15-osios stotelė pietų kryptimi (Taikos pr.18/18T).
</t>
        </r>
      </text>
    </comment>
    <comment ref="N147" authorId="0" shapeId="0">
      <text>
        <r>
          <rPr>
            <b/>
            <sz val="9"/>
            <color indexed="81"/>
            <rFont val="Tahoma"/>
            <family val="2"/>
            <charset val="186"/>
          </rPr>
          <t>I etapo stotelės 10 vnt.</t>
        </r>
        <r>
          <rPr>
            <sz val="9"/>
            <color indexed="81"/>
            <rFont val="Tahoma"/>
            <family val="2"/>
            <charset val="186"/>
          </rPr>
          <t xml:space="preserve">
 (Vasaros estrados (pietų ir šiaurės kryptys), Rumpiškės, Kooperacijos, Juodkrantės,  Naikupės, Šilutės, Minijos, Aula Magna, Minijos stotelės)</t>
        </r>
      </text>
    </comment>
    <comment ref="N151" authorId="0" shapeId="0">
      <text>
        <r>
          <rPr>
            <sz val="9"/>
            <color indexed="81"/>
            <rFont val="Tahoma"/>
            <family val="2"/>
            <charset val="186"/>
          </rPr>
          <t>2018 m. parengtas techninis projektas ir ekpertizės išvada1</t>
        </r>
      </text>
    </comment>
    <comment ref="E154" authorId="0" shapeId="0">
      <text>
        <r>
          <rPr>
            <sz val="9"/>
            <color indexed="81"/>
            <rFont val="Tahoma"/>
            <family val="2"/>
            <charset val="186"/>
          </rPr>
          <t>Projektas vykdomas kartu su Autobusų parku</t>
        </r>
      </text>
    </comment>
    <comment ref="F15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61"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P164" authorId="0" shapeId="0">
      <text>
        <r>
          <rPr>
            <sz val="9"/>
            <color indexed="81"/>
            <rFont val="Tahoma"/>
            <family val="2"/>
            <charset val="186"/>
          </rPr>
          <t>pagal GIS - 14533</t>
        </r>
      </text>
    </comment>
    <comment ref="P165" authorId="0" shapeId="0">
      <text>
        <r>
          <rPr>
            <sz val="9"/>
            <color indexed="81"/>
            <rFont val="Tahoma"/>
            <family val="2"/>
            <charset val="186"/>
          </rPr>
          <t>Šviesoforų pagal inventorizaciją eksploatuojama</t>
        </r>
        <r>
          <rPr>
            <b/>
            <sz val="9"/>
            <color indexed="81"/>
            <rFont val="Tahoma"/>
            <family val="2"/>
            <charset val="186"/>
          </rPr>
          <t xml:space="preserve"> 66 vnt.</t>
        </r>
        <r>
          <rPr>
            <sz val="9"/>
            <color indexed="81"/>
            <rFont val="Tahoma"/>
            <family val="2"/>
            <charset val="186"/>
          </rPr>
          <t xml:space="preserve"> ir  šiais metais bus įrengta</t>
        </r>
        <r>
          <rPr>
            <b/>
            <sz val="9"/>
            <color indexed="81"/>
            <rFont val="Tahoma"/>
            <family val="2"/>
            <charset val="186"/>
          </rPr>
          <t xml:space="preserve"> 5 nauj</t>
        </r>
        <r>
          <rPr>
            <sz val="9"/>
            <color indexed="81"/>
            <rFont val="Tahoma"/>
            <family val="2"/>
            <charset val="186"/>
          </rPr>
          <t xml:space="preserve">i (Baltijos pr. 20, Baltijos pr.6, Baltijos pr. 10, Šilutės pl. ties AB „Klaipėdos energija“, Taikos pr. ties Žvejų rūmais)
</t>
        </r>
      </text>
    </comment>
    <comment ref="N167" authorId="0" shapeId="0">
      <text>
        <r>
          <rPr>
            <sz val="9"/>
            <color indexed="81"/>
            <rFont val="Tahoma"/>
            <family val="2"/>
            <charset val="186"/>
          </rPr>
          <t xml:space="preserve">Planuojama vietoj senų susidevėjusių kellio ženklų stovų pakeisti naujus, taip pat bus keičiami stovai prie nederančio naujai įrengto apšvietimo centinėse miesto gatvėse
</t>
        </r>
      </text>
    </comment>
    <comment ref="N173" authorId="0" shapeId="0">
      <text>
        <r>
          <rPr>
            <sz val="9"/>
            <color indexed="81"/>
            <rFont val="Tahoma"/>
            <family val="2"/>
            <charset val="186"/>
          </rPr>
          <t>Pagal projektą "Informacinės kelio ženklų sistemos įrengimas", pabaiga 2018 m.</t>
        </r>
      </text>
    </comment>
    <comment ref="K182" authorId="0" shapeId="0">
      <text>
        <r>
          <rPr>
            <sz val="9"/>
            <color indexed="81"/>
            <rFont val="Tahoma"/>
            <family val="2"/>
            <charset val="186"/>
          </rPr>
          <t>Patobulinta ir ekploatuojama programėlė (su start/stop funkcija) išmaniesiems įrenginiais stovėjimo mokesčiui apmokėti, 12 tūkst. eur SB(VR);</t>
        </r>
      </text>
    </comment>
    <comment ref="F187"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N188"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F190" authorId="0" shapeId="0">
      <text>
        <r>
          <rPr>
            <b/>
            <sz val="9"/>
            <color indexed="81"/>
            <rFont val="Tahoma"/>
            <family val="2"/>
            <charset val="186"/>
          </rPr>
          <t>P2, Klaipėdos miesto darnaus judumo planas (2018-09-13, T2-185)</t>
        </r>
      </text>
    </comment>
    <comment ref="F192"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N192" authorId="0" shapeId="0">
      <text>
        <r>
          <rPr>
            <sz val="9"/>
            <color indexed="81"/>
            <rFont val="Tahoma"/>
            <family val="2"/>
            <charset val="186"/>
          </rPr>
          <t>2021 m. numatyta suma iš KVJUD lėšų - sutarties projektą planuojama pradėti rengti 2020 m.</t>
        </r>
      </text>
    </comment>
    <comment ref="F197"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F200"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F203"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F204"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P204" authorId="0" shapeId="0">
      <text>
        <r>
          <rPr>
            <b/>
            <sz val="9"/>
            <color indexed="81"/>
            <rFont val="Tahoma"/>
            <family val="2"/>
            <charset val="186"/>
          </rPr>
          <t>2018 m. įrengtos 6 elektromobilių stotelės:</t>
        </r>
        <r>
          <rPr>
            <sz val="9"/>
            <color indexed="81"/>
            <rFont val="Tahoma"/>
            <family val="2"/>
            <charset val="186"/>
          </rPr>
          <t xml:space="preserve">
1. Prie Park&amp;Ride ligoninių komplekso, 1 vnt.
2. Prie Klaipėdos miesto savivaldybės administracijos pastato iš Vytauto ir Liepų g. pusės, 2 vnt.
     3. Prie LIDL p c., ties Sendvario žiedu, 1 vnt.
     4. Piliavietės aikštelėje, 2 vnt.
     5. Dar 2 stotelės įrengtos Smiltynėje, bet dar neperduotos eksploatuoti.
     6. </t>
        </r>
        <r>
          <rPr>
            <b/>
            <sz val="9"/>
            <color indexed="81"/>
            <rFont val="Tahoma"/>
            <family val="2"/>
            <charset val="186"/>
          </rPr>
          <t xml:space="preserve">2019 m. </t>
        </r>
        <r>
          <rPr>
            <sz val="9"/>
            <color indexed="81"/>
            <rFont val="Tahoma"/>
            <family val="2"/>
            <charset val="186"/>
          </rPr>
          <t xml:space="preserve">planuojamos įrengti 3 vnt. greitos įkrovimo elektromobilių stotelės, kurių įrengimą organizuoja LR susisiekimo ministerija. Klaipėdos mieste tokios stotelės turėtų atsirasti: Vingio g. gale esančioje automobilių statymo aikštelėje, Naujojo turgaus aikštelėje ir šalia Klaipėdos autobusų stoties esančioje automobilių statymo aikštelėje.
</t>
        </r>
      </text>
    </comment>
    <comment ref="P213" authorId="0" shapeId="0">
      <text>
        <r>
          <rPr>
            <b/>
            <sz val="9"/>
            <color indexed="81"/>
            <rFont val="Tahoma"/>
            <family val="2"/>
            <charset val="186"/>
          </rPr>
          <t>59 445 kv.m</t>
        </r>
        <r>
          <rPr>
            <sz val="9"/>
            <color indexed="81"/>
            <rFont val="Tahoma"/>
            <family val="2"/>
            <charset val="186"/>
          </rPr>
          <t xml:space="preserve">
</t>
        </r>
      </text>
    </comment>
    <comment ref="L221" authorId="0" shapeId="0">
      <text>
        <r>
          <rPr>
            <b/>
            <sz val="9"/>
            <color indexed="81"/>
            <rFont val="Tahoma"/>
            <family val="2"/>
            <charset val="186"/>
          </rPr>
          <t>permesta 250 tūkst. eur.</t>
        </r>
        <r>
          <rPr>
            <sz val="9"/>
            <color indexed="81"/>
            <rFont val="Tahoma"/>
            <family val="2"/>
            <charset val="186"/>
          </rPr>
          <t xml:space="preserve">
S. Daukanto gatvės rekonstrukcija nuo H. Manto iki Naujojo Uosto g.</t>
        </r>
      </text>
    </comment>
    <comment ref="Q221" authorId="0" shapeId="0">
      <text>
        <r>
          <rPr>
            <b/>
            <sz val="9"/>
            <color indexed="81"/>
            <rFont val="Tahoma"/>
            <family val="2"/>
            <charset val="186"/>
          </rPr>
          <t xml:space="preserve">78 500 kv.m </t>
        </r>
        <r>
          <rPr>
            <sz val="9"/>
            <color indexed="81"/>
            <rFont val="Tahoma"/>
            <family val="2"/>
            <charset val="186"/>
          </rPr>
          <t xml:space="preserve">
</t>
        </r>
      </text>
    </comment>
    <comment ref="P236" authorId="0" shapeId="0">
      <text>
        <r>
          <rPr>
            <sz val="9"/>
            <color indexed="81"/>
            <rFont val="Tahoma"/>
            <family val="2"/>
            <charset val="186"/>
          </rPr>
          <t xml:space="preserve">1 530 kv.m 
</t>
        </r>
      </text>
    </comment>
    <comment ref="P237" authorId="0" shapeId="0">
      <text>
        <r>
          <rPr>
            <sz val="9"/>
            <color indexed="81"/>
            <rFont val="Tahoma"/>
            <family val="2"/>
            <charset val="186"/>
          </rPr>
          <t xml:space="preserve">44 875 kv.m
</t>
        </r>
      </text>
    </comment>
    <comment ref="P238" authorId="0" shapeId="0">
      <text>
        <r>
          <rPr>
            <sz val="9"/>
            <color indexed="81"/>
            <rFont val="Tahoma"/>
            <family val="2"/>
            <charset val="186"/>
          </rPr>
          <t xml:space="preserve">13 338 kv.m
</t>
        </r>
      </text>
    </comment>
    <comment ref="N239" authorId="0" shapeId="0">
      <text>
        <r>
          <rPr>
            <sz val="9"/>
            <color indexed="81"/>
            <rFont val="Tahoma"/>
            <family val="2"/>
            <charset val="186"/>
          </rPr>
          <t xml:space="preserve">kasmet susidaro apie 120 kiemų
</t>
        </r>
      </text>
    </comment>
    <comment ref="P239" authorId="0" shapeId="0">
      <text>
        <r>
          <rPr>
            <sz val="9"/>
            <color indexed="81"/>
            <rFont val="Tahoma"/>
            <family val="2"/>
            <charset val="186"/>
          </rPr>
          <t>18 180 kv.m</t>
        </r>
      </text>
    </comment>
    <comment ref="P245" authorId="0" shapeId="0">
      <text>
        <r>
          <rPr>
            <sz val="9"/>
            <color indexed="81"/>
            <rFont val="Tahoma"/>
            <family val="2"/>
            <charset val="186"/>
          </rPr>
          <t xml:space="preserve">5900 kv.m
</t>
        </r>
      </text>
    </comment>
    <comment ref="N246" authorId="0" shapeId="0">
      <text>
        <r>
          <rPr>
            <b/>
            <sz val="9"/>
            <color indexed="81"/>
            <rFont val="Tahoma"/>
            <family val="2"/>
            <charset val="186"/>
          </rPr>
          <t xml:space="preserve">2019 m. </t>
        </r>
        <r>
          <rPr>
            <sz val="9"/>
            <color indexed="81"/>
            <rFont val="Tahoma"/>
            <family val="2"/>
            <charset val="186"/>
          </rPr>
          <t xml:space="preserve">
Senamiesčio gatvės 
Ligoninės g.
Vytauto g.
Gedminų g.
Pievų tako g.
Jurginų g.
Poilsio g.
Medžiotojų g.
Naikupės g.
Tilžės g.
</t>
        </r>
      </text>
    </comment>
    <comment ref="P246" authorId="0" shapeId="0">
      <text>
        <r>
          <rPr>
            <b/>
            <sz val="9"/>
            <color indexed="81"/>
            <rFont val="Tahoma"/>
            <family val="2"/>
            <charset val="186"/>
          </rPr>
          <t>7200 kv.m</t>
        </r>
        <r>
          <rPr>
            <sz val="9"/>
            <color indexed="81"/>
            <rFont val="Tahoma"/>
            <family val="2"/>
            <charset val="186"/>
          </rPr>
          <t xml:space="preserve">
</t>
        </r>
      </text>
    </comment>
    <comment ref="Q246" authorId="0" shapeId="0">
      <text>
        <r>
          <rPr>
            <b/>
            <sz val="9"/>
            <color indexed="81"/>
            <rFont val="Tahoma"/>
            <family val="2"/>
            <charset val="186"/>
          </rPr>
          <t>7200 kv.m</t>
        </r>
        <r>
          <rPr>
            <sz val="9"/>
            <color indexed="81"/>
            <rFont val="Tahoma"/>
            <family val="2"/>
            <charset val="186"/>
          </rPr>
          <t xml:space="preserve">
</t>
        </r>
      </text>
    </comment>
    <comment ref="R246" authorId="0" shapeId="0">
      <text>
        <r>
          <rPr>
            <b/>
            <sz val="9"/>
            <color indexed="81"/>
            <rFont val="Tahoma"/>
            <family val="2"/>
            <charset val="186"/>
          </rPr>
          <t>7200 kv.m</t>
        </r>
        <r>
          <rPr>
            <sz val="9"/>
            <color indexed="81"/>
            <rFont val="Tahoma"/>
            <family val="2"/>
            <charset val="186"/>
          </rPr>
          <t xml:space="preserve">
</t>
        </r>
      </text>
    </comment>
    <comment ref="P247" authorId="0" shapeId="0">
      <text>
        <r>
          <rPr>
            <b/>
            <sz val="9"/>
            <color indexed="81"/>
            <rFont val="Tahoma"/>
            <family val="2"/>
            <charset val="186"/>
          </rPr>
          <t>2500 kv.m</t>
        </r>
        <r>
          <rPr>
            <sz val="9"/>
            <color indexed="81"/>
            <rFont val="Tahoma"/>
            <family val="2"/>
            <charset val="186"/>
          </rPr>
          <t xml:space="preserve">
</t>
        </r>
      </text>
    </comment>
    <comment ref="P249" authorId="0" shapeId="0">
      <text>
        <r>
          <rPr>
            <b/>
            <sz val="9"/>
            <color indexed="81"/>
            <rFont val="Tahoma"/>
            <family val="2"/>
            <charset val="186"/>
          </rPr>
          <t>1900 kv.m</t>
        </r>
        <r>
          <rPr>
            <sz val="9"/>
            <color indexed="81"/>
            <rFont val="Tahoma"/>
            <family val="2"/>
            <charset val="186"/>
          </rPr>
          <t xml:space="preserve">
</t>
        </r>
      </text>
    </comment>
    <comment ref="N250" authorId="0" shapeId="0">
      <text>
        <r>
          <rPr>
            <sz val="9"/>
            <color indexed="81"/>
            <rFont val="Tahoma"/>
            <family val="2"/>
            <charset val="186"/>
          </rPr>
          <t>Miesto ūkio ir aplinkosaugos komiteto pastaba 2019-01-25 TAR-5</t>
        </r>
      </text>
    </comment>
    <comment ref="O253"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P253" authorId="0" shapeId="0">
      <text>
        <r>
          <rPr>
            <b/>
            <sz val="9"/>
            <color indexed="81"/>
            <rFont val="Tahoma"/>
            <family val="2"/>
            <charset val="186"/>
          </rPr>
          <t>UKD - 7 bendrojo ugdymo mokyklos; 7 lopšeliai darželiai:</t>
        </r>
        <r>
          <rPr>
            <sz val="9"/>
            <color indexed="81"/>
            <rFont val="Tahoma"/>
            <family val="2"/>
            <charset val="186"/>
          </rPr>
          <t xml:space="preserve">
"Saulutė" mokykla-darželis.Saulutės"  mokykla-darželis
L/d "Berželis"
 L/d "Vėrinėlis"
L/d "Atžalynas" 
L/d "Bangelė"
L/d "Pakalnutė"
L/d "Linelis"
Vitės progimnazija 
"Žaliakalnio" gimnazija
"Gabijos" progimnazija
"Versmės"  progimnazija
"Ąžuolyno" gimnazija
"Vyturio" progimnazija
Martyno Mažvydo progimnazija
</t>
        </r>
        <r>
          <rPr>
            <b/>
            <sz val="9"/>
            <color indexed="81"/>
            <rFont val="Tahoma"/>
            <family val="2"/>
            <charset val="186"/>
          </rPr>
          <t>SRD - 1 įstaig:</t>
        </r>
        <r>
          <rPr>
            <sz val="9"/>
            <color indexed="81"/>
            <rFont val="Tahoma"/>
            <family val="2"/>
            <charset val="186"/>
          </rPr>
          <t xml:space="preserve">
1. BĮ Klaipėdos vaikų globos namuose „Smiltelė“ kelio dangos remontas, kv m 23,1 tūkst. Eur;
</t>
        </r>
      </text>
    </comment>
    <comment ref="Q253" authorId="0" shapeId="0">
      <text>
        <r>
          <rPr>
            <b/>
            <sz val="9"/>
            <color indexed="81"/>
            <rFont val="Tahoma"/>
            <family val="2"/>
            <charset val="186"/>
          </rPr>
          <t>12 vnt.:</t>
        </r>
        <r>
          <rPr>
            <sz val="9"/>
            <color indexed="81"/>
            <rFont val="Tahoma"/>
            <family val="2"/>
            <charset val="186"/>
          </rPr>
          <t xml:space="preserve">
Vydūno gimnazija
"Vėtrungės" gimnazija
Maksimo Gorkio progimnazija
Klaipėdos suaugusiųjų gimnazija
"Verdenės"  progimnazija
L/d "Žemuogėlė"
L/d "Inkarėlis"
L/d "Aitvarėlis"
L/d "Radastėlė"
Lopšelis-darželis "Žuvėdra"
Lopšelis-darželis "Šermukšnėlė"
Jeronimo Kačinsko muzikos mokykla
</t>
        </r>
      </text>
    </comment>
    <comment ref="R253" authorId="0" shapeId="0">
      <text>
        <r>
          <rPr>
            <b/>
            <sz val="9"/>
            <color indexed="81"/>
            <rFont val="Tahoma"/>
            <family val="2"/>
            <charset val="186"/>
          </rPr>
          <t>6 vnt.</t>
        </r>
        <r>
          <rPr>
            <sz val="9"/>
            <color indexed="81"/>
            <rFont val="Tahoma"/>
            <family val="2"/>
            <charset val="186"/>
          </rPr>
          <t xml:space="preserve">
Lopšelis-darželis  "Giliukas"
Darželis "Gintarėlis"
Lopšelis-darželis "Eglutė"
"Varpo" gimnazija
"Verdenės"  progimnazija
Vytauto Didžiojo gimnazija
</t>
        </r>
      </text>
    </comment>
    <comment ref="E260" authorId="0" shapeId="0">
      <text>
        <r>
          <rPr>
            <sz val="9"/>
            <color indexed="81"/>
            <rFont val="Tahoma"/>
            <family val="2"/>
            <charset val="186"/>
          </rPr>
          <t>parkavimo vietų subraižymas, žaliųjų vejų ir skverų sutvarkymas</t>
        </r>
      </text>
    </comment>
    <comment ref="Q260" authorId="0" shapeId="0">
      <text>
        <r>
          <rPr>
            <b/>
            <sz val="9"/>
            <color indexed="81"/>
            <rFont val="Tahoma"/>
            <family val="2"/>
            <charset val="186"/>
          </rPr>
          <t>Techninis projektas</t>
        </r>
        <r>
          <rPr>
            <sz val="9"/>
            <color indexed="81"/>
            <rFont val="Tahoma"/>
            <family val="2"/>
            <charset val="186"/>
          </rPr>
          <t xml:space="preserve">
Įvažiavimo kelio ir šalia esančio skvero į Taikos pr. 109 ;</t>
        </r>
      </text>
    </comment>
    <comment ref="R260" authorId="0" shapeId="0">
      <text>
        <r>
          <rPr>
            <b/>
            <sz val="9"/>
            <color indexed="81"/>
            <rFont val="Tahoma"/>
            <family val="2"/>
            <charset val="186"/>
          </rPr>
          <t>Techniniai projektai:</t>
        </r>
        <r>
          <rPr>
            <sz val="9"/>
            <color indexed="81"/>
            <rFont val="Tahoma"/>
            <family val="2"/>
            <charset val="186"/>
          </rPr>
          <t xml:space="preserve">
</t>
        </r>
        <r>
          <rPr>
            <b/>
            <sz val="9"/>
            <color indexed="81"/>
            <rFont val="Tahoma"/>
            <family val="2"/>
            <charset val="186"/>
          </rPr>
          <t>1</t>
        </r>
        <r>
          <rPr>
            <sz val="9"/>
            <color indexed="81"/>
            <rFont val="Tahoma"/>
            <family val="2"/>
            <charset val="186"/>
          </rPr>
          <t xml:space="preserve">. Įvažiavimo kelio į Taikos pr. 101; </t>
        </r>
        <r>
          <rPr>
            <b/>
            <sz val="9"/>
            <color indexed="81"/>
            <rFont val="Tahoma"/>
            <family val="2"/>
            <charset val="186"/>
          </rPr>
          <t>2</t>
        </r>
        <r>
          <rPr>
            <sz val="9"/>
            <color indexed="81"/>
            <rFont val="Tahoma"/>
            <family val="2"/>
            <charset val="186"/>
          </rPr>
          <t xml:space="preserve">. Įvažiavimo kelio  į Debreceno g. 61. </t>
        </r>
      </text>
    </comment>
    <comment ref="J279" authorId="0" shapeId="0">
      <text>
        <r>
          <rPr>
            <b/>
            <sz val="9"/>
            <color indexed="81"/>
            <rFont val="Tahoma"/>
            <family val="2"/>
            <charset val="186"/>
          </rPr>
          <t xml:space="preserve">18063,2
</t>
        </r>
        <r>
          <rPr>
            <sz val="9"/>
            <color indexed="81"/>
            <rFont val="Tahoma"/>
            <family val="2"/>
            <charset val="186"/>
          </rPr>
          <t xml:space="preserve">
</t>
        </r>
      </text>
    </comment>
    <comment ref="J285" authorId="0" shapeId="0">
      <text>
        <r>
          <rPr>
            <b/>
            <sz val="9"/>
            <color indexed="81"/>
            <rFont val="Tahoma"/>
            <family val="2"/>
            <charset val="186"/>
          </rPr>
          <t xml:space="preserve">3991,4+7,7 papildomas KPPP reservas
</t>
        </r>
      </text>
    </comment>
  </commentList>
</comments>
</file>

<file path=xl/sharedStrings.xml><?xml version="1.0" encoding="utf-8"?>
<sst xmlns="http://schemas.openxmlformats.org/spreadsheetml/2006/main" count="1685" uniqueCount="381">
  <si>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</si>
  <si>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</si>
  <si>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</si>
  <si>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</si>
  <si>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</si>
  <si>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</si>
  <si>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</si>
  <si>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</si>
  <si>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</si>
  <si>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</si>
  <si>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</si>
  <si>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</si>
  <si>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</si>
  <si>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</si>
  <si>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</si>
  <si>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</si>
  <si>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</si>
  <si>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</si>
  <si>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</si>
  <si>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</si>
  <si>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</si>
  <si>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</si>
  <si>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</si>
  <si>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</si>
  <si>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</si>
  <si>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</si>
  <si>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</si>
  <si>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Papriemonės kodas</t>
  </si>
  <si>
    <t>03</t>
  </si>
  <si>
    <t>SUSISIEKIMO SISTEMOS PRIEŽIŪROS IR PLĖTROS PROGRAMOS (NR. 06)</t>
  </si>
  <si>
    <t>Didinti gatvių tinklo pralaidumą ir užtikrinti jų tankumą</t>
  </si>
  <si>
    <t>Rekonstruoti ir tiesti gatves</t>
  </si>
  <si>
    <t xml:space="preserve"> Užtikrinti patogios viešojo transporto sistemos funkcionavimą</t>
  </si>
  <si>
    <t>04</t>
  </si>
  <si>
    <t>05</t>
  </si>
  <si>
    <t>06</t>
  </si>
  <si>
    <t>07</t>
  </si>
  <si>
    <t>6</t>
  </si>
  <si>
    <t>Eksploatuojama šviesoforų, vnt.</t>
  </si>
  <si>
    <t>Tiltų ir kelio statinių priežiūra</t>
  </si>
  <si>
    <t>Suremontuota asfaltbetonio dangos duobių gatvėse, ha</t>
  </si>
  <si>
    <t>Parduota lengvatinių bilietų, mln. vnt.</t>
  </si>
  <si>
    <t>Viešojo transporto priežiūros ir paslaugų kokybės kontroliavimas</t>
  </si>
  <si>
    <t>5</t>
  </si>
  <si>
    <t>ES</t>
  </si>
  <si>
    <t>Kt</t>
  </si>
  <si>
    <t>Parengtas techninis projektas, vnt.</t>
  </si>
  <si>
    <t>I</t>
  </si>
  <si>
    <t>KVJUD</t>
  </si>
  <si>
    <t>Centrinės miesto dalies gatvių tinklo modernizavimas:</t>
  </si>
  <si>
    <t>Šiaurinės miesto dalies gatvių tinklo modernizavimas:</t>
  </si>
  <si>
    <t>Pajūrio rekreacinių teritorijų gatvių tinklo modernizavimas:</t>
  </si>
  <si>
    <t>Transporto kompensacijų mokėjimas:</t>
  </si>
  <si>
    <t>Asfaltuotų daugiabučių kiemų dangų remontas</t>
  </si>
  <si>
    <t>Patikrinta viešojo transporto priemonių, tūkst. vnt.</t>
  </si>
  <si>
    <t>1</t>
  </si>
  <si>
    <t>Viešojo transporto paslaugų organizavimas:</t>
  </si>
  <si>
    <t xml:space="preserve">Iš viso  programai:  </t>
  </si>
  <si>
    <t>Pajūrio g. rekonstravimas</t>
  </si>
  <si>
    <t>Pamario gatvės rekonstravimas</t>
  </si>
  <si>
    <t>SB(L)</t>
  </si>
  <si>
    <t>Strateginis tikslas 02. Kurti mieste patrauklią, švarią ir saugią gyvenamąją aplinką</t>
  </si>
  <si>
    <t>Vykdytojas (skyrius / asmuo)</t>
  </si>
  <si>
    <t>Viešosios tvarkos skyrius</t>
  </si>
  <si>
    <t>Miesto gatvių ženklinimas</t>
  </si>
  <si>
    <t>Prižiūrima žvyruotos dangos, ha</t>
  </si>
  <si>
    <t>Paklota ištisinio asfaltbetonio dangos, ha</t>
  </si>
  <si>
    <t>Eksploatuojama prietaisų, vnt.</t>
  </si>
  <si>
    <t>SB(VR)</t>
  </si>
  <si>
    <r>
      <t xml:space="preserve">Vietinių rinkliavų lėšos </t>
    </r>
    <r>
      <rPr>
        <b/>
        <sz val="10"/>
        <rFont val="Times New Roman"/>
        <family val="1"/>
        <charset val="186"/>
      </rPr>
      <t>SB(VR)</t>
    </r>
  </si>
  <si>
    <t>IED Statybos ir infrastruktūros plėtros skyrius</t>
  </si>
  <si>
    <t xml:space="preserve">IED Projektų skyrius </t>
  </si>
  <si>
    <t>Bendri KVJUD ir miesto projektai:</t>
  </si>
  <si>
    <t>MŪD Transporto skyrius</t>
  </si>
  <si>
    <t>MŪD Miesto tvarkymo skyrius</t>
  </si>
  <si>
    <t>SB(VRL)</t>
  </si>
  <si>
    <t>P2.1.2.9</t>
  </si>
  <si>
    <t>Topografinių nuotraukų, išpildomųjų geodezinių nuotraukų įsigijimas, statinių projektų ekspertizių bei kitos inžinerinės paslaugos</t>
  </si>
  <si>
    <t xml:space="preserve"> - vežėjams už lengvatas turinčių keleivių vežimą</t>
  </si>
  <si>
    <t xml:space="preserve"> - moksleiviams</t>
  </si>
  <si>
    <t xml:space="preserve"> - profesinių mokyklų moksleiviams</t>
  </si>
  <si>
    <t>Įrengta ir pakeista informacinių ženklų, tūkst. vnt.</t>
  </si>
  <si>
    <t>Suženklinta gatvių, ha</t>
  </si>
  <si>
    <t>Eksploatuojama greičio matuoklių, vnt.</t>
  </si>
  <si>
    <t>Parengtas paviljono su aikštele techninis projektas, vnt.</t>
  </si>
  <si>
    <t>Medžiagų tyrimas ir kontroliniai bandymai</t>
  </si>
  <si>
    <t>2.1.2.14</t>
  </si>
  <si>
    <t>2.1.2.11</t>
  </si>
  <si>
    <t>2.1.2.15</t>
  </si>
  <si>
    <t>2.1.2.13</t>
  </si>
  <si>
    <t>2.1.2.2</t>
  </si>
  <si>
    <t>2.1.2.12</t>
  </si>
  <si>
    <t xml:space="preserve">Savivaldybės biudžetas, iš jo: </t>
  </si>
  <si>
    <t xml:space="preserve">Parengtas techninis projektas, vnt. </t>
  </si>
  <si>
    <t>Planas</t>
  </si>
  <si>
    <t>Rytų ir vakarų krypties gatvių tinklo modernizavimas:</t>
  </si>
  <si>
    <t>Šiaurės ir pietų transporto koridorių gatvių tinklo modernizavimas:</t>
  </si>
  <si>
    <r>
      <rPr>
        <sz val="10"/>
        <rFont val="Times New Roman"/>
        <family val="1"/>
        <charset val="186"/>
      </rPr>
      <t>Vietinių rinkliavų likučio lėšos</t>
    </r>
    <r>
      <rPr>
        <b/>
        <sz val="10"/>
        <rFont val="Times New Roman"/>
        <family val="1"/>
        <charset val="186"/>
      </rPr>
      <t xml:space="preserve"> SB(VRL)</t>
    </r>
  </si>
  <si>
    <r>
      <t xml:space="preserve">Žemės pardavimų likučio lėšos </t>
    </r>
    <r>
      <rPr>
        <b/>
        <sz val="10"/>
        <rFont val="Times New Roman"/>
        <family val="1"/>
        <charset val="186"/>
      </rPr>
      <t>SB(ŽPL)</t>
    </r>
  </si>
  <si>
    <t>SB(ŽPL)</t>
  </si>
  <si>
    <t>SB(KPP)</t>
  </si>
  <si>
    <t>2018-ieji metai</t>
  </si>
  <si>
    <t>MŪD Miesto tvarkymo sk.</t>
  </si>
  <si>
    <t xml:space="preserve">Ištisinio asfaltbetonio dangos remontas: </t>
  </si>
  <si>
    <t>Kiemų ir privažiuojamųjų kelių  prie biudžetinių įstaigų dangos remontas</t>
  </si>
  <si>
    <t>Asfaltbetonio dangos, žvyruotos dangos ir akmenimis grįstų miesto gatvių dangos remontas</t>
  </si>
  <si>
    <t>Ištisinio asfaltbetonio dangos įrengimas miesto gatvėse ir kiemuose:</t>
  </si>
  <si>
    <t>Eismo reguliavimo infrastruktūros eksploatacija ir įrengimas</t>
  </si>
  <si>
    <t>Mokamo automobilių stovėjimo sistemos mieste kūrimas ir išlaikymas</t>
  </si>
  <si>
    <t>Eismo srautų reguliavimo ir saugumo priemonių įgyvendinimas:</t>
  </si>
  <si>
    <t>2.1.2.8</t>
  </si>
  <si>
    <t>tūkst. Eur</t>
  </si>
  <si>
    <t xml:space="preserve">Diegti eismo srautų reguliavimo ir saugumo priemones </t>
  </si>
  <si>
    <t xml:space="preserve">Eksploatuojama eismo reguliavimo priemonių, tūkst. vnt. </t>
  </si>
  <si>
    <t>P2.1.2.3</t>
  </si>
  <si>
    <t xml:space="preserve">Susisiekimo sistemos objektų pritaikymas neįgaliesiems  </t>
  </si>
  <si>
    <t xml:space="preserve">IED Statybos ir infrastruk. plėtros sk. </t>
  </si>
  <si>
    <t>IED Statybos ir infrastruktūros plėtros sk.</t>
  </si>
  <si>
    <t>MŪD Transporto sk.</t>
  </si>
  <si>
    <t>Aiškinamojo rašto priedas Nr.3</t>
  </si>
  <si>
    <t>2019-ieji metai</t>
  </si>
  <si>
    <t>Klaipėdos miesto viešojo transporto atnaujinimas (autobusų įsigijimas)</t>
  </si>
  <si>
    <t>Klaipėdos miesto viešojo transporto švieslenčių ir informacinių švieslenčių įrengimas ir atnaujinimas</t>
  </si>
  <si>
    <t xml:space="preserve">Įrengta švieslenčių miesto autobusų stotelėse, vnt.  </t>
  </si>
  <si>
    <t>Suorganizuota renginių, vnt.</t>
  </si>
  <si>
    <t>P2.1.2.5</t>
  </si>
  <si>
    <t>Parengtas projektinis pasiūlymas, vnt.</t>
  </si>
  <si>
    <r>
      <rPr>
        <b/>
        <sz val="10"/>
        <rFont val="Times New Roman"/>
        <family val="1"/>
        <charset val="186"/>
      </rPr>
      <t>II etapas.</t>
    </r>
    <r>
      <rPr>
        <sz val="10"/>
        <rFont val="Times New Roman"/>
        <family val="1"/>
        <charset val="186"/>
      </rPr>
      <t xml:space="preserve"> Žiedinės Tilžės g., Mokyklos g. ir Šilutės pl. sankryžos pertvarkymas į šviesoforinę </t>
    </r>
  </si>
  <si>
    <t>IED  Statybos ir infrastruktūros plėtros skyrius</t>
  </si>
  <si>
    <t>Kombinuotų kelionių jungčių (PARK&amp;RIDE) įrengimas (šiaurinėje miesto dalyje)</t>
  </si>
  <si>
    <t>Įdiegta transporto valdymo sistema. Užbaigtumas, proc.</t>
  </si>
  <si>
    <t>50</t>
  </si>
  <si>
    <t>Viešojo transporto (autobusų ir maršrutinių taksi) integravimo sistemos įrangos įsigijimas ir atnaujinimas</t>
  </si>
  <si>
    <t>Baltijos pr. ir Šilutės pl. žiedinės sankryžos rekonstravimas</t>
  </si>
  <si>
    <t>- nuostolių, patirtų vežant keleivius vietinio reguliaraus susisiekimo autobusų maršrutais renginių metu, kompensavimas</t>
  </si>
  <si>
    <t>Statybininkų prospekto tęsinio tiesimas nuo Šilutės pl. per LEZ teritoriją iki 141 kelio: II etapas – Lypkių gatvės ruožo nuo Šilutės plento tiesimas</t>
  </si>
  <si>
    <t xml:space="preserve">Atlikta Šiaurinio rago teritorijoje esančios aikštelės įrengimo darbų (70 stovėjimo vietų). Užbaigtumas, proc. </t>
  </si>
  <si>
    <t>Apšviesta pėsčiųjų perėjų, vnt</t>
  </si>
  <si>
    <t xml:space="preserve">Privažiuojamojo kelio prie pastato Debreceno g. 48  įrengimas ir pastato aplinkos sutvarkymas </t>
  </si>
  <si>
    <t>Suteikta gatvių dangų, konstruktyvo ir betoninių gaminių kontrolinių bandymų paslaugų. Užbaigtumas, proc.</t>
  </si>
  <si>
    <t>Eksploatuojama bilietų automatų, vnt.</t>
  </si>
  <si>
    <t>Parengta ir patvirtinta paraiška, vnt.</t>
  </si>
  <si>
    <t>Atlikta kelio įrengimo, aplinkos sutvarkymo darbų. Užbaigtumas, proc.</t>
  </si>
  <si>
    <t>Įrengtas naujas žvejų laivams skirtas slipas (aikštelė, skirta valtims nuleisti ir ištraukti iš vandens). Užbaigtumas, proc.</t>
  </si>
  <si>
    <t xml:space="preserve">Parengtas naujo tilto su pakeliamu mechanizmu statybos techninis projektas, vnt. </t>
  </si>
  <si>
    <t>Kompensuota bilietų moksleiviams, tūkst. vnt.</t>
  </si>
  <si>
    <t>Kompensuota bilietų profesinių mokyklų moksleiviams, tūkst. vnt.</t>
  </si>
  <si>
    <t>Parengtas techninis projektas ir detaliojo plano korekcija, vnt.</t>
  </si>
  <si>
    <t xml:space="preserve">Parengtas rekonstravimo techninis projektas (ruožas nuo Atgimimo aikštės iki Laivų skersgatvio), vnt. </t>
  </si>
  <si>
    <t>Parengtas rekonstravimo techninis projektas (ruožas nuo Laivų skersgatvio iki Artojų g.), vnt.</t>
  </si>
  <si>
    <t>Parengtas rekonstravimo techninis projektas, vnt.</t>
  </si>
  <si>
    <t>Atlikta rekonstravimo darbų. Užbaigtumas, proc.</t>
  </si>
  <si>
    <t>Atlikta gatvės (1374 m ) rekonstravimo darbų. Užbaigtumas, proc.</t>
  </si>
  <si>
    <t>Įstaigų, kurių kiemuose atlikta asfalto dangos remonto darbų, skaičius</t>
  </si>
  <si>
    <t>Kūlių Vartų g. ir Bangų g., Tiltų g., Galinio Pylimo g., Taikos pr. sankryžos rekonstravimas</t>
  </si>
  <si>
    <r>
      <rPr>
        <b/>
        <sz val="10"/>
        <rFont val="Times New Roman"/>
        <family val="1"/>
        <charset val="186"/>
      </rPr>
      <t xml:space="preserve">I etapas. </t>
    </r>
    <r>
      <rPr>
        <sz val="10"/>
        <rFont val="Times New Roman"/>
        <family val="1"/>
        <charset val="186"/>
      </rPr>
      <t>Tilžės g. nuo Šilutės pl. iki geležinkelio pervažos rekonstravimas</t>
    </r>
  </si>
  <si>
    <t xml:space="preserve">Klaipėdos miesto gatvių pėsčiųjų perėjų kryptinis apšvietimas </t>
  </si>
  <si>
    <t>Parengtas II etapo techninis projektas (Klaipėdos g., Virkučių g., Slengių g., Lietaus g., Vaivorykštės g., Griaustinio g. ir Arimų g.), vnt.</t>
  </si>
  <si>
    <t>Maršruto „Klaipėdos autobusų stotis–Palangos oro uostas“ kursavimas</t>
  </si>
  <si>
    <t>Kompensuota nuostolingų maršrutų, vnt.</t>
  </si>
  <si>
    <r>
      <t xml:space="preserve">Europos Sąjungos paramos lėšos, kurios įtrauktos į Savivaldybės biudžetą </t>
    </r>
    <r>
      <rPr>
        <b/>
        <sz val="10"/>
        <rFont val="Times New Roman"/>
        <family val="1"/>
        <charset val="186"/>
      </rPr>
      <t>SB(ES)</t>
    </r>
  </si>
  <si>
    <t>Įrengta pėsčiųjų ir dviračių takų palei Liepojos g. nuo Dragūnų kvartalo iki Savanorių g. Užbaigtumas, proc.</t>
  </si>
  <si>
    <t>Elektromobilių įkrovimo stotelių įrengimas  Klaipėdos mieste</t>
  </si>
  <si>
    <t xml:space="preserve">Nuostolių kompensacijų mokėjimas: </t>
  </si>
  <si>
    <r>
      <t xml:space="preserve">patirtų vykdant keleivinio kelių transporto viešųjų paslaugų </t>
    </r>
    <r>
      <rPr>
        <sz val="10"/>
        <rFont val="Times New Roman"/>
        <family val="1"/>
        <charset val="186"/>
      </rPr>
      <t>vežant keleivius vietinio (miesto) reguliaraus susisiekimo autobusų maršrutais</t>
    </r>
  </si>
  <si>
    <t>patirtų įgyvendinant ES Sanglaudos fondų finansuojamus ekologiškų viešojo transporto  priemonių įsigijimo projektus</t>
  </si>
  <si>
    <t>Parengta galimybių studija, vnt.</t>
  </si>
  <si>
    <t>2020-ųjų metų lėšų projektas</t>
  </si>
  <si>
    <t>2020-ieji metai</t>
  </si>
  <si>
    <t>Atlikta gatvės tiesimo darbų. Užbaigtumas, proc.</t>
  </si>
  <si>
    <t>2.1.2.2.</t>
  </si>
  <si>
    <t>IED Projektų skyrius</t>
  </si>
  <si>
    <r>
      <t xml:space="preserve">Programų lėšų likučių lėšos </t>
    </r>
    <r>
      <rPr>
        <b/>
        <sz val="10"/>
        <rFont val="Times New Roman"/>
        <family val="1"/>
        <charset val="186"/>
      </rPr>
      <t xml:space="preserve">SB(L) </t>
    </r>
  </si>
  <si>
    <t xml:space="preserve"> Atlikti kasmetinius miesto susisiekimo infrastruktūros objektų priežiūros ir įrengimo darbus</t>
  </si>
  <si>
    <t>Naujų ekologiškų viešojo transporto ir  alternatyvaus judėjimo projektų įgyvendinimas:</t>
  </si>
  <si>
    <t>2018 m.</t>
  </si>
  <si>
    <t>Vingio g. nuo Smiltelės g. ir Jūrininkų pr. (darbai);</t>
  </si>
  <si>
    <t>Šturmanų g.;</t>
  </si>
  <si>
    <t>Sausio 15-osios g. - nuo Taikos pr. iki Tilžės g. (tikslinės teritorijos ribose);</t>
  </si>
  <si>
    <t xml:space="preserve">Taikos pr.  - nuo Sausio 15-osios g. iki Kauno g. (tikslinės teritorijos ribose); </t>
  </si>
  <si>
    <t>Šermukšnių g.;</t>
  </si>
  <si>
    <t>2019 m.</t>
  </si>
  <si>
    <t>2020 m.</t>
  </si>
  <si>
    <t>Joniškės g.- nuo Klaipėdos baldų iki Bangų g.;</t>
  </si>
  <si>
    <t>Gedminų g. (su šaligatviais);</t>
  </si>
  <si>
    <t>Baltijos pr. nuo Taikos pr. iki Šilutės pl. viena pusė;</t>
  </si>
  <si>
    <t>Statybininkų pr. - Nuo Taikos pr. iki Minijos g. ir žiedas (Taikos pr.);</t>
  </si>
  <si>
    <t>S. Šimkaus g.;</t>
  </si>
  <si>
    <t>I. Simonaitytės g.;</t>
  </si>
  <si>
    <t>Jurginų g.;</t>
  </si>
  <si>
    <t>Malūnininkų g.;</t>
  </si>
  <si>
    <t>Subsidijuojamų maršrutų skaičius:</t>
  </si>
  <si>
    <t>2</t>
  </si>
  <si>
    <t>Atliktas gatvių – Akmenų g. (405 m), Vėjo g. (1373 m), Smėlio g. (960 m) ir Debesų g. (890 m) rekonstravimas. Užbaigtumas, proc.</t>
  </si>
  <si>
    <t>Atliktas gatvių –  Klaipėdos g. (500 m) ir Virkučių g. (1004 m) rekonstravimas. Užbaigtumas, proc.</t>
  </si>
  <si>
    <t>Atliktas gatvių – Slengių g., Lietaus g., Vaivorykštės g., Griaustinio g. ,Arimų g., Vėjo g. (II dalies), Žvaigždžių g. rekonstravimas. Užbaigtumas, proc.</t>
  </si>
  <si>
    <t>Atlikta gatvės (600 m) rekonstravimo darbų.
Užbaigtumas, proc.</t>
  </si>
  <si>
    <t>Atlikta žiedinės sankryžos rekonstravimo darbų. Užbaigtumas, proc.</t>
  </si>
  <si>
    <t>Atlikta Pamario g. (4400 m) rekonstravimo darbų (II-IV etapai). Užbaigtumas, proc.</t>
  </si>
  <si>
    <t>Atlikta prospekto atkarpos rekonstravimo darbų.  Užbaigtumas, proc.</t>
  </si>
  <si>
    <t>10</t>
  </si>
  <si>
    <t>08</t>
  </si>
  <si>
    <t>Kelio Klaipėda-Kretinga Nr. 168 (Medelyno g.) rekonstravimas</t>
  </si>
  <si>
    <t>Elektra varomo viešojo transporto naujų galimybių plėtra (DEPO), ELENA</t>
  </si>
  <si>
    <t>Parengtas tramvajaus ir elektrinių autobusų pirkimo strategijos dokumentų paketas, vnt.</t>
  </si>
  <si>
    <t>Įrengta elektromobilių įkrovimo prieigų, vnt.</t>
  </si>
  <si>
    <t>MŪD  Transporto sk.</t>
  </si>
  <si>
    <t>Įdiegta dviračių saugojimo (angl. bike-storing) sistema, vnt.</t>
  </si>
  <si>
    <t>Lengvųjų automobilių taksi  ženklinimo  sprendinių projekto parengimas</t>
  </si>
  <si>
    <t>Parengtas ženklinimo sprendinių projektas, vnt.</t>
  </si>
  <si>
    <t>Transporto skyrius</t>
  </si>
  <si>
    <t>Įrengta elektros įvadų švieslenčių įrengimui, vnt.</t>
  </si>
  <si>
    <t>Tauralaukio gyvenvietės gatvių rekonstravimas</t>
  </si>
  <si>
    <t xml:space="preserve">Jūrininkų prospekto atkarpos nuo Šilutės pl. iki Minijos g. rekonstrukcija </t>
  </si>
  <si>
    <r>
      <t>Danės g. rekonstravimas (siekiant racionaliai suplanuoti jungtis su Bastionų g., nauju tiltu per Danės upę ir Artojų g.)</t>
    </r>
    <r>
      <rPr>
        <sz val="10"/>
        <color rgb="FFFF0000"/>
        <rFont val="Times New Roman"/>
        <family val="1"/>
        <charset val="186"/>
      </rPr>
      <t xml:space="preserve"> </t>
    </r>
  </si>
  <si>
    <t xml:space="preserve">Naujo įvažiuojamojo kelio (Priešpilio g.) į piliavietę ir Kruizinių laivų terminalą tiesimas </t>
  </si>
  <si>
    <t xml:space="preserve">Puodžių gatvės rekonstravimas  </t>
  </si>
  <si>
    <t xml:space="preserve">Dubliuojančios gatvės nuo Šiltnamių g. iki Klaipėdos g. su pėsčiųjų ir dviračių taku ir įvažomis į Liepojos g. įrengimas                          </t>
  </si>
  <si>
    <t xml:space="preserve">Joniškės g. rekonstravimas (II etapas – nuo Klemiškės g. iki Liepų g., Šienpjovių g.) </t>
  </si>
  <si>
    <r>
      <t>Uostamiesčiai: darnaus judumo principų integravimas (PORT Cities: Integrating Sustainability, PORTIS)</t>
    </r>
    <r>
      <rPr>
        <sz val="10"/>
        <color rgb="FFFF0000"/>
        <rFont val="Times New Roman"/>
        <family val="1"/>
        <charset val="186"/>
      </rPr>
      <t xml:space="preserve"> </t>
    </r>
  </si>
  <si>
    <t>Automobilių stovėjimo aikštelės teritorijoje  Bangų g., Klaipėdoje, įrengimas</t>
  </si>
  <si>
    <t xml:space="preserve">Sodų bendrija „Vaiteliai“–„Rasa“ kursavimas </t>
  </si>
  <si>
    <t xml:space="preserve">Atlikta gatvės rekonstravimo darbų. Užbaigtumas, proc.
</t>
  </si>
  <si>
    <t>Švyturio gatvės rekonstravimas (I etapas – nuo Naujosios Uosto g. iki Malūnininkų g.)</t>
  </si>
  <si>
    <t>Parengiamieji darbai įgyvendinat gatvių rekonstrukcijos projektus:</t>
  </si>
  <si>
    <t>Ekologiškų viešojo transporto priemonių, kuriomis važiuojant patiriami nuostoliai, vnt.</t>
  </si>
  <si>
    <t>Parengtas  (I etapo) techninis projektas, vnt.</t>
  </si>
  <si>
    <t>Parengtas (II etapo) techninis projektas, vnt.</t>
  </si>
  <si>
    <t>Įsigyta naujų ekologiškų autobusų, vnt.</t>
  </si>
  <si>
    <t>Atlikta teritorijos buitinių nuotekų remonto darbų. Užbaigtumas, proc.</t>
  </si>
  <si>
    <t>Klaipėdos miestui priklausančių elektromobilių įkrovimo stotelių eksploatavimas ir priežiūra</t>
  </si>
  <si>
    <t>Senamiesčio grindinio atnaujinimas ir universalaus dizaino pritaikymas</t>
  </si>
  <si>
    <t xml:space="preserve">Parengtas investicijų projektas ir projektinis pasiūlymas, vnt. </t>
  </si>
  <si>
    <t>Įrengta neregių vedimo dangos autobusų stotelėse, vnt</t>
  </si>
  <si>
    <t>Kelio Klaipėda–Kretinga Nr. 168 (Medelyno g.) rekonstravimas</t>
  </si>
  <si>
    <t>Atlikta Pamario g. (4400 m) rekonstravimo darbų (II–IV etapai). Užbaigtumas, proc.</t>
  </si>
  <si>
    <r>
      <t xml:space="preserve">Įdiegta dviračių saugojimo (angl. </t>
    </r>
    <r>
      <rPr>
        <i/>
        <sz val="10"/>
        <rFont val="Times New Roman"/>
        <family val="1"/>
        <charset val="186"/>
      </rPr>
      <t>bike-storing</t>
    </r>
    <r>
      <rPr>
        <sz val="10"/>
        <rFont val="Times New Roman"/>
        <family val="1"/>
        <charset val="186"/>
      </rPr>
      <t>) sistema, vnt.</t>
    </r>
  </si>
  <si>
    <r>
      <t xml:space="preserve">Europos Sąjungos paramos lėšos, kurios įtrauktos į savivaldybės biudžetą </t>
    </r>
    <r>
      <rPr>
        <b/>
        <sz val="10"/>
        <rFont val="Times New Roman"/>
        <family val="1"/>
        <charset val="186"/>
      </rPr>
      <t>SB(ES)</t>
    </r>
  </si>
  <si>
    <t>Įrengta informacinių kelio ženklų, vnt.</t>
  </si>
  <si>
    <t>Lyginamasis variantas</t>
  </si>
  <si>
    <t>Paaiškinimas</t>
  </si>
  <si>
    <t>2018-ųjų metų asignavimų planas</t>
  </si>
  <si>
    <t>Skirtumas</t>
  </si>
  <si>
    <t>Siūlomas keisti 2020-ųjų metų  lėšų projektas</t>
  </si>
  <si>
    <t>Klemiškės g. rekonstravimas</t>
  </si>
  <si>
    <t>SB(ES)</t>
  </si>
  <si>
    <t xml:space="preserve">2018–2021 M. KLAIPĖDOS MIESTO SAVIVALDYBĖS     </t>
  </si>
  <si>
    <t>2021-ųjų metų lėšų projektas</t>
  </si>
  <si>
    <t>2021-ieji metai</t>
  </si>
  <si>
    <t>Eksploatuojama elektromobilių įkrovimo stotelių, vnt.</t>
  </si>
  <si>
    <t>Atliktas poveikio aplinkai vertinimo dokumentas, vnt.</t>
  </si>
  <si>
    <t>2019-ųjų metų asignavimų planas</t>
  </si>
  <si>
    <t>I, P2</t>
  </si>
  <si>
    <t>P2</t>
  </si>
  <si>
    <r>
      <t xml:space="preserve">P2.1.2.5,  </t>
    </r>
    <r>
      <rPr>
        <b/>
        <sz val="10"/>
        <rFont val="Times New Roman"/>
        <family val="1"/>
        <charset val="186"/>
      </rPr>
      <t>P2</t>
    </r>
  </si>
  <si>
    <r>
      <t xml:space="preserve">P2.1.2.7-8, </t>
    </r>
    <r>
      <rPr>
        <b/>
        <sz val="9"/>
        <rFont val="Times New Roman"/>
        <family val="1"/>
        <charset val="186"/>
      </rPr>
      <t>P2</t>
    </r>
  </si>
  <si>
    <r>
      <t xml:space="preserve">P2.1.2.10, </t>
    </r>
    <r>
      <rPr>
        <b/>
        <sz val="10"/>
        <rFont val="Times New Roman"/>
        <family val="1"/>
        <charset val="186"/>
      </rPr>
      <t>P2</t>
    </r>
  </si>
  <si>
    <t>Atlikta sankryžos rekonstravimo darbų. Užbaigtumas, proc.</t>
  </si>
  <si>
    <t xml:space="preserve">Šalia Klaipėdos Simono Dacho progimnazijos esančio Jūrininkų tako gatvės prailginimas </t>
  </si>
  <si>
    <t>Liepų gatvės atkarpos nuo Šiaurės pr. iki Garažų g. rekonstravimas</t>
  </si>
  <si>
    <t>Atlikta gatvės atkarpos rekonstravimo darbų. Užbaigtumas, proc.</t>
  </si>
  <si>
    <t xml:space="preserve">Parengtas techninis projektas (planuojama pabaiga 2022 m.), vnt. </t>
  </si>
  <si>
    <t>40</t>
  </si>
  <si>
    <t>70</t>
  </si>
  <si>
    <t>SB(VB)</t>
  </si>
  <si>
    <t>Naujo tilto su pakeliamu mechanizmu per Danę statyba ir prieigų sutvarkymas</t>
  </si>
  <si>
    <t>Atlikta senamiesčio gatvių atnaujinimo darbų. Užbaigtumas, proc.</t>
  </si>
  <si>
    <t>Žvejybos produktų iškrovimo vietos prie jūros Klaipėdos miesto teritorijoje įrengimas</t>
  </si>
  <si>
    <t>LRVB</t>
  </si>
  <si>
    <t>8</t>
  </si>
  <si>
    <t>Įrengta (I etapo) stotelių su įvažomis, vnt.</t>
  </si>
  <si>
    <t>Įrengta (II atapo) stotelių su įvažomis, vnt.</t>
  </si>
  <si>
    <r>
      <t xml:space="preserve">Valstybės biudžeto specialiosios tikslinės dotacijos lėšos </t>
    </r>
    <r>
      <rPr>
        <b/>
        <sz val="10"/>
        <rFont val="Times New Roman"/>
        <family val="1"/>
        <charset val="186"/>
      </rPr>
      <t>SB(VB)</t>
    </r>
  </si>
  <si>
    <t>Atlikta naujo tilto statybos ir Bastiono gatvės (I etapo) rekonstravimo darbų. Užbaigtumas, proc.</t>
  </si>
  <si>
    <t>Atlikta eismo juostos įrengimo darbų. Užbaigtumas, proc.</t>
  </si>
  <si>
    <t>Maršrutas į LEZ teritoriją</t>
  </si>
  <si>
    <t>Naktinis maršrutas</t>
  </si>
  <si>
    <t>Integruota autobusų ir maršrutinių taksi, vnt.</t>
  </si>
  <si>
    <t>Išmokėta už 2018 m. gautą autobusų integracijos įrangą ir sistemą. Užbaigtumas, proc.</t>
  </si>
  <si>
    <t>Parengta projektų, vnt.</t>
  </si>
  <si>
    <t>Rekonstruotas šviesoforas (Tilžės g. ir Sausio 15-osios g. sankryžoje), vnt.</t>
  </si>
  <si>
    <t>2021 m.</t>
  </si>
  <si>
    <t>Gatvių sarašas bus sudaromas po gatvių apžiūrų 2019-2020 m.</t>
  </si>
  <si>
    <t>Gedminų g.;</t>
  </si>
  <si>
    <t>Smiltelės g. (atkarpa nuo Taikos pr. iki Minijos g.);</t>
  </si>
  <si>
    <t>Vytauto g. (atkarpa nuo S. Šimkaus g. iki Puodžių g.);</t>
  </si>
  <si>
    <t>Herkaus Manto g. (labiausiai pažeistos atkarpos, įvažos);</t>
  </si>
  <si>
    <t>Šilutės pl. (labiausiai pažeistos atkarpos, įvažos);</t>
  </si>
  <si>
    <t>Mogiliovo  g.  gyvenamojo rajono gatvės;</t>
  </si>
  <si>
    <t>S.Daukanto g.;</t>
  </si>
  <si>
    <t>Atlikta kelio atnaujinimo darbų. Užbaigtumas, proc.</t>
  </si>
  <si>
    <t>Įvažiavimo kelio į Taikos pr. 101;</t>
  </si>
  <si>
    <t>Įvažiavimo kelio ir šalia esančio skvero į Taikos pr. 109 ;</t>
  </si>
  <si>
    <t>Įvažiavimo kelio  į Debreceno g. 61</t>
  </si>
  <si>
    <t>Įvažiavimo kelių atnaujinimas:</t>
  </si>
  <si>
    <t>Prižiūrėta tiltų ir viadukų, vnt.</t>
  </si>
  <si>
    <t>Pėsčiųjų ir dviračių takų, šaligatvių (su dviračių takais) remonto bei įrengimo darbai</t>
  </si>
  <si>
    <t>Viešojo transporto infrastruktūros gerinimas:</t>
  </si>
  <si>
    <t>Keleivinio transporto stotelių su įvažomis Klaipėdos miesto gatvėse projektavimas ir įrengimas</t>
  </si>
  <si>
    <t>Įrengtas įvažos pratęsimas, vnt.</t>
  </si>
  <si>
    <r>
      <t>Įvažos pratęsimo autobusų stotelėje „Naujasis turgus“ įrengimas (</t>
    </r>
    <r>
      <rPr>
        <i/>
        <sz val="10"/>
        <rFont val="Times New Roman"/>
        <family val="1"/>
        <charset val="186"/>
      </rPr>
      <t>kryptis į pietinę miesto dalį</t>
    </r>
    <r>
      <rPr>
        <sz val="10"/>
        <rFont val="Times New Roman"/>
        <family val="1"/>
        <charset val="186"/>
      </rPr>
      <t xml:space="preserve">)  </t>
    </r>
  </si>
  <si>
    <t xml:space="preserve">Atnaujinta elektromobilių įkrovimų stotelių įranga, vnt. </t>
  </si>
  <si>
    <t xml:space="preserve">*pagal Klaipėdos miesto savivaldybės tarybos 2018-10-25 sprendimą Nr. T2-221
</t>
  </si>
  <si>
    <t>IED    Statybos ir infrastruktūros plėtros skyrius</t>
  </si>
  <si>
    <t>IED     Statybos ir infrastruktūros plėtros skyrius</t>
  </si>
  <si>
    <t xml:space="preserve">Neeksploatuojamų požeminių perėjų Šilutės pl. kapitalinis remontas </t>
  </si>
  <si>
    <t xml:space="preserve">IED    Statybos ir infrastruktūros plėtros </t>
  </si>
  <si>
    <t xml:space="preserve"> Miesto tvarkymo skyrius</t>
  </si>
  <si>
    <t xml:space="preserve">Parengtas techninis projektas (2019 m. - Žvejų g., Teatro g., Sukilėlių g., Daržų g., Aukštoji g., Didžioji Vandens g., Vežėjų g., 2020 m. - Tomo ir Pylimo g.), vnt. </t>
  </si>
  <si>
    <t>Atlikta gatvės rekonstravimo ir eismo juostos įrengimo darbų. Užbaigtumas, proc.</t>
  </si>
  <si>
    <t>Tilžės g. nuo Šilutės pl. iki geležinkelio pervažos rekonstravimas, pertvarkant žiedinę Mokyklos g. ir Šilutės pl. sankryžą</t>
  </si>
  <si>
    <t>Šilutės plento ruožo nuo Tilžės g. iki geležinkelio pervažos (iki Kauno g.) rekonstravimas</t>
  </si>
  <si>
    <t>0,25</t>
  </si>
  <si>
    <t>0,19</t>
  </si>
  <si>
    <t>4,6</t>
  </si>
  <si>
    <t>1,3</t>
  </si>
  <si>
    <t>1,8</t>
  </si>
  <si>
    <t>Suremontuota asfaltbetonio dangos duobių kiemuose, ha</t>
  </si>
  <si>
    <t>Atnaujinta šaligatvių miesto gatvėse, ha</t>
  </si>
  <si>
    <t>0,15</t>
  </si>
  <si>
    <t>Suremontuota gatvių akmens grindinio dangos  senamiesčio gatvėse, ha</t>
  </si>
  <si>
    <t>4,5</t>
  </si>
  <si>
    <t>Suremontuota šaligatvių (su dviračių takais), ha</t>
  </si>
  <si>
    <t>Atnaujinta pėsčiųjų takų ir laiptų prie Kultūros centro „Žvejų rūmai“, ha</t>
  </si>
  <si>
    <t>Atnaujinta įvažą ir automobilių stovėjimo  aikštelė Vilniaus Dailės akademijos Klaipėdos fakulteto teritorijoje, ha</t>
  </si>
  <si>
    <t>Įrengta kintamos informacijos ženklų Lideikio g. Užbaigtumas, proc.</t>
  </si>
  <si>
    <t>0,59</t>
  </si>
  <si>
    <t>Atnaujinta dekoratyvinių kelio ženklų stovų, vnt.</t>
  </si>
  <si>
    <t>Nuostolingų maršrutų subsidijavimas priemiesčio ir miesto maršrutus aptarnaujantiems vežėjams</t>
  </si>
  <si>
    <t>S. Daukanto gatvės rekonstravimas nuo H. Manto iki Naujojo Uosto g.</t>
  </si>
  <si>
    <t>Automatinės eismo priežiūros prietaisų eksploatacija</t>
  </si>
  <si>
    <t>KPP(VIP)</t>
  </si>
  <si>
    <r>
      <t xml:space="preserve">Vietinės reikšmės kelių (gatvių) tikslinio finansavimo lėšos  </t>
    </r>
    <r>
      <rPr>
        <b/>
        <sz val="10"/>
        <rFont val="Times New Roman"/>
        <family val="1"/>
        <charset val="186"/>
      </rPr>
      <t>KPP(VIP)</t>
    </r>
  </si>
  <si>
    <r>
      <t xml:space="preserve">Kelių priežiūros ir plėtros programos lėšos įtrauktos į savivaldybės biudžetą </t>
    </r>
    <r>
      <rPr>
        <b/>
        <sz val="10"/>
        <rFont val="Times New Roman"/>
        <family val="1"/>
        <charset val="186"/>
      </rPr>
      <t>SB(KPP)</t>
    </r>
  </si>
  <si>
    <r>
      <t xml:space="preserve">Planuojamos kelių priežiūros ir plėtros programos lėšos </t>
    </r>
    <r>
      <rPr>
        <b/>
        <sz val="10"/>
        <rFont val="Times New Roman"/>
        <family val="1"/>
        <charset val="186"/>
      </rPr>
      <t>SB(KPP)</t>
    </r>
  </si>
  <si>
    <t>I, P2, P6</t>
  </si>
  <si>
    <t>I, P6</t>
  </si>
  <si>
    <t xml:space="preserve">Renginių, kurių metu keleiviams bus taikomos lengvatos, vnt. </t>
  </si>
  <si>
    <t>09</t>
  </si>
  <si>
    <t>0,72</t>
  </si>
  <si>
    <t>Maršrutas į Ermitažą (nuo 2022 m.)</t>
  </si>
  <si>
    <t>Maršrutas, kuriais važinės ekologiški autobusai (nuo 2022 m.)</t>
  </si>
  <si>
    <t>priedas</t>
  </si>
  <si>
    <t xml:space="preserve">2019–2021 M. KLAIPĖDOS MIESTO SAVIVALDYBĖS </t>
  </si>
  <si>
    <t>Įrengtas įvažos pratęsimo autobusų stotelėje „Naujasis turgus“  (kryptis į pietinę miesto dalį)   pratęsimas, vnt.</t>
  </si>
  <si>
    <t>Pasirašyta koncesijos sutartis</t>
  </si>
  <si>
    <r>
      <t>Naujai įrengta šviesoforų (Baltijos prospekte atkarpoje tarp Šilutės pl. ir Taikos pr., Šilutės pl. prie AB „Klaipėdos energija“, Taikos pr. ties Žvejų rūmais), vnt.</t>
    </r>
    <r>
      <rPr>
        <sz val="10"/>
        <color theme="0"/>
        <rFont val="Times New Roman"/>
        <family val="1"/>
        <charset val="186"/>
      </rPr>
      <t xml:space="preserve">, Tilžės g. ir Sausio 15-osios g. sankryžoje), </t>
    </r>
  </si>
  <si>
    <t xml:space="preserve"> </t>
  </si>
  <si>
    <t>__________________________________</t>
  </si>
  <si>
    <t>2019-ųjų metų asignavi-mų planas</t>
  </si>
  <si>
    <t xml:space="preserve">Parengtas techninis projektas (2019 m. – Žvejų g., Teatro g., Sukilėlių g., Daržų g., Aukštoji g., Didžioji Vandens g., Vežėjų g., 2020 m. – Tomo g. ir Pylimo g.), vnt. </t>
  </si>
  <si>
    <t>Atlikta gatvės (1374 m) rekonstravimo darbų. Užbaigtumas, proc.</t>
  </si>
  <si>
    <t xml:space="preserve">Jūrininkų prospekto ruožo nuo Šilutės pl. iki Minijos g. rekonstrukcija </t>
  </si>
  <si>
    <t>Atlikta prospekto ruožo rekonstravimo darbų.  Užbaigtumas, proc.</t>
  </si>
  <si>
    <t>Maršruto Klaipėdos autobusų stotis–Palangos oro uostas kursavimas</t>
  </si>
  <si>
    <t>Sodų bendrija „Vaiteliai“–„Rasa“ kursavimas</t>
  </si>
  <si>
    <t>Įrengta kintamos informacijos ženklų Prano Lideikio g. Užbaigtumas, proc.</t>
  </si>
  <si>
    <t>Rekonstruotas šviesoforas (Tilžės g. ir Sausio       15-osios g. sankryžoje), vnt.</t>
  </si>
  <si>
    <r>
      <t>Naujai įrengta šviesoforų (Baltijos prospekto ruože tarp Šilutės pl. ir Taikos pr., Šilutės pl. prie AB „Klaipėdos energija“, Taikos pr. ties Žvejų rūmais), vnt.</t>
    </r>
    <r>
      <rPr>
        <sz val="10"/>
        <color theme="0"/>
        <rFont val="Times New Roman"/>
        <family val="1"/>
        <charset val="186"/>
      </rPr>
      <t xml:space="preserve">, Tilžės g. ir Sausio 15-osios g. sankryžoje), </t>
    </r>
  </si>
  <si>
    <t>Įrengta neregių vedimo dangos autobusų stotelėse, vnt.</t>
  </si>
  <si>
    <r>
      <t>Uostamiesčiai: darnaus judumo principų integravimas (</t>
    </r>
    <r>
      <rPr>
        <i/>
        <sz val="10"/>
        <rFont val="Times New Roman"/>
        <family val="1"/>
        <charset val="186"/>
      </rPr>
      <t xml:space="preserve">PORT Cities: Integrating Sustainability, </t>
    </r>
    <r>
      <rPr>
        <sz val="10"/>
        <rFont val="Times New Roman"/>
        <family val="1"/>
        <charset val="186"/>
      </rPr>
      <t>PORTIS)</t>
    </r>
    <r>
      <rPr>
        <sz val="10"/>
        <color rgb="FFFF0000"/>
        <rFont val="Times New Roman"/>
        <family val="1"/>
        <charset val="186"/>
      </rPr>
      <t xml:space="preserve"> </t>
    </r>
  </si>
  <si>
    <t>Kombinuotų kelionių jungčių (angl. Park&amp;Ride) įrengimas (šiaurinėje miesto dalyje)</t>
  </si>
  <si>
    <t>Smiltelės g. (ruožas nuo Taikos pr. iki Minijos g.);</t>
  </si>
  <si>
    <t>Vytauto g. (ruožas nuo S. Šimkaus g. iki Puodžių g.);</t>
  </si>
  <si>
    <t>Šilutės pl. (labiausiai pažeisti ruožai, įvažos);</t>
  </si>
  <si>
    <t>H. Manto g. (labiausiai pažeisti ruožai, įvažos);</t>
  </si>
  <si>
    <t>S. Daukanto g.</t>
  </si>
  <si>
    <t>Atnaujinta pėsčiųjų takų ir laiptų prie kultūros centro Žvejų rūmų, ha</t>
  </si>
  <si>
    <t>S. Daukanto gatvės rekonstravimas nuo H. Manto iki Naujosios Uosto g.</t>
  </si>
  <si>
    <t>Įvažiuojamųjų kelių atnaujinimas:</t>
  </si>
  <si>
    <t>Įvažiuojamojo kelio į Taikos pr. 101;</t>
  </si>
  <si>
    <t>Įvažiuojamojo kelio  į Debreceno g. 61</t>
  </si>
  <si>
    <t>Įvažiuojamojo kelio ir šalia esančio skvero į Taikos pr. 109;</t>
  </si>
  <si>
    <t>Siūlomas keisti 2019-ųjų metų asignavimų planas</t>
  </si>
  <si>
    <t>Siūlomas keisti 2021-ųjų metų  lėšų projektas</t>
  </si>
  <si>
    <t>Siūlomas keisti 2019 metų  asignavimų planas</t>
  </si>
  <si>
    <t>Parengtas S. Neries gatvės šaligatvių kompleksiško atnaujinimo projektas</t>
  </si>
  <si>
    <t>Pagal Klaipėdos m. sav. tarybos Miesto ūkio ir aplinkosaugos komiteto protokolo (2019-01-25 Nr. TAR-5) pastabą yra planuojamas papildomas produkto vertinimo kriterijus „Parengtas S. Neries gatvės šaligatvių kompleksiško atnaujinimo projektas“, numatant įvykdymą 2019 m.</t>
  </si>
  <si>
    <t xml:space="preserve">Klaipėdos miesto savivaldybės susisiekimo sistemos  priežiūros ir plėtros programos (Nr. 06) aprašymo             
</t>
  </si>
  <si>
    <t>Parengtas S. Neries gatvės šaligatvių kompleksiško atnaujinimo projektas, vnt.</t>
  </si>
  <si>
    <t>2020-2021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</si>
</sst>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L_t_-;\-* #,##0.00\ _L_t_-;_-* &quot;-&quot;??\ _L_t_-;_-@_-"/>
    <numFmt numFmtId="165" formatCode="0.0"/>
    <numFmt numFmtId="166" formatCode="#,##0.0"/>
  </numFmts>
  <fonts count="41" x14ac:knownFonts="1">
    <font>
      <sz val="10"/>
      <name val="Arial"/>
      <charset val="186"/>
    </font>
    <font>
      <sz val="8"/>
      <name val="Times New Roman"/>
      <family val="1"/>
      <charset val="186"/>
    </font>
    <font>
      <sz val="10"/>
      <name val="Times New Roman"/>
      <family val="1"/>
      <charset val="186"/>
    </font>
    <font>
      <b/>
      <sz val="10"/>
      <name val="Times New Roman"/>
      <family val="1"/>
      <charset val="186"/>
    </font>
    <font>
      <b/>
      <sz val="8"/>
      <name val="Times New Roman"/>
      <family val="1"/>
      <charset val="186"/>
    </font>
    <font>
      <b/>
      <sz val="10"/>
      <name val="Times New Roman"/>
      <family val="1"/>
      <charset val="204"/>
    </font>
    <font>
      <sz val="9"/>
      <name val="Times New Roman"/>
      <family val="1"/>
      <charset val="186"/>
    </font>
    <font>
      <b/>
      <u/>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b/>
      <sz val="9"/>
      <name val="Times New Roman"/>
      <family val="1"/>
      <charset val="186"/>
    </font>
    <font>
      <sz val="8"/>
      <name val="Arial"/>
      <family val="2"/>
      <charset val="186"/>
    </font>
    <font>
      <sz val="10"/>
      <color rgb="FFFF0000"/>
      <name val="Times New Roman"/>
      <family val="1"/>
      <charset val="186"/>
    </font>
    <font>
      <sz val="7"/>
      <name val="Times New Roman"/>
      <family val="1"/>
      <charset val="186"/>
    </font>
    <font>
      <sz val="7"/>
      <name val="Arial"/>
      <family val="2"/>
      <charset val="186"/>
    </font>
    <font>
      <b/>
      <sz val="10"/>
      <color indexed="81"/>
      <name val="Tahoma"/>
      <family val="2"/>
      <charset val="186"/>
    </font>
    <font>
      <sz val="10"/>
      <color indexed="81"/>
      <name val="Tahoma"/>
      <family val="2"/>
      <charset val="186"/>
    </font>
    <font>
      <i/>
      <sz val="10"/>
      <name val="Times New Roman"/>
      <family val="1"/>
      <charset val="186"/>
    </font>
    <font>
      <sz val="11"/>
      <name val="Times New Roman"/>
      <family val="1"/>
      <charset val="186"/>
    </font>
    <font>
      <b/>
      <sz val="11"/>
      <name val="Times New Roman"/>
      <family val="1"/>
      <charset val="186"/>
    </font>
    <font>
      <sz val="11"/>
      <name val="Calibri"/>
      <family val="2"/>
      <charset val="186"/>
      <scheme val="minor"/>
    </font>
    <font>
      <sz val="10"/>
      <color theme="1"/>
      <name val="Times New Roman"/>
      <family val="1"/>
      <charset val="186"/>
    </font>
    <font>
      <b/>
      <i/>
      <sz val="10"/>
      <name val="Times New Roman"/>
      <family val="1"/>
      <charset val="186"/>
    </font>
    <font>
      <i/>
      <sz val="10"/>
      <color theme="1"/>
      <name val="Times New Roman"/>
      <family val="1"/>
      <charset val="186"/>
    </font>
    <font>
      <sz val="10"/>
      <color rgb="FF1F497D"/>
      <name val="Times New Roman"/>
      <family val="1"/>
      <charset val="186"/>
    </font>
    <font>
      <sz val="10"/>
      <color theme="1"/>
      <name val="Arial"/>
      <family val="2"/>
      <charset val="186"/>
    </font>
    <font>
      <sz val="10"/>
      <color theme="1"/>
      <name val="Times New Roman"/>
      <family val="1"/>
    </font>
    <font>
      <sz val="9"/>
      <color theme="1"/>
      <name val="Times New Roman"/>
      <family val="1"/>
      <charset val="186"/>
    </font>
    <font>
      <b/>
      <sz val="10"/>
      <color rgb="FFFF0000"/>
      <name val="Times New Roman"/>
      <family val="1"/>
      <charset val="186"/>
    </font>
    <font>
      <sz val="12"/>
      <name val="Times New Roman"/>
      <family val="1"/>
      <charset val="186"/>
    </font>
    <font>
      <b/>
      <sz val="10"/>
      <color theme="1"/>
      <name val="Times New Roman"/>
      <family val="1"/>
      <charset val="186"/>
    </font>
    <font>
      <sz val="9"/>
      <color rgb="FFFF0000"/>
      <name val="Times New Roman"/>
      <family val="1"/>
      <charset val="186"/>
    </font>
    <font>
      <sz val="8"/>
      <color indexed="81"/>
      <name val="Tahoma"/>
      <family val="2"/>
      <charset val="186"/>
    </font>
    <font>
      <sz val="10"/>
      <name val="Times New Roman"/>
      <family val="1"/>
    </font>
    <font>
      <i/>
      <sz val="10"/>
      <name val="Arial"/>
      <family val="2"/>
      <charset val="186"/>
    </font>
    <font>
      <b/>
      <sz val="8"/>
      <color indexed="81"/>
      <name val="Tahoma"/>
      <family val="2"/>
      <charset val="186"/>
    </font>
    <font>
      <sz val="10"/>
      <color rgb="FF00B050"/>
      <name val="Times New Roman"/>
      <family val="1"/>
      <charset val="186"/>
    </font>
    <font>
      <i/>
      <sz val="9"/>
      <name val="Times New Roman"/>
      <family val="1"/>
      <charset val="186"/>
    </font>
    <font>
      <sz val="10"/>
      <color theme="0"/>
      <name val="Times New Roman"/>
      <family val="1"/>
      <charset val="186"/>
    </font>
    <font>
      <sz val="10"/>
      <color theme="3"/>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s>
  <cellStyleXfs count="3">
    <xf numFmtId="0" fontId="0" fillId="0" borderId="0"/>
    <xf numFmtId="164" fontId="8" fillId="0" borderId="0" applyFont="0" applyFill="0" applyBorder="0" applyAlignment="0" applyProtection="0"/>
    <xf numFmtId="0" fontId="8" fillId="0" borderId="0"/>
  </cellStyleXfs>
  <cellXfs count="2011">
    <xf numFmtId="0" fontId="0" fillId="0" borderId="0" xfId="0"/>
    <xf numFmtId="0" fontId="2" fillId="0" borderId="0" xfId="0" applyFont="1" applyBorder="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166" fontId="2" fillId="0" borderId="25" xfId="0" applyNumberFormat="1" applyFont="1" applyFill="1" applyBorder="1" applyAlignment="1">
      <alignment horizontal="center" vertical="top"/>
    </xf>
    <xf numFmtId="3" fontId="2" fillId="0" borderId="28" xfId="0" applyNumberFormat="1" applyFont="1" applyFill="1" applyBorder="1" applyAlignment="1">
      <alignment horizontal="center" vertical="top" wrapText="1"/>
    </xf>
    <xf numFmtId="0" fontId="2" fillId="0" borderId="0" xfId="0" applyFont="1" applyAlignment="1">
      <alignment vertical="center"/>
    </xf>
    <xf numFmtId="164" fontId="2" fillId="0" borderId="0" xfId="1" applyFont="1" applyBorder="1" applyAlignment="1">
      <alignment vertical="top"/>
    </xf>
    <xf numFmtId="0" fontId="8" fillId="0" borderId="0" xfId="0" applyFont="1"/>
    <xf numFmtId="0" fontId="3" fillId="0" borderId="0" xfId="0" applyNumberFormat="1" applyFont="1" applyAlignment="1">
      <alignment vertical="top"/>
    </xf>
    <xf numFmtId="0" fontId="2" fillId="0" borderId="28" xfId="0" applyFont="1" applyBorder="1" applyAlignment="1">
      <alignment vertical="top"/>
    </xf>
    <xf numFmtId="49" fontId="3" fillId="2" borderId="35" xfId="0" applyNumberFormat="1" applyFont="1" applyFill="1" applyBorder="1" applyAlignment="1">
      <alignment horizontal="center" vertical="top"/>
    </xf>
    <xf numFmtId="166" fontId="2" fillId="0" borderId="0" xfId="0" applyNumberFormat="1" applyFont="1" applyAlignment="1">
      <alignment vertical="top"/>
    </xf>
    <xf numFmtId="0" fontId="2" fillId="0" borderId="32" xfId="0" applyFont="1" applyBorder="1" applyAlignment="1">
      <alignment vertical="top"/>
    </xf>
    <xf numFmtId="0" fontId="2" fillId="0" borderId="32" xfId="0" applyFont="1" applyBorder="1" applyAlignment="1">
      <alignment vertical="center"/>
    </xf>
    <xf numFmtId="0" fontId="3" fillId="0" borderId="32" xfId="0" applyNumberFormat="1" applyFont="1" applyBorder="1" applyAlignment="1">
      <alignment vertical="top"/>
    </xf>
    <xf numFmtId="49" fontId="3" fillId="9" borderId="16" xfId="0" applyNumberFormat="1" applyFont="1" applyFill="1" applyBorder="1" applyAlignment="1">
      <alignment horizontal="center" vertical="top" wrapText="1"/>
    </xf>
    <xf numFmtId="0" fontId="2" fillId="7" borderId="29" xfId="0" applyFont="1" applyFill="1" applyBorder="1" applyAlignment="1">
      <alignment vertical="top" wrapText="1"/>
    </xf>
    <xf numFmtId="3" fontId="2" fillId="7" borderId="28" xfId="0" applyNumberFormat="1" applyFont="1" applyFill="1" applyBorder="1" applyAlignment="1">
      <alignment horizontal="center" vertical="top"/>
    </xf>
    <xf numFmtId="3" fontId="2" fillId="7" borderId="27" xfId="0" applyNumberFormat="1" applyFont="1" applyFill="1" applyBorder="1" applyAlignment="1">
      <alignment horizontal="center" vertical="top"/>
    </xf>
    <xf numFmtId="0" fontId="2" fillId="0" borderId="64" xfId="0" applyFont="1" applyBorder="1" applyAlignment="1">
      <alignment vertical="top"/>
    </xf>
    <xf numFmtId="3" fontId="2" fillId="0" borderId="81" xfId="0" applyNumberFormat="1" applyFont="1" applyFill="1" applyBorder="1" applyAlignment="1">
      <alignment horizontal="center" vertical="top"/>
    </xf>
    <xf numFmtId="3" fontId="2" fillId="0" borderId="1" xfId="0" applyNumberFormat="1" applyFont="1" applyFill="1" applyBorder="1" applyAlignment="1">
      <alignment horizontal="center" vertical="top"/>
    </xf>
    <xf numFmtId="3" fontId="2" fillId="7" borderId="85" xfId="0" applyNumberFormat="1" applyFont="1" applyFill="1" applyBorder="1" applyAlignment="1">
      <alignment horizontal="center" vertical="top"/>
    </xf>
    <xf numFmtId="3" fontId="2" fillId="7" borderId="86" xfId="0" applyNumberFormat="1" applyFont="1" applyFill="1" applyBorder="1" applyAlignment="1">
      <alignment horizontal="center" vertical="top"/>
    </xf>
    <xf numFmtId="3" fontId="2" fillId="7" borderId="78" xfId="0" applyNumberFormat="1" applyFont="1" applyFill="1" applyBorder="1" applyAlignment="1">
      <alignment horizontal="center" vertical="top"/>
    </xf>
    <xf numFmtId="3" fontId="2" fillId="0" borderId="13" xfId="0" applyNumberFormat="1" applyFont="1" applyFill="1" applyBorder="1" applyAlignment="1">
      <alignment horizontal="center" vertical="top"/>
    </xf>
    <xf numFmtId="3" fontId="2" fillId="0" borderId="13" xfId="0" applyNumberFormat="1" applyFont="1" applyFill="1" applyBorder="1" applyAlignment="1">
      <alignment horizontal="center" vertical="top" wrapText="1"/>
    </xf>
    <xf numFmtId="0" fontId="2" fillId="7" borderId="84" xfId="0" applyFont="1" applyFill="1" applyBorder="1" applyAlignment="1">
      <alignment horizontal="left" vertical="top" wrapText="1"/>
    </xf>
    <xf numFmtId="3" fontId="2" fillId="7" borderId="27" xfId="0" applyNumberFormat="1" applyFont="1" applyFill="1" applyBorder="1" applyAlignment="1">
      <alignment horizontal="center" vertical="top" wrapText="1"/>
    </xf>
    <xf numFmtId="3" fontId="2" fillId="0" borderId="85" xfId="0" applyNumberFormat="1" applyFont="1" applyFill="1" applyBorder="1" applyAlignment="1">
      <alignment horizontal="center" vertical="top"/>
    </xf>
    <xf numFmtId="3" fontId="2" fillId="0" borderId="86" xfId="0" applyNumberFormat="1" applyFont="1" applyFill="1" applyBorder="1" applyAlignment="1">
      <alignment horizontal="center" vertical="top"/>
    </xf>
    <xf numFmtId="166" fontId="2" fillId="0" borderId="11" xfId="0" applyNumberFormat="1" applyFont="1" applyFill="1" applyBorder="1" applyAlignment="1">
      <alignment horizontal="center" vertical="top"/>
    </xf>
    <xf numFmtId="166" fontId="2" fillId="0" borderId="18"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2" fillId="7" borderId="11" xfId="0" applyNumberFormat="1" applyFont="1" applyFill="1" applyBorder="1" applyAlignment="1">
      <alignment horizontal="center" vertical="top"/>
    </xf>
    <xf numFmtId="3" fontId="2" fillId="0" borderId="0" xfId="0" applyNumberFormat="1" applyFont="1" applyBorder="1" applyAlignment="1">
      <alignment vertical="top"/>
    </xf>
    <xf numFmtId="166" fontId="2" fillId="7" borderId="48" xfId="0" applyNumberFormat="1" applyFont="1" applyFill="1" applyBorder="1" applyAlignment="1">
      <alignment horizontal="center" vertical="top"/>
    </xf>
    <xf numFmtId="166" fontId="2" fillId="7" borderId="18" xfId="0" applyNumberFormat="1" applyFont="1" applyFill="1" applyBorder="1" applyAlignment="1">
      <alignment horizontal="center" vertical="top"/>
    </xf>
    <xf numFmtId="166" fontId="2" fillId="7" borderId="35" xfId="0" applyNumberFormat="1" applyFont="1" applyFill="1" applyBorder="1" applyAlignment="1">
      <alignment horizontal="center" vertical="top"/>
    </xf>
    <xf numFmtId="166" fontId="2" fillId="7" borderId="28" xfId="0" applyNumberFormat="1" applyFont="1" applyFill="1" applyBorder="1" applyAlignment="1">
      <alignment horizontal="center" vertical="top"/>
    </xf>
    <xf numFmtId="166" fontId="2" fillId="7" borderId="27" xfId="0" applyNumberFormat="1" applyFont="1" applyFill="1" applyBorder="1" applyAlignment="1">
      <alignment horizontal="center" vertical="top"/>
    </xf>
    <xf numFmtId="0" fontId="2" fillId="7" borderId="79" xfId="0" applyFont="1" applyFill="1" applyBorder="1" applyAlignment="1">
      <alignment horizontal="left" vertical="top" wrapText="1"/>
    </xf>
    <xf numFmtId="0" fontId="2" fillId="7" borderId="64" xfId="0" applyFont="1" applyFill="1" applyBorder="1" applyAlignment="1">
      <alignment horizontal="center" vertical="top"/>
    </xf>
    <xf numFmtId="0" fontId="2" fillId="7" borderId="34" xfId="0" applyFont="1" applyFill="1" applyBorder="1" applyAlignment="1">
      <alignment horizontal="center" vertical="top"/>
    </xf>
    <xf numFmtId="3" fontId="2" fillId="7" borderId="35" xfId="0" applyNumberFormat="1" applyFont="1" applyFill="1" applyBorder="1" applyAlignment="1">
      <alignment horizontal="center" vertical="top"/>
    </xf>
    <xf numFmtId="3" fontId="2" fillId="7" borderId="85" xfId="0" applyNumberFormat="1" applyFont="1" applyFill="1" applyBorder="1" applyAlignment="1">
      <alignment horizontal="center" vertical="top" wrapText="1"/>
    </xf>
    <xf numFmtId="166" fontId="2" fillId="7" borderId="20" xfId="0" applyNumberFormat="1" applyFont="1" applyFill="1" applyBorder="1" applyAlignment="1">
      <alignment horizontal="center" vertical="top"/>
    </xf>
    <xf numFmtId="166" fontId="2" fillId="0" borderId="0" xfId="0" applyNumberFormat="1" applyFont="1" applyBorder="1" applyAlignment="1">
      <alignment vertical="top"/>
    </xf>
    <xf numFmtId="166" fontId="2" fillId="7" borderId="23" xfId="0" applyNumberFormat="1" applyFont="1" applyFill="1" applyBorder="1" applyAlignment="1">
      <alignment vertical="top"/>
    </xf>
    <xf numFmtId="49" fontId="3" fillId="7" borderId="32" xfId="0" applyNumberFormat="1" applyFont="1" applyFill="1" applyBorder="1" applyAlignment="1">
      <alignment horizontal="center" vertical="top"/>
    </xf>
    <xf numFmtId="3" fontId="2" fillId="0" borderId="35" xfId="0" applyNumberFormat="1" applyFont="1" applyFill="1" applyBorder="1" applyAlignment="1">
      <alignment horizontal="center" vertical="top" wrapText="1"/>
    </xf>
    <xf numFmtId="0" fontId="7" fillId="7" borderId="48" xfId="0" applyFont="1" applyFill="1" applyBorder="1" applyAlignment="1">
      <alignment vertical="top" wrapText="1"/>
    </xf>
    <xf numFmtId="166" fontId="2" fillId="7" borderId="8" xfId="0" applyNumberFormat="1" applyFont="1" applyFill="1" applyBorder="1" applyAlignment="1">
      <alignment horizontal="center" vertical="top"/>
    </xf>
    <xf numFmtId="166" fontId="2" fillId="0" borderId="23" xfId="0" applyNumberFormat="1" applyFont="1" applyBorder="1" applyAlignment="1">
      <alignment horizontal="center" vertical="top"/>
    </xf>
    <xf numFmtId="166" fontId="2" fillId="7" borderId="23" xfId="0" applyNumberFormat="1" applyFont="1" applyFill="1" applyBorder="1" applyAlignment="1">
      <alignment horizontal="center" vertical="top" wrapText="1"/>
    </xf>
    <xf numFmtId="166" fontId="2" fillId="0" borderId="6" xfId="0" applyNumberFormat="1" applyFont="1" applyFill="1" applyBorder="1" applyAlignment="1">
      <alignment horizontal="center" vertical="top"/>
    </xf>
    <xf numFmtId="166" fontId="2" fillId="7" borderId="91" xfId="0" applyNumberFormat="1" applyFont="1" applyFill="1" applyBorder="1" applyAlignment="1">
      <alignment horizontal="center" vertical="top"/>
    </xf>
    <xf numFmtId="166" fontId="2" fillId="7" borderId="43"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166" fontId="2" fillId="7" borderId="6" xfId="0" applyNumberFormat="1" applyFont="1" applyFill="1" applyBorder="1" applyAlignment="1">
      <alignment horizontal="center" vertical="top"/>
    </xf>
    <xf numFmtId="166" fontId="2" fillId="0" borderId="29" xfId="0" applyNumberFormat="1" applyFont="1" applyFill="1" applyBorder="1" applyAlignment="1">
      <alignment vertical="top" wrapText="1"/>
    </xf>
    <xf numFmtId="166" fontId="2" fillId="7" borderId="6" xfId="0" applyNumberFormat="1" applyFont="1" applyFill="1" applyBorder="1" applyAlignment="1">
      <alignment horizontal="center" vertical="top" wrapText="1"/>
    </xf>
    <xf numFmtId="166" fontId="2" fillId="3" borderId="10" xfId="0" applyNumberFormat="1" applyFont="1" applyFill="1" applyBorder="1" applyAlignment="1">
      <alignment horizontal="center" vertical="top"/>
    </xf>
    <xf numFmtId="166" fontId="2" fillId="0" borderId="12" xfId="0" applyNumberFormat="1" applyFont="1" applyFill="1" applyBorder="1" applyAlignment="1">
      <alignment horizontal="left" vertical="top" wrapText="1"/>
    </xf>
    <xf numFmtId="166" fontId="2" fillId="7" borderId="96" xfId="0" applyNumberFormat="1" applyFont="1" applyFill="1" applyBorder="1" applyAlignment="1">
      <alignment horizontal="center" vertical="top"/>
    </xf>
    <xf numFmtId="166" fontId="3" fillId="9" borderId="72" xfId="0" applyNumberFormat="1" applyFont="1" applyFill="1" applyBorder="1" applyAlignment="1">
      <alignment horizontal="center" vertical="top"/>
    </xf>
    <xf numFmtId="166" fontId="3" fillId="3" borderId="10" xfId="0" applyNumberFormat="1" applyFont="1" applyFill="1" applyBorder="1" applyAlignment="1">
      <alignment horizontal="center" vertical="top"/>
    </xf>
    <xf numFmtId="166" fontId="2" fillId="0" borderId="16" xfId="0" applyNumberFormat="1" applyFont="1" applyFill="1" applyBorder="1" applyAlignment="1">
      <alignment horizontal="left" vertical="top" wrapText="1"/>
    </xf>
    <xf numFmtId="166" fontId="2" fillId="3" borderId="68" xfId="0" applyNumberFormat="1" applyFont="1" applyFill="1" applyBorder="1" applyAlignment="1">
      <alignment horizontal="center" vertical="top"/>
    </xf>
    <xf numFmtId="166" fontId="2" fillId="3" borderId="12" xfId="0" applyNumberFormat="1" applyFont="1" applyFill="1" applyBorder="1" applyAlignment="1">
      <alignment vertical="top" wrapText="1"/>
    </xf>
    <xf numFmtId="166" fontId="2" fillId="3" borderId="23" xfId="0" applyNumberFormat="1" applyFont="1" applyFill="1" applyBorder="1" applyAlignment="1">
      <alignment horizontal="center" vertical="top"/>
    </xf>
    <xf numFmtId="166" fontId="7" fillId="3" borderId="41" xfId="0" applyNumberFormat="1" applyFont="1" applyFill="1" applyBorder="1" applyAlignment="1">
      <alignment horizontal="left" vertical="top" wrapText="1"/>
    </xf>
    <xf numFmtId="166" fontId="2" fillId="7" borderId="104" xfId="0" applyNumberFormat="1" applyFont="1" applyFill="1" applyBorder="1" applyAlignment="1">
      <alignment horizontal="center" vertical="top"/>
    </xf>
    <xf numFmtId="166" fontId="3" fillId="3" borderId="23" xfId="0" applyNumberFormat="1" applyFont="1" applyFill="1" applyBorder="1" applyAlignment="1">
      <alignment horizontal="center" vertical="top"/>
    </xf>
    <xf numFmtId="166" fontId="2" fillId="7" borderId="10" xfId="0" applyNumberFormat="1" applyFont="1" applyFill="1" applyBorder="1" applyAlignment="1">
      <alignment horizontal="right" vertical="top"/>
    </xf>
    <xf numFmtId="166" fontId="3" fillId="9" borderId="54" xfId="0" applyNumberFormat="1" applyFont="1" applyFill="1" applyBorder="1" applyAlignment="1">
      <alignment horizontal="center" vertical="top"/>
    </xf>
    <xf numFmtId="166" fontId="3" fillId="2" borderId="4" xfId="0" applyNumberFormat="1" applyFont="1" applyFill="1" applyBorder="1" applyAlignment="1">
      <alignment horizontal="center" vertical="top"/>
    </xf>
    <xf numFmtId="166" fontId="2" fillId="7" borderId="68" xfId="0" applyNumberFormat="1" applyFont="1" applyFill="1" applyBorder="1" applyAlignment="1">
      <alignment horizontal="center" vertical="top"/>
    </xf>
    <xf numFmtId="166" fontId="2" fillId="0" borderId="68" xfId="0" applyNumberFormat="1" applyFont="1" applyBorder="1" applyAlignment="1">
      <alignment vertical="top"/>
    </xf>
    <xf numFmtId="166" fontId="2" fillId="0" borderId="34" xfId="0" applyNumberFormat="1" applyFont="1" applyFill="1" applyBorder="1" applyAlignment="1">
      <alignment horizontal="center" vertical="top"/>
    </xf>
    <xf numFmtId="166" fontId="2" fillId="7" borderId="34" xfId="0" applyNumberFormat="1" applyFont="1" applyFill="1" applyBorder="1" applyAlignment="1">
      <alignment horizontal="center" vertical="top"/>
    </xf>
    <xf numFmtId="166" fontId="2" fillId="0" borderId="99" xfId="0" applyNumberFormat="1" applyFont="1" applyFill="1" applyBorder="1" applyAlignment="1">
      <alignment horizontal="center" vertical="top"/>
    </xf>
    <xf numFmtId="166" fontId="2" fillId="7" borderId="84" xfId="0" applyNumberFormat="1" applyFont="1" applyFill="1" applyBorder="1" applyAlignment="1">
      <alignment horizontal="left" vertical="top" wrapText="1"/>
    </xf>
    <xf numFmtId="166" fontId="2" fillId="7" borderId="64" xfId="0" applyNumberFormat="1" applyFont="1" applyFill="1" applyBorder="1" applyAlignment="1">
      <alignment horizontal="center" vertical="top"/>
    </xf>
    <xf numFmtId="166" fontId="2" fillId="7" borderId="49" xfId="0" applyNumberFormat="1" applyFont="1" applyFill="1" applyBorder="1" applyAlignment="1">
      <alignment horizontal="center" vertical="top"/>
    </xf>
    <xf numFmtId="166" fontId="3" fillId="7" borderId="0" xfId="0" applyNumberFormat="1" applyFont="1" applyFill="1" applyBorder="1" applyAlignment="1">
      <alignment horizontal="center" vertical="top"/>
    </xf>
    <xf numFmtId="166" fontId="3" fillId="8" borderId="57" xfId="0" applyNumberFormat="1" applyFont="1" applyFill="1" applyBorder="1" applyAlignment="1">
      <alignment horizontal="center" vertical="top"/>
    </xf>
    <xf numFmtId="166" fontId="3" fillId="9" borderId="55" xfId="0" applyNumberFormat="1" applyFont="1" applyFill="1" applyBorder="1" applyAlignment="1">
      <alignment horizontal="center" vertical="top"/>
    </xf>
    <xf numFmtId="166" fontId="2" fillId="7" borderId="10" xfId="0" applyNumberFormat="1" applyFont="1" applyFill="1" applyBorder="1" applyAlignment="1">
      <alignment horizontal="center" vertical="top"/>
    </xf>
    <xf numFmtId="166" fontId="2" fillId="7" borderId="12" xfId="0" applyNumberFormat="1" applyFont="1" applyFill="1" applyBorder="1" applyAlignment="1">
      <alignment horizontal="left" vertical="top" wrapText="1"/>
    </xf>
    <xf numFmtId="166" fontId="3" fillId="7" borderId="11" xfId="0" applyNumberFormat="1" applyFont="1" applyFill="1" applyBorder="1" applyAlignment="1">
      <alignment vertical="top"/>
    </xf>
    <xf numFmtId="166" fontId="3" fillId="7" borderId="28" xfId="0" applyNumberFormat="1" applyFont="1" applyFill="1" applyBorder="1" applyAlignment="1">
      <alignment vertical="top"/>
    </xf>
    <xf numFmtId="166" fontId="3" fillId="7" borderId="32" xfId="0" applyNumberFormat="1" applyFont="1" applyFill="1" applyBorder="1" applyAlignment="1">
      <alignment horizontal="center" vertical="top"/>
    </xf>
    <xf numFmtId="166" fontId="2" fillId="0" borderId="39" xfId="0" applyNumberFormat="1" applyFont="1" applyFill="1" applyBorder="1" applyAlignment="1">
      <alignment horizontal="center" vertical="top"/>
    </xf>
    <xf numFmtId="166" fontId="3" fillId="7" borderId="13" xfId="0" applyNumberFormat="1" applyFont="1" applyFill="1" applyBorder="1" applyAlignment="1">
      <alignment horizontal="center" vertical="top"/>
    </xf>
    <xf numFmtId="166" fontId="2" fillId="0" borderId="40" xfId="0" applyNumberFormat="1" applyFont="1" applyFill="1" applyBorder="1" applyAlignment="1">
      <alignment horizontal="left" vertical="top" wrapText="1"/>
    </xf>
    <xf numFmtId="166" fontId="2" fillId="7" borderId="0" xfId="0" applyNumberFormat="1" applyFont="1" applyFill="1" applyBorder="1" applyAlignment="1">
      <alignment horizontal="center" vertical="top"/>
    </xf>
    <xf numFmtId="166" fontId="3" fillId="7" borderId="30" xfId="0" applyNumberFormat="1" applyFont="1" applyFill="1" applyBorder="1" applyAlignment="1">
      <alignment vertical="top"/>
    </xf>
    <xf numFmtId="166" fontId="3" fillId="5" borderId="54" xfId="0" applyNumberFormat="1" applyFont="1" applyFill="1" applyBorder="1" applyAlignment="1">
      <alignment horizontal="center" vertical="top"/>
    </xf>
    <xf numFmtId="166" fontId="2" fillId="0" borderId="0" xfId="0" applyNumberFormat="1" applyFont="1" applyFill="1" applyBorder="1" applyAlignment="1">
      <alignment horizontal="center" vertical="top"/>
    </xf>
    <xf numFmtId="3" fontId="2" fillId="7" borderId="86" xfId="0" applyNumberFormat="1" applyFont="1" applyFill="1" applyBorder="1" applyAlignment="1">
      <alignment horizontal="center" vertical="top" wrapText="1"/>
    </xf>
    <xf numFmtId="166" fontId="7" fillId="3" borderId="14" xfId="0" applyNumberFormat="1" applyFont="1" applyFill="1" applyBorder="1" applyAlignment="1">
      <alignment horizontal="left" vertical="top" wrapText="1"/>
    </xf>
    <xf numFmtId="166" fontId="4" fillId="0" borderId="13" xfId="0" applyNumberFormat="1" applyFont="1" applyFill="1" applyBorder="1" applyAlignment="1">
      <alignment horizontal="center" vertical="center" textRotation="90" shrinkToFit="1"/>
    </xf>
    <xf numFmtId="166" fontId="4" fillId="3" borderId="13" xfId="0" applyNumberFormat="1" applyFont="1" applyFill="1" applyBorder="1" applyAlignment="1">
      <alignment horizontal="center" vertical="center" textRotation="90" wrapText="1"/>
    </xf>
    <xf numFmtId="166" fontId="3" fillId="7" borderId="20" xfId="0" applyNumberFormat="1" applyFont="1" applyFill="1" applyBorder="1" applyAlignment="1">
      <alignment horizontal="center" vertical="center" wrapText="1"/>
    </xf>
    <xf numFmtId="166" fontId="3" fillId="3" borderId="14" xfId="0" applyNumberFormat="1" applyFont="1" applyFill="1" applyBorder="1" applyAlignment="1">
      <alignment vertical="top" wrapText="1"/>
    </xf>
    <xf numFmtId="166" fontId="6" fillId="7" borderId="14" xfId="0" applyNumberFormat="1" applyFont="1" applyFill="1" applyBorder="1" applyAlignment="1">
      <alignment horizontal="center" vertical="center" textRotation="90" wrapText="1"/>
    </xf>
    <xf numFmtId="166" fontId="11" fillId="7" borderId="25" xfId="0" applyNumberFormat="1" applyFont="1" applyFill="1" applyBorder="1" applyAlignment="1">
      <alignment horizontal="center" vertical="center" wrapText="1"/>
    </xf>
    <xf numFmtId="166" fontId="8" fillId="7" borderId="28" xfId="0" applyNumberFormat="1" applyFont="1" applyFill="1" applyBorder="1" applyAlignment="1">
      <alignment horizontal="center" vertical="center" textRotation="90" wrapText="1"/>
    </xf>
    <xf numFmtId="166" fontId="2" fillId="3" borderId="28" xfId="0" applyNumberFormat="1" applyFont="1" applyFill="1" applyBorder="1" applyAlignment="1">
      <alignment horizontal="center" vertical="top" wrapText="1"/>
    </xf>
    <xf numFmtId="166" fontId="3" fillId="7" borderId="14" xfId="0" applyNumberFormat="1" applyFont="1" applyFill="1" applyBorder="1" applyAlignment="1">
      <alignment vertical="top" wrapText="1"/>
    </xf>
    <xf numFmtId="166" fontId="3" fillId="0" borderId="41" xfId="0" applyNumberFormat="1" applyFont="1" applyBorder="1" applyAlignment="1">
      <alignment horizontal="center" vertical="top"/>
    </xf>
    <xf numFmtId="166" fontId="3" fillId="3" borderId="41" xfId="0" applyNumberFormat="1" applyFont="1" applyFill="1" applyBorder="1" applyAlignment="1">
      <alignment horizontal="center" vertical="top"/>
    </xf>
    <xf numFmtId="166" fontId="3" fillId="0" borderId="15" xfId="0" applyNumberFormat="1" applyFont="1" applyFill="1" applyBorder="1" applyAlignment="1">
      <alignment horizontal="center" vertical="top" wrapText="1"/>
    </xf>
    <xf numFmtId="166" fontId="2" fillId="7" borderId="48" xfId="0" applyNumberFormat="1" applyFont="1" applyFill="1" applyBorder="1" applyAlignment="1">
      <alignment horizontal="center" vertical="top" wrapText="1"/>
    </xf>
    <xf numFmtId="166" fontId="2" fillId="7" borderId="47" xfId="0" applyNumberFormat="1" applyFont="1" applyFill="1" applyBorder="1" applyAlignment="1">
      <alignment horizontal="center" vertical="top"/>
    </xf>
    <xf numFmtId="166" fontId="2" fillId="7" borderId="19" xfId="0" applyNumberFormat="1" applyFont="1" applyFill="1" applyBorder="1" applyAlignment="1">
      <alignment horizontal="center" vertical="top"/>
    </xf>
    <xf numFmtId="166" fontId="2" fillId="7" borderId="45" xfId="0" applyNumberFormat="1" applyFont="1" applyFill="1" applyBorder="1" applyAlignment="1">
      <alignment horizontal="center" vertical="top"/>
    </xf>
    <xf numFmtId="166" fontId="2" fillId="7" borderId="59" xfId="0" applyNumberFormat="1" applyFont="1" applyFill="1" applyBorder="1" applyAlignment="1">
      <alignment horizontal="center" vertical="top"/>
    </xf>
    <xf numFmtId="166" fontId="2" fillId="7" borderId="105" xfId="0" applyNumberFormat="1" applyFont="1" applyFill="1" applyBorder="1" applyAlignment="1">
      <alignment horizontal="center" vertical="top"/>
    </xf>
    <xf numFmtId="166" fontId="2" fillId="0" borderId="75" xfId="0" applyNumberFormat="1" applyFont="1" applyBorder="1" applyAlignment="1">
      <alignment horizontal="center" vertical="top"/>
    </xf>
    <xf numFmtId="166" fontId="2" fillId="7" borderId="64" xfId="0" applyNumberFormat="1" applyFont="1" applyFill="1" applyBorder="1" applyAlignment="1">
      <alignment horizontal="center" vertical="top" wrapText="1"/>
    </xf>
    <xf numFmtId="166" fontId="2" fillId="7" borderId="13" xfId="0" applyNumberFormat="1" applyFont="1" applyFill="1" applyBorder="1" applyAlignment="1">
      <alignment horizontal="center" vertical="center" textRotation="90" wrapText="1"/>
    </xf>
    <xf numFmtId="166" fontId="2" fillId="7" borderId="36" xfId="0" applyNumberFormat="1" applyFont="1" applyFill="1" applyBorder="1" applyAlignment="1">
      <alignment horizontal="center" vertical="top"/>
    </xf>
    <xf numFmtId="166" fontId="2" fillId="7" borderId="7" xfId="0" applyNumberFormat="1" applyFont="1" applyFill="1" applyBorder="1" applyAlignment="1">
      <alignment horizontal="center" vertical="top"/>
    </xf>
    <xf numFmtId="166" fontId="2" fillId="7" borderId="29" xfId="0" applyNumberFormat="1" applyFont="1" applyFill="1" applyBorder="1" applyAlignment="1">
      <alignment horizontal="center" vertical="top"/>
    </xf>
    <xf numFmtId="166" fontId="2" fillId="7" borderId="84" xfId="0" applyNumberFormat="1" applyFont="1" applyFill="1" applyBorder="1" applyAlignment="1">
      <alignment horizontal="center" vertical="top"/>
    </xf>
    <xf numFmtId="166" fontId="2" fillId="7" borderId="12" xfId="0" applyNumberFormat="1" applyFont="1" applyFill="1" applyBorder="1" applyAlignment="1">
      <alignment horizontal="center" vertical="top"/>
    </xf>
    <xf numFmtId="166" fontId="2" fillId="7" borderId="79" xfId="0" applyNumberFormat="1" applyFont="1" applyFill="1" applyBorder="1" applyAlignment="1">
      <alignment horizontal="center" vertical="top"/>
    </xf>
    <xf numFmtId="166" fontId="2" fillId="7" borderId="99" xfId="0" applyNumberFormat="1" applyFont="1" applyFill="1" applyBorder="1" applyAlignment="1">
      <alignment horizontal="center" vertical="top"/>
    </xf>
    <xf numFmtId="166" fontId="3" fillId="8" borderId="66" xfId="0" applyNumberFormat="1" applyFont="1" applyFill="1" applyBorder="1" applyAlignment="1">
      <alignment horizontal="center" vertical="top"/>
    </xf>
    <xf numFmtId="166" fontId="8" fillId="7" borderId="19" xfId="0" applyNumberFormat="1" applyFont="1" applyFill="1" applyBorder="1" applyAlignment="1">
      <alignment horizontal="center" vertical="center" textRotation="90" wrapText="1"/>
    </xf>
    <xf numFmtId="166" fontId="2" fillId="7" borderId="47" xfId="0" applyNumberFormat="1" applyFont="1" applyFill="1" applyBorder="1" applyAlignment="1">
      <alignment horizontal="center" vertical="center" textRotation="90" wrapText="1"/>
    </xf>
    <xf numFmtId="166" fontId="3" fillId="2" borderId="24" xfId="0" applyNumberFormat="1" applyFont="1" applyFill="1" applyBorder="1" applyAlignment="1">
      <alignment horizontal="center" vertical="top"/>
    </xf>
    <xf numFmtId="166" fontId="3" fillId="9" borderId="66" xfId="0" applyNumberFormat="1" applyFont="1" applyFill="1" applyBorder="1" applyAlignment="1">
      <alignment horizontal="center" vertical="top"/>
    </xf>
    <xf numFmtId="166" fontId="3" fillId="5" borderId="24" xfId="0" applyNumberFormat="1" applyFont="1" applyFill="1" applyBorder="1" applyAlignment="1">
      <alignment horizontal="center" vertical="top"/>
    </xf>
    <xf numFmtId="166" fontId="2" fillId="7" borderId="49" xfId="0" applyNumberFormat="1" applyFont="1" applyFill="1" applyBorder="1" applyAlignment="1">
      <alignment vertical="top"/>
    </xf>
    <xf numFmtId="166" fontId="2" fillId="7" borderId="100" xfId="0" applyNumberFormat="1" applyFont="1" applyFill="1" applyBorder="1" applyAlignment="1">
      <alignment horizontal="center" vertical="top"/>
    </xf>
    <xf numFmtId="166" fontId="2" fillId="7" borderId="28" xfId="0" applyNumberFormat="1" applyFont="1" applyFill="1" applyBorder="1" applyAlignment="1">
      <alignment horizontal="center" vertical="center" textRotation="90" wrapText="1"/>
    </xf>
    <xf numFmtId="166" fontId="2" fillId="3" borderId="35" xfId="0" applyNumberFormat="1" applyFont="1" applyFill="1" applyBorder="1" applyAlignment="1">
      <alignment vertical="top" wrapText="1"/>
    </xf>
    <xf numFmtId="166" fontId="2" fillId="0" borderId="64" xfId="0" applyNumberFormat="1" applyFont="1" applyBorder="1" applyAlignment="1">
      <alignment horizontal="center" vertical="top"/>
    </xf>
    <xf numFmtId="166" fontId="2" fillId="7" borderId="68" xfId="0" applyNumberFormat="1" applyFont="1" applyFill="1" applyBorder="1" applyAlignment="1">
      <alignment vertical="top"/>
    </xf>
    <xf numFmtId="166" fontId="2" fillId="0" borderId="49" xfId="0" applyNumberFormat="1" applyFont="1" applyFill="1" applyBorder="1" applyAlignment="1">
      <alignment horizontal="center" vertical="top"/>
    </xf>
    <xf numFmtId="166" fontId="3" fillId="8" borderId="9" xfId="0" applyNumberFormat="1" applyFont="1" applyFill="1" applyBorder="1" applyAlignment="1">
      <alignment horizontal="center" vertical="top"/>
    </xf>
    <xf numFmtId="166" fontId="2" fillId="7" borderId="75" xfId="0" applyNumberFormat="1" applyFont="1" applyFill="1" applyBorder="1" applyAlignment="1">
      <alignment horizontal="center" vertical="top"/>
    </xf>
    <xf numFmtId="166" fontId="3" fillId="0" borderId="0" xfId="0" applyNumberFormat="1" applyFont="1" applyFill="1" applyBorder="1" applyAlignment="1">
      <alignment horizontal="center" vertical="top" wrapText="1"/>
    </xf>
    <xf numFmtId="166" fontId="2" fillId="2" borderId="32" xfId="0" applyNumberFormat="1" applyFont="1" applyFill="1" applyBorder="1" applyAlignment="1">
      <alignment horizontal="center" vertical="top" wrapText="1"/>
    </xf>
    <xf numFmtId="0" fontId="21" fillId="0" borderId="0" xfId="0" applyFont="1"/>
    <xf numFmtId="0" fontId="2" fillId="0" borderId="63" xfId="0" applyFont="1" applyBorder="1" applyAlignment="1">
      <alignment horizontal="center" vertical="center" textRotation="90"/>
    </xf>
    <xf numFmtId="0" fontId="2" fillId="0" borderId="3" xfId="0" applyFont="1" applyBorder="1" applyAlignment="1">
      <alignment horizontal="center" vertical="center" textRotation="90"/>
    </xf>
    <xf numFmtId="166" fontId="2" fillId="3" borderId="75" xfId="0" applyNumberFormat="1" applyFont="1" applyFill="1" applyBorder="1" applyAlignment="1">
      <alignment horizontal="center" vertical="top"/>
    </xf>
    <xf numFmtId="166" fontId="2" fillId="0" borderId="28" xfId="0" applyNumberFormat="1" applyFont="1" applyBorder="1" applyAlignment="1">
      <alignment horizontal="center" vertical="top"/>
    </xf>
    <xf numFmtId="3" fontId="2" fillId="7" borderId="48" xfId="0" applyNumberFormat="1" applyFont="1" applyFill="1" applyBorder="1" applyAlignment="1">
      <alignment horizontal="center" vertical="top"/>
    </xf>
    <xf numFmtId="3" fontId="2" fillId="7" borderId="35" xfId="0" applyNumberFormat="1" applyFont="1" applyFill="1" applyBorder="1" applyAlignment="1">
      <alignment horizontal="center" vertical="top" wrapText="1"/>
    </xf>
    <xf numFmtId="3" fontId="2" fillId="0" borderId="14" xfId="0" applyNumberFormat="1" applyFont="1" applyFill="1" applyBorder="1" applyAlignment="1">
      <alignment horizontal="center" vertical="top" wrapText="1"/>
    </xf>
    <xf numFmtId="3" fontId="6" fillId="7" borderId="28" xfId="0" applyNumberFormat="1" applyFont="1" applyFill="1" applyBorder="1" applyAlignment="1">
      <alignment horizontal="center" vertical="center" wrapText="1"/>
    </xf>
    <xf numFmtId="0" fontId="2" fillId="0" borderId="64" xfId="0" applyFont="1" applyBorder="1" applyAlignment="1">
      <alignment horizontal="center" vertical="top"/>
    </xf>
    <xf numFmtId="3" fontId="2" fillId="7" borderId="92" xfId="0" applyNumberFormat="1" applyFont="1" applyFill="1" applyBorder="1" applyAlignment="1">
      <alignment horizontal="center" vertical="top"/>
    </xf>
    <xf numFmtId="166" fontId="2" fillId="7" borderId="20" xfId="0" applyNumberFormat="1" applyFont="1" applyFill="1" applyBorder="1" applyAlignment="1">
      <alignment vertical="top"/>
    </xf>
    <xf numFmtId="166" fontId="2" fillId="7" borderId="46" xfId="0" applyNumberFormat="1" applyFont="1" applyFill="1" applyBorder="1" applyAlignment="1">
      <alignment vertical="top"/>
    </xf>
    <xf numFmtId="166" fontId="2" fillId="7" borderId="6" xfId="0" applyNumberFormat="1" applyFont="1" applyFill="1" applyBorder="1" applyAlignment="1">
      <alignment vertical="top"/>
    </xf>
    <xf numFmtId="166" fontId="2" fillId="7" borderId="11" xfId="0" applyNumberFormat="1" applyFont="1" applyFill="1" applyBorder="1" applyAlignment="1">
      <alignment vertical="top"/>
    </xf>
    <xf numFmtId="166" fontId="2" fillId="0" borderId="12" xfId="0" applyNumberFormat="1" applyFont="1" applyFill="1" applyBorder="1" applyAlignment="1">
      <alignment vertical="top" wrapText="1"/>
    </xf>
    <xf numFmtId="166" fontId="2" fillId="7" borderId="34" xfId="0" applyNumberFormat="1" applyFont="1" applyFill="1" applyBorder="1" applyAlignment="1">
      <alignment vertical="top"/>
    </xf>
    <xf numFmtId="166" fontId="2" fillId="7" borderId="53" xfId="0" applyNumberFormat="1" applyFont="1" applyFill="1" applyBorder="1" applyAlignment="1">
      <alignment horizontal="center" vertical="top"/>
    </xf>
    <xf numFmtId="166" fontId="2" fillId="0" borderId="49" xfId="0" applyNumberFormat="1" applyFont="1" applyBorder="1" applyAlignment="1">
      <alignment vertical="top"/>
    </xf>
    <xf numFmtId="166" fontId="2" fillId="0" borderId="13" xfId="0" applyNumberFormat="1" applyFont="1" applyBorder="1" applyAlignment="1">
      <alignment vertical="top"/>
    </xf>
    <xf numFmtId="3" fontId="2" fillId="7" borderId="80" xfId="0" applyNumberFormat="1" applyFont="1" applyFill="1" applyBorder="1" applyAlignment="1">
      <alignment horizontal="center" vertical="top"/>
    </xf>
    <xf numFmtId="166" fontId="2" fillId="7" borderId="94" xfId="0" applyNumberFormat="1" applyFont="1" applyFill="1" applyBorder="1" applyAlignment="1">
      <alignment horizontal="center" vertical="top"/>
    </xf>
    <xf numFmtId="166" fontId="3" fillId="8" borderId="65" xfId="0" applyNumberFormat="1" applyFont="1" applyFill="1" applyBorder="1" applyAlignment="1">
      <alignment horizontal="center" vertical="top"/>
    </xf>
    <xf numFmtId="166" fontId="2" fillId="7" borderId="25" xfId="0" applyNumberFormat="1" applyFont="1" applyFill="1" applyBorder="1" applyAlignment="1">
      <alignment horizontal="center" vertical="top"/>
    </xf>
    <xf numFmtId="166" fontId="3" fillId="8" borderId="2" xfId="0" applyNumberFormat="1" applyFont="1" applyFill="1" applyBorder="1" applyAlignment="1">
      <alignment horizontal="center" vertical="top"/>
    </xf>
    <xf numFmtId="166" fontId="3" fillId="8" borderId="32" xfId="0" applyNumberFormat="1" applyFont="1" applyFill="1" applyBorder="1" applyAlignment="1">
      <alignment horizontal="center" vertical="top"/>
    </xf>
    <xf numFmtId="166" fontId="2" fillId="7" borderId="39" xfId="0" applyNumberFormat="1" applyFont="1" applyFill="1" applyBorder="1" applyAlignment="1">
      <alignment horizontal="center" vertical="top"/>
    </xf>
    <xf numFmtId="166" fontId="2" fillId="7" borderId="56" xfId="0" applyNumberFormat="1" applyFont="1" applyFill="1" applyBorder="1" applyAlignment="1">
      <alignment horizontal="center" vertical="top"/>
    </xf>
    <xf numFmtId="166" fontId="2" fillId="7" borderId="30" xfId="0" applyNumberFormat="1" applyFont="1" applyFill="1" applyBorder="1" applyAlignment="1">
      <alignment horizontal="center" vertical="top"/>
    </xf>
    <xf numFmtId="166" fontId="2" fillId="7" borderId="14" xfId="0" applyNumberFormat="1" applyFont="1" applyFill="1" applyBorder="1" applyAlignment="1">
      <alignment horizontal="center" vertical="top"/>
    </xf>
    <xf numFmtId="166" fontId="2" fillId="7" borderId="13" xfId="0" applyNumberFormat="1" applyFont="1" applyFill="1" applyBorder="1" applyAlignment="1">
      <alignment horizontal="center" vertical="top"/>
    </xf>
    <xf numFmtId="166" fontId="2" fillId="7" borderId="95" xfId="0" applyNumberFormat="1" applyFont="1" applyFill="1" applyBorder="1" applyAlignment="1">
      <alignment horizontal="center" vertical="top"/>
    </xf>
    <xf numFmtId="166" fontId="2" fillId="0" borderId="85" xfId="0" applyNumberFormat="1" applyFont="1" applyFill="1" applyBorder="1" applyAlignment="1">
      <alignment horizontal="center" vertical="top"/>
    </xf>
    <xf numFmtId="49" fontId="2" fillId="7" borderId="85" xfId="0" applyNumberFormat="1" applyFont="1" applyFill="1" applyBorder="1" applyAlignment="1">
      <alignment horizontal="center" vertical="top"/>
    </xf>
    <xf numFmtId="3" fontId="6" fillId="7" borderId="48" xfId="0" applyNumberFormat="1" applyFont="1" applyFill="1" applyBorder="1" applyAlignment="1">
      <alignment horizontal="center" vertical="top" wrapText="1"/>
    </xf>
    <xf numFmtId="166" fontId="2" fillId="0" borderId="8" xfId="0" applyNumberFormat="1" applyFont="1" applyFill="1" applyBorder="1" applyAlignment="1">
      <alignment horizontal="center" vertical="top"/>
    </xf>
    <xf numFmtId="0" fontId="2" fillId="7" borderId="84" xfId="0" applyFont="1" applyFill="1" applyBorder="1" applyAlignment="1">
      <alignment vertical="top" wrapText="1"/>
    </xf>
    <xf numFmtId="166" fontId="2" fillId="7" borderId="38" xfId="0" applyNumberFormat="1" applyFont="1" applyFill="1" applyBorder="1" applyAlignment="1">
      <alignment horizontal="center" vertical="top"/>
    </xf>
    <xf numFmtId="49" fontId="2" fillId="7" borderId="48" xfId="0" applyNumberFormat="1" applyFont="1" applyFill="1" applyBorder="1" applyAlignment="1">
      <alignment horizontal="center" vertical="top"/>
    </xf>
    <xf numFmtId="166" fontId="6" fillId="7" borderId="30" xfId="0" applyNumberFormat="1" applyFont="1" applyFill="1" applyBorder="1" applyAlignment="1">
      <alignment horizontal="center" vertical="top" wrapText="1"/>
    </xf>
    <xf numFmtId="3" fontId="2" fillId="7" borderId="83" xfId="0" applyNumberFormat="1" applyFont="1" applyFill="1" applyBorder="1" applyAlignment="1">
      <alignment horizontal="center" vertical="top"/>
    </xf>
    <xf numFmtId="166" fontId="2" fillId="7" borderId="28" xfId="0" applyNumberFormat="1" applyFont="1" applyFill="1" applyBorder="1" applyAlignment="1">
      <alignment vertical="top"/>
    </xf>
    <xf numFmtId="166" fontId="2" fillId="7" borderId="64" xfId="0" applyNumberFormat="1" applyFont="1" applyFill="1" applyBorder="1" applyAlignment="1">
      <alignment vertical="top"/>
    </xf>
    <xf numFmtId="166" fontId="2" fillId="7" borderId="53" xfId="0" applyNumberFormat="1" applyFont="1" applyFill="1" applyBorder="1" applyAlignment="1">
      <alignment vertical="top"/>
    </xf>
    <xf numFmtId="0" fontId="4" fillId="0" borderId="11" xfId="0" applyFont="1" applyFill="1" applyBorder="1" applyAlignment="1">
      <alignment horizontal="center" vertical="center" textRotation="90" wrapText="1"/>
    </xf>
    <xf numFmtId="3" fontId="2" fillId="7" borderId="106" xfId="0" applyNumberFormat="1" applyFont="1" applyFill="1" applyBorder="1" applyAlignment="1">
      <alignment horizontal="center" vertical="top"/>
    </xf>
    <xf numFmtId="166" fontId="3" fillId="8" borderId="72" xfId="0" applyNumberFormat="1" applyFont="1" applyFill="1" applyBorder="1" applyAlignment="1">
      <alignment horizontal="center" vertical="top"/>
    </xf>
    <xf numFmtId="3" fontId="6" fillId="7" borderId="18" xfId="0" applyNumberFormat="1" applyFont="1" applyFill="1" applyBorder="1" applyAlignment="1">
      <alignment horizontal="center" vertical="top" wrapText="1"/>
    </xf>
    <xf numFmtId="166" fontId="2" fillId="0" borderId="26" xfId="0" applyNumberFormat="1" applyFont="1" applyBorder="1" applyAlignment="1">
      <alignment horizontal="center" vertical="center" wrapText="1"/>
    </xf>
    <xf numFmtId="166" fontId="7" fillId="3" borderId="35" xfId="0" applyNumberFormat="1" applyFont="1" applyFill="1" applyBorder="1" applyAlignment="1">
      <alignment horizontal="left" vertical="top" wrapText="1"/>
    </xf>
    <xf numFmtId="166" fontId="2" fillId="7" borderId="29" xfId="0" applyNumberFormat="1" applyFont="1" applyFill="1" applyBorder="1" applyAlignment="1">
      <alignment vertical="top" wrapText="1"/>
    </xf>
    <xf numFmtId="166" fontId="3" fillId="2" borderId="9" xfId="0" applyNumberFormat="1" applyFont="1" applyFill="1" applyBorder="1" applyAlignment="1">
      <alignment horizontal="center" vertical="top"/>
    </xf>
    <xf numFmtId="166" fontId="2" fillId="7" borderId="43" xfId="0" applyNumberFormat="1" applyFont="1" applyFill="1" applyBorder="1" applyAlignment="1">
      <alignment vertical="top"/>
    </xf>
    <xf numFmtId="3" fontId="13" fillId="7" borderId="80" xfId="0" applyNumberFormat="1" applyFont="1" applyFill="1" applyBorder="1" applyAlignment="1">
      <alignment horizontal="center" vertical="top"/>
    </xf>
    <xf numFmtId="166" fontId="3" fillId="8" borderId="61" xfId="0" applyNumberFormat="1" applyFont="1" applyFill="1" applyBorder="1" applyAlignment="1">
      <alignment horizontal="center" vertical="top"/>
    </xf>
    <xf numFmtId="166" fontId="2" fillId="7" borderId="84" xfId="0" applyNumberFormat="1" applyFont="1" applyFill="1" applyBorder="1" applyAlignment="1">
      <alignment vertical="top" wrapText="1"/>
    </xf>
    <xf numFmtId="166" fontId="2" fillId="7" borderId="44" xfId="0" applyNumberFormat="1" applyFont="1" applyFill="1" applyBorder="1" applyAlignment="1">
      <alignment horizontal="center" vertical="top"/>
    </xf>
    <xf numFmtId="166" fontId="2" fillId="7" borderId="51" xfId="0" applyNumberFormat="1" applyFont="1" applyFill="1" applyBorder="1" applyAlignment="1">
      <alignment horizontal="center" vertical="top"/>
    </xf>
    <xf numFmtId="49" fontId="3" fillId="7" borderId="11" xfId="0" applyNumberFormat="1" applyFont="1" applyFill="1" applyBorder="1" applyAlignment="1">
      <alignment vertical="top"/>
    </xf>
    <xf numFmtId="166" fontId="3" fillId="7" borderId="48" xfId="0" applyNumberFormat="1" applyFont="1" applyFill="1" applyBorder="1" applyAlignment="1">
      <alignment vertical="top"/>
    </xf>
    <xf numFmtId="166" fontId="3" fillId="7" borderId="41" xfId="0" applyNumberFormat="1" applyFont="1" applyFill="1" applyBorder="1" applyAlignment="1">
      <alignment vertical="top" wrapText="1"/>
    </xf>
    <xf numFmtId="166" fontId="3" fillId="7" borderId="20" xfId="0" applyNumberFormat="1" applyFont="1" applyFill="1" applyBorder="1" applyAlignment="1">
      <alignment vertical="top"/>
    </xf>
    <xf numFmtId="166" fontId="2" fillId="7" borderId="92" xfId="0" applyNumberFormat="1" applyFont="1" applyFill="1" applyBorder="1" applyAlignment="1">
      <alignment vertical="top" wrapText="1"/>
    </xf>
    <xf numFmtId="166" fontId="2" fillId="7" borderId="41" xfId="0" applyNumberFormat="1" applyFont="1" applyFill="1" applyBorder="1" applyAlignment="1">
      <alignment horizontal="center" vertical="top"/>
    </xf>
    <xf numFmtId="166" fontId="2" fillId="7" borderId="26" xfId="0" applyNumberFormat="1" applyFont="1" applyFill="1" applyBorder="1" applyAlignment="1">
      <alignment horizontal="center" vertical="top"/>
    </xf>
    <xf numFmtId="166" fontId="2" fillId="7" borderId="11" xfId="0" applyNumberFormat="1" applyFont="1" applyFill="1" applyBorder="1" applyAlignment="1">
      <alignment horizontal="center" vertical="top"/>
    </xf>
    <xf numFmtId="166" fontId="3" fillId="7" borderId="75" xfId="0" applyNumberFormat="1" applyFont="1" applyFill="1" applyBorder="1" applyAlignment="1">
      <alignment horizontal="center" vertical="top"/>
    </xf>
    <xf numFmtId="166" fontId="7" fillId="0" borderId="48" xfId="0" applyNumberFormat="1" applyFont="1" applyFill="1" applyBorder="1" applyAlignment="1">
      <alignment horizontal="left" vertical="top" wrapText="1"/>
    </xf>
    <xf numFmtId="166" fontId="2" fillId="7" borderId="27" xfId="0" applyNumberFormat="1" applyFont="1" applyFill="1" applyBorder="1" applyAlignment="1">
      <alignment horizontal="center" vertical="center" wrapText="1"/>
    </xf>
    <xf numFmtId="166" fontId="2" fillId="3" borderId="15" xfId="0" applyNumberFormat="1" applyFont="1" applyFill="1" applyBorder="1" applyAlignment="1">
      <alignment horizontal="center" vertical="center" wrapText="1"/>
    </xf>
    <xf numFmtId="166" fontId="2" fillId="7" borderId="79" xfId="0" applyNumberFormat="1" applyFont="1" applyFill="1" applyBorder="1" applyAlignment="1">
      <alignment vertical="top" wrapText="1"/>
    </xf>
    <xf numFmtId="166" fontId="2" fillId="0" borderId="15" xfId="0" applyNumberFormat="1" applyFont="1" applyBorder="1" applyAlignment="1">
      <alignment horizontal="center" vertical="top" wrapText="1"/>
    </xf>
    <xf numFmtId="166" fontId="2" fillId="7" borderId="85" xfId="0" applyNumberFormat="1" applyFont="1" applyFill="1" applyBorder="1" applyAlignment="1">
      <alignment vertical="top" wrapText="1"/>
    </xf>
    <xf numFmtId="166" fontId="2" fillId="7" borderId="30" xfId="0" applyNumberFormat="1" applyFont="1" applyFill="1" applyBorder="1" applyAlignment="1">
      <alignment vertical="top" wrapText="1"/>
    </xf>
    <xf numFmtId="166" fontId="2" fillId="3" borderId="6" xfId="0" applyNumberFormat="1" applyFont="1" applyFill="1" applyBorder="1" applyAlignment="1">
      <alignment horizontal="center" vertical="top"/>
    </xf>
    <xf numFmtId="166" fontId="2" fillId="7" borderId="5" xfId="0" applyNumberFormat="1" applyFont="1" applyFill="1" applyBorder="1" applyAlignment="1">
      <alignment vertical="top" wrapText="1"/>
    </xf>
    <xf numFmtId="166" fontId="2" fillId="7" borderId="77" xfId="0" applyNumberFormat="1" applyFont="1" applyFill="1" applyBorder="1" applyAlignment="1">
      <alignment horizontal="left" vertical="top" wrapText="1"/>
    </xf>
    <xf numFmtId="166" fontId="2" fillId="3" borderId="0"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49" fontId="3" fillId="9" borderId="16" xfId="0" applyNumberFormat="1" applyFont="1" applyFill="1" applyBorder="1" applyAlignment="1">
      <alignment horizontal="center" vertical="top"/>
    </xf>
    <xf numFmtId="0" fontId="2" fillId="0" borderId="32" xfId="0" applyFont="1" applyBorder="1" applyAlignment="1">
      <alignment horizontal="center" vertical="top"/>
    </xf>
    <xf numFmtId="166" fontId="3" fillId="9" borderId="7"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9" borderId="5" xfId="0" applyNumberFormat="1" applyFont="1" applyFill="1" applyBorder="1" applyAlignment="1">
      <alignment horizontal="center" vertical="top"/>
    </xf>
    <xf numFmtId="166" fontId="3" fillId="9" borderId="9"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166" fontId="2" fillId="3" borderId="11" xfId="0" applyNumberFormat="1" applyFont="1" applyFill="1" applyBorder="1" applyAlignment="1">
      <alignment horizontal="center" vertical="center" textRotation="90" wrapText="1"/>
    </xf>
    <xf numFmtId="166" fontId="3" fillId="7" borderId="25" xfId="0" applyNumberFormat="1" applyFont="1" applyFill="1" applyBorder="1" applyAlignment="1">
      <alignment vertical="top"/>
    </xf>
    <xf numFmtId="166" fontId="18" fillId="7" borderId="29" xfId="0" applyNumberFormat="1" applyFont="1" applyFill="1" applyBorder="1" applyAlignment="1">
      <alignment vertical="top" wrapText="1"/>
    </xf>
    <xf numFmtId="166" fontId="18" fillId="7" borderId="6" xfId="0" applyNumberFormat="1" applyFont="1" applyFill="1" applyBorder="1" applyAlignment="1">
      <alignment horizontal="center" vertical="top"/>
    </xf>
    <xf numFmtId="3" fontId="2" fillId="0"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0" borderId="35" xfId="0" applyNumberFormat="1" applyFont="1" applyFill="1" applyBorder="1" applyAlignment="1">
      <alignment horizontal="center" vertical="top" wrapText="1"/>
    </xf>
    <xf numFmtId="166" fontId="2" fillId="7" borderId="8" xfId="0" applyNumberFormat="1" applyFont="1" applyFill="1" applyBorder="1" applyAlignment="1">
      <alignment horizontal="center" vertical="top" wrapText="1"/>
    </xf>
    <xf numFmtId="166" fontId="3" fillId="0" borderId="48" xfId="0" applyNumberFormat="1" applyFont="1" applyBorder="1" applyAlignment="1">
      <alignment horizontal="center" vertical="top"/>
    </xf>
    <xf numFmtId="166" fontId="3" fillId="7" borderId="48" xfId="0" applyNumberFormat="1" applyFont="1" applyFill="1" applyBorder="1" applyAlignment="1">
      <alignment horizontal="center" vertical="top" wrapText="1"/>
    </xf>
    <xf numFmtId="166" fontId="3" fillId="7" borderId="25"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3" fillId="3" borderId="35" xfId="0" applyNumberFormat="1" applyFont="1" applyFill="1" applyBorder="1" applyAlignment="1">
      <alignment horizontal="center" vertical="top" wrapText="1"/>
    </xf>
    <xf numFmtId="3" fontId="2" fillId="0" borderId="25"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2" borderId="56" xfId="0" applyNumberFormat="1" applyFont="1" applyFill="1" applyBorder="1" applyAlignment="1">
      <alignment horizontal="center" vertical="top"/>
    </xf>
    <xf numFmtId="166" fontId="3" fillId="2" borderId="41" xfId="0" applyNumberFormat="1" applyFont="1" applyFill="1" applyBorder="1" applyAlignment="1">
      <alignment horizontal="center" vertical="top"/>
    </xf>
    <xf numFmtId="166" fontId="3" fillId="2" borderId="74"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3" fontId="2" fillId="7" borderId="25" xfId="0" applyNumberFormat="1" applyFont="1" applyFill="1" applyBorder="1" applyAlignment="1">
      <alignment horizontal="center" vertical="top"/>
    </xf>
    <xf numFmtId="166" fontId="3" fillId="8" borderId="58" xfId="0" applyNumberFormat="1" applyFont="1" applyFill="1" applyBorder="1" applyAlignment="1">
      <alignment horizontal="center" vertical="top"/>
    </xf>
    <xf numFmtId="166" fontId="4" fillId="3" borderId="11" xfId="0" applyNumberFormat="1" applyFont="1" applyFill="1" applyBorder="1" applyAlignment="1">
      <alignment horizontal="center" vertical="center" textRotation="90" wrapText="1"/>
    </xf>
    <xf numFmtId="166" fontId="3" fillId="0" borderId="35" xfId="0" applyNumberFormat="1" applyFont="1" applyBorder="1" applyAlignment="1">
      <alignment horizontal="center" vertical="top"/>
    </xf>
    <xf numFmtId="166" fontId="2" fillId="8" borderId="23" xfId="0" applyNumberFormat="1" applyFont="1" applyFill="1" applyBorder="1" applyAlignment="1">
      <alignment horizontal="center" vertical="top"/>
    </xf>
    <xf numFmtId="166" fontId="3" fillId="5" borderId="23" xfId="0" applyNumberFormat="1" applyFont="1" applyFill="1" applyBorder="1" applyAlignment="1">
      <alignment horizontal="center" vertical="top"/>
    </xf>
    <xf numFmtId="166" fontId="3" fillId="4" borderId="66" xfId="0" applyNumberFormat="1" applyFont="1" applyFill="1" applyBorder="1" applyAlignment="1">
      <alignment horizontal="center" vertical="top"/>
    </xf>
    <xf numFmtId="49" fontId="2" fillId="0" borderId="85" xfId="0" applyNumberFormat="1" applyFont="1" applyFill="1" applyBorder="1" applyAlignment="1">
      <alignment horizontal="center" vertical="top"/>
    </xf>
    <xf numFmtId="49" fontId="2" fillId="7" borderId="20" xfId="0" applyNumberFormat="1" applyFont="1" applyFill="1" applyBorder="1" applyAlignment="1">
      <alignment horizontal="left" vertical="top" wrapText="1"/>
    </xf>
    <xf numFmtId="0" fontId="2" fillId="7" borderId="85" xfId="0" applyNumberFormat="1" applyFont="1" applyFill="1" applyBorder="1" applyAlignment="1">
      <alignment horizontal="left" vertical="top" wrapText="1"/>
    </xf>
    <xf numFmtId="0" fontId="2" fillId="7" borderId="7" xfId="0" applyFont="1" applyFill="1" applyBorder="1" applyAlignment="1">
      <alignment vertical="top" wrapText="1"/>
    </xf>
    <xf numFmtId="166" fontId="3" fillId="9" borderId="7" xfId="0" applyNumberFormat="1" applyFont="1" applyFill="1" applyBorder="1" applyAlignment="1">
      <alignment horizontal="center" vertical="top"/>
    </xf>
    <xf numFmtId="166" fontId="2" fillId="7" borderId="20" xfId="0" applyNumberFormat="1" applyFont="1" applyFill="1" applyBorder="1" applyAlignment="1">
      <alignment horizontal="left" vertical="top" wrapText="1"/>
    </xf>
    <xf numFmtId="166" fontId="3" fillId="7" borderId="48" xfId="0" applyNumberFormat="1" applyFont="1" applyFill="1" applyBorder="1" applyAlignment="1">
      <alignment horizontal="center" vertical="top"/>
    </xf>
    <xf numFmtId="166" fontId="3" fillId="0" borderId="48" xfId="0" applyNumberFormat="1" applyFont="1" applyBorder="1" applyAlignment="1">
      <alignment horizontal="center" vertical="top"/>
    </xf>
    <xf numFmtId="166" fontId="3" fillId="7" borderId="48" xfId="0" applyNumberFormat="1" applyFont="1" applyFill="1" applyBorder="1" applyAlignment="1">
      <alignment horizontal="center" vertical="top" wrapText="1"/>
    </xf>
    <xf numFmtId="166" fontId="8" fillId="7" borderId="11" xfId="0" applyNumberFormat="1" applyFont="1" applyFill="1" applyBorder="1" applyAlignment="1">
      <alignment horizontal="center" vertical="center" textRotation="90" wrapText="1"/>
    </xf>
    <xf numFmtId="166" fontId="2" fillId="7" borderId="36" xfId="0" applyNumberFormat="1" applyFont="1" applyFill="1" applyBorder="1" applyAlignment="1">
      <alignment vertical="top" wrapText="1"/>
    </xf>
    <xf numFmtId="166" fontId="2" fillId="7" borderId="7" xfId="0" applyNumberFormat="1" applyFont="1" applyFill="1" applyBorder="1" applyAlignment="1">
      <alignment vertical="top" wrapText="1"/>
    </xf>
    <xf numFmtId="166" fontId="3" fillId="9" borderId="5" xfId="0" applyNumberFormat="1" applyFont="1" applyFill="1" applyBorder="1" applyAlignment="1">
      <alignment horizontal="center" vertical="top"/>
    </xf>
    <xf numFmtId="166" fontId="3" fillId="9" borderId="9"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166" fontId="2" fillId="7" borderId="28" xfId="0" applyNumberFormat="1" applyFont="1" applyFill="1" applyBorder="1" applyAlignment="1">
      <alignment horizontal="left" vertical="top" wrapText="1"/>
    </xf>
    <xf numFmtId="166" fontId="2" fillId="7" borderId="97" xfId="0" applyNumberFormat="1" applyFont="1" applyFill="1" applyBorder="1" applyAlignment="1">
      <alignment horizontal="left" vertical="top" wrapText="1"/>
    </xf>
    <xf numFmtId="166" fontId="2" fillId="7" borderId="18" xfId="0" applyNumberFormat="1" applyFont="1" applyFill="1" applyBorder="1" applyAlignment="1">
      <alignment horizontal="center" vertical="top" wrapText="1"/>
    </xf>
    <xf numFmtId="166" fontId="3" fillId="7" borderId="20"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3" fillId="7" borderId="1" xfId="0" applyNumberFormat="1" applyFont="1" applyFill="1" applyBorder="1" applyAlignment="1">
      <alignment horizontal="center" vertical="top" wrapText="1"/>
    </xf>
    <xf numFmtId="166" fontId="8" fillId="7" borderId="27" xfId="0" applyNumberFormat="1" applyFont="1" applyFill="1" applyBorder="1" applyAlignment="1">
      <alignment horizontal="center" vertical="center" wrapText="1"/>
    </xf>
    <xf numFmtId="166" fontId="2" fillId="0" borderId="18" xfId="0" applyNumberFormat="1" applyFont="1" applyBorder="1" applyAlignment="1">
      <alignment horizontal="center" vertical="top" wrapText="1"/>
    </xf>
    <xf numFmtId="166" fontId="8" fillId="7" borderId="48" xfId="0" applyNumberFormat="1" applyFont="1" applyFill="1" applyBorder="1" applyAlignment="1">
      <alignment vertical="top" wrapText="1"/>
    </xf>
    <xf numFmtId="166" fontId="8" fillId="7" borderId="18" xfId="0" applyNumberFormat="1" applyFont="1" applyFill="1" applyBorder="1" applyAlignment="1">
      <alignment horizontal="center" wrapText="1"/>
    </xf>
    <xf numFmtId="0" fontId="2" fillId="7" borderId="49" xfId="0" applyFont="1" applyFill="1" applyBorder="1" applyAlignment="1">
      <alignment horizontal="center" vertical="top"/>
    </xf>
    <xf numFmtId="3" fontId="6" fillId="7" borderId="75" xfId="0" applyNumberFormat="1" applyFont="1" applyFill="1" applyBorder="1" applyAlignment="1">
      <alignment horizontal="center" vertical="center" wrapText="1"/>
    </xf>
    <xf numFmtId="3" fontId="6" fillId="7" borderId="27" xfId="0" applyNumberFormat="1" applyFont="1" applyFill="1" applyBorder="1" applyAlignment="1">
      <alignment horizontal="center" vertical="center" wrapText="1"/>
    </xf>
    <xf numFmtId="3" fontId="2" fillId="0" borderId="15" xfId="0" applyNumberFormat="1" applyFont="1" applyFill="1" applyBorder="1" applyAlignment="1">
      <alignment horizontal="center" vertical="top" wrapText="1"/>
    </xf>
    <xf numFmtId="3" fontId="2" fillId="7" borderId="0" xfId="0" applyNumberFormat="1" applyFont="1" applyFill="1" applyBorder="1" applyAlignment="1">
      <alignment horizontal="center" vertical="top"/>
    </xf>
    <xf numFmtId="3" fontId="2" fillId="7" borderId="75" xfId="0" applyNumberFormat="1" applyFont="1" applyFill="1" applyBorder="1" applyAlignment="1">
      <alignment horizontal="center" vertical="top"/>
    </xf>
    <xf numFmtId="166" fontId="6" fillId="0" borderId="18" xfId="0" applyNumberFormat="1" applyFont="1" applyFill="1" applyBorder="1" applyAlignment="1">
      <alignment horizontal="center" vertical="top" wrapText="1"/>
    </xf>
    <xf numFmtId="166" fontId="2" fillId="7" borderId="36" xfId="0" applyNumberFormat="1" applyFont="1" applyFill="1" applyBorder="1" applyAlignment="1">
      <alignment vertical="top"/>
    </xf>
    <xf numFmtId="49" fontId="2" fillId="7" borderId="28" xfId="0" applyNumberFormat="1" applyFont="1" applyFill="1" applyBorder="1" applyAlignment="1">
      <alignment horizontal="center" vertical="top"/>
    </xf>
    <xf numFmtId="49" fontId="2" fillId="7" borderId="35" xfId="0" applyNumberFormat="1" applyFont="1" applyFill="1" applyBorder="1" applyAlignment="1">
      <alignment horizontal="center" vertical="top"/>
    </xf>
    <xf numFmtId="166" fontId="2" fillId="7" borderId="21" xfId="0" applyNumberFormat="1" applyFont="1" applyFill="1" applyBorder="1" applyAlignment="1">
      <alignment vertical="top"/>
    </xf>
    <xf numFmtId="0" fontId="2" fillId="7" borderId="48" xfId="0" applyNumberFormat="1" applyFont="1" applyFill="1" applyBorder="1" applyAlignment="1">
      <alignment horizontal="center" vertical="top" wrapText="1"/>
    </xf>
    <xf numFmtId="0" fontId="2" fillId="7" borderId="97" xfId="0" applyNumberFormat="1" applyFont="1" applyFill="1" applyBorder="1" applyAlignment="1">
      <alignment horizontal="center" vertical="top" wrapText="1"/>
    </xf>
    <xf numFmtId="3" fontId="2" fillId="7" borderId="95" xfId="0" applyNumberFormat="1" applyFont="1" applyFill="1" applyBorder="1" applyAlignment="1">
      <alignment horizontal="center" vertical="top"/>
    </xf>
    <xf numFmtId="3" fontId="2" fillId="7" borderId="105" xfId="0" applyNumberFormat="1" applyFont="1" applyFill="1" applyBorder="1" applyAlignment="1">
      <alignment horizontal="center" vertical="top"/>
    </xf>
    <xf numFmtId="3" fontId="2" fillId="7" borderId="111" xfId="0" applyNumberFormat="1" applyFont="1" applyFill="1" applyBorder="1" applyAlignment="1">
      <alignment horizontal="center" vertical="top"/>
    </xf>
    <xf numFmtId="3" fontId="2" fillId="7" borderId="110" xfId="0" applyNumberFormat="1" applyFont="1" applyFill="1" applyBorder="1" applyAlignment="1">
      <alignment horizontal="center" vertical="top"/>
    </xf>
    <xf numFmtId="166" fontId="2" fillId="7" borderId="87" xfId="0" applyNumberFormat="1" applyFont="1" applyFill="1" applyBorder="1" applyAlignment="1">
      <alignment horizontal="center" vertical="top"/>
    </xf>
    <xf numFmtId="166" fontId="2" fillId="7" borderId="15" xfId="0" applyNumberFormat="1" applyFont="1" applyFill="1" applyBorder="1" applyAlignment="1">
      <alignment horizontal="center" vertical="top"/>
    </xf>
    <xf numFmtId="166" fontId="8" fillId="7" borderId="45" xfId="0" applyNumberFormat="1" applyFont="1" applyFill="1" applyBorder="1" applyAlignment="1">
      <alignment horizontal="center" vertical="center" textRotation="90" wrapText="1"/>
    </xf>
    <xf numFmtId="3" fontId="2" fillId="7" borderId="47" xfId="0" applyNumberFormat="1" applyFont="1" applyFill="1" applyBorder="1" applyAlignment="1">
      <alignment horizontal="center" vertical="top"/>
    </xf>
    <xf numFmtId="49" fontId="3" fillId="9" borderId="34" xfId="0" applyNumberFormat="1" applyFont="1" applyFill="1" applyBorder="1" applyAlignment="1">
      <alignment horizontal="center" vertical="top"/>
    </xf>
    <xf numFmtId="3" fontId="2" fillId="7" borderId="18" xfId="0" applyNumberFormat="1" applyFont="1" applyFill="1" applyBorder="1" applyAlignment="1">
      <alignment horizontal="center" vertical="top" wrapText="1"/>
    </xf>
    <xf numFmtId="0" fontId="2" fillId="7" borderId="34" xfId="0" applyFont="1" applyFill="1" applyBorder="1" applyAlignment="1">
      <alignment vertical="top"/>
    </xf>
    <xf numFmtId="0" fontId="2" fillId="7" borderId="11" xfId="0" applyFont="1" applyFill="1" applyBorder="1" applyAlignment="1">
      <alignment vertical="top"/>
    </xf>
    <xf numFmtId="0" fontId="2" fillId="7" borderId="48" xfId="0" applyFont="1" applyFill="1" applyBorder="1" applyAlignment="1">
      <alignment vertical="top"/>
    </xf>
    <xf numFmtId="0" fontId="2" fillId="7" borderId="21" xfId="0" applyFont="1" applyFill="1" applyBorder="1" applyAlignment="1">
      <alignment vertical="top"/>
    </xf>
    <xf numFmtId="0" fontId="2" fillId="7" borderId="18" xfId="0" applyFont="1" applyFill="1" applyBorder="1" applyAlignment="1">
      <alignment vertical="top"/>
    </xf>
    <xf numFmtId="166" fontId="2" fillId="7" borderId="34" xfId="0" applyNumberFormat="1" applyFont="1" applyFill="1" applyBorder="1" applyAlignment="1">
      <alignment horizontal="center" vertical="top" wrapText="1"/>
    </xf>
    <xf numFmtId="166" fontId="2" fillId="7" borderId="43" xfId="0" applyNumberFormat="1" applyFont="1" applyFill="1" applyBorder="1" applyAlignment="1">
      <alignment horizontal="center" vertical="top" wrapText="1"/>
    </xf>
    <xf numFmtId="166" fontId="2" fillId="7" borderId="5" xfId="0" applyNumberFormat="1" applyFont="1" applyFill="1" applyBorder="1" applyAlignment="1">
      <alignment horizontal="left" vertical="top" wrapText="1"/>
    </xf>
    <xf numFmtId="166" fontId="2" fillId="7" borderId="0" xfId="0" applyNumberFormat="1" applyFont="1" applyFill="1" applyBorder="1" applyAlignment="1">
      <alignment horizontal="center" vertical="top" wrapText="1"/>
    </xf>
    <xf numFmtId="3" fontId="2" fillId="7" borderId="25" xfId="0" applyNumberFormat="1" applyFont="1" applyFill="1" applyBorder="1" applyAlignment="1">
      <alignment horizontal="center" vertical="top" wrapText="1"/>
    </xf>
    <xf numFmtId="166" fontId="2" fillId="7" borderId="75" xfId="1" applyNumberFormat="1" applyFont="1" applyFill="1" applyBorder="1" applyAlignment="1">
      <alignment horizontal="center" vertical="top"/>
    </xf>
    <xf numFmtId="166" fontId="2" fillId="7" borderId="23" xfId="1" applyNumberFormat="1" applyFont="1" applyFill="1" applyBorder="1" applyAlignment="1">
      <alignment horizontal="center" vertical="top"/>
    </xf>
    <xf numFmtId="166" fontId="3" fillId="2" borderId="55" xfId="0" applyNumberFormat="1" applyFont="1" applyFill="1" applyBorder="1" applyAlignment="1">
      <alignment horizontal="center" vertical="top"/>
    </xf>
    <xf numFmtId="49" fontId="2" fillId="7" borderId="18" xfId="0" applyNumberFormat="1" applyFont="1" applyFill="1" applyBorder="1" applyAlignment="1">
      <alignment horizontal="center" vertical="top"/>
    </xf>
    <xf numFmtId="0" fontId="2" fillId="7" borderId="0" xfId="0" applyFont="1" applyFill="1" applyBorder="1" applyAlignment="1">
      <alignment vertical="top"/>
    </xf>
    <xf numFmtId="166" fontId="2" fillId="7" borderId="5" xfId="0" applyNumberFormat="1" applyFont="1" applyFill="1" applyBorder="1" applyAlignment="1">
      <alignment horizontal="center" vertical="top"/>
    </xf>
    <xf numFmtId="166" fontId="2" fillId="7" borderId="50" xfId="0" applyNumberFormat="1" applyFont="1" applyFill="1" applyBorder="1" applyAlignment="1">
      <alignment horizontal="center" vertical="top"/>
    </xf>
    <xf numFmtId="166" fontId="3" fillId="8" borderId="33" xfId="0" applyNumberFormat="1" applyFont="1" applyFill="1" applyBorder="1" applyAlignment="1">
      <alignment horizontal="center" vertical="top"/>
    </xf>
    <xf numFmtId="3" fontId="2" fillId="7" borderId="97" xfId="0" applyNumberFormat="1" applyFont="1" applyFill="1" applyBorder="1" applyAlignment="1">
      <alignment horizontal="center" vertical="top"/>
    </xf>
    <xf numFmtId="166" fontId="2" fillId="7" borderId="25" xfId="0" applyNumberFormat="1" applyFont="1" applyFill="1" applyBorder="1" applyAlignment="1">
      <alignment horizontal="center" vertical="center" textRotation="90" wrapText="1"/>
    </xf>
    <xf numFmtId="166" fontId="3" fillId="7" borderId="48" xfId="0" applyNumberFormat="1" applyFont="1" applyFill="1" applyBorder="1" applyAlignment="1">
      <alignment vertical="top" wrapText="1"/>
    </xf>
    <xf numFmtId="166" fontId="3" fillId="7" borderId="35" xfId="0" applyNumberFormat="1" applyFont="1" applyFill="1" applyBorder="1" applyAlignment="1">
      <alignment vertical="top" wrapText="1"/>
    </xf>
    <xf numFmtId="49" fontId="2" fillId="7" borderId="20" xfId="0" applyNumberFormat="1" applyFont="1" applyFill="1" applyBorder="1" applyAlignment="1">
      <alignment horizontal="center" vertical="top"/>
    </xf>
    <xf numFmtId="166" fontId="2" fillId="0" borderId="80"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166" fontId="3" fillId="7" borderId="25"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166" fontId="3" fillId="8" borderId="56"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166" fontId="8" fillId="8" borderId="58" xfId="0" applyNumberFormat="1" applyFont="1" applyFill="1" applyBorder="1" applyAlignment="1">
      <alignment vertical="top" wrapText="1"/>
    </xf>
    <xf numFmtId="166" fontId="11" fillId="8" borderId="58" xfId="0" applyNumberFormat="1" applyFont="1" applyFill="1" applyBorder="1" applyAlignment="1">
      <alignment horizontal="center" vertical="center" textRotation="90" wrapText="1"/>
    </xf>
    <xf numFmtId="166" fontId="3" fillId="8" borderId="11" xfId="0" applyNumberFormat="1" applyFont="1" applyFill="1" applyBorder="1" applyAlignment="1">
      <alignment horizontal="center" vertical="top"/>
    </xf>
    <xf numFmtId="166" fontId="3" fillId="8" borderId="25" xfId="0" applyNumberFormat="1" applyFont="1" applyFill="1" applyBorder="1" applyAlignment="1">
      <alignment horizontal="center" vertical="top"/>
    </xf>
    <xf numFmtId="166" fontId="18" fillId="8" borderId="65" xfId="0" applyNumberFormat="1" applyFont="1" applyFill="1" applyBorder="1" applyAlignment="1">
      <alignment horizontal="left" vertical="top" wrapText="1"/>
    </xf>
    <xf numFmtId="3" fontId="2" fillId="8" borderId="58" xfId="0" applyNumberFormat="1" applyFont="1" applyFill="1" applyBorder="1" applyAlignment="1">
      <alignment horizontal="center" vertical="top"/>
    </xf>
    <xf numFmtId="3" fontId="6" fillId="8" borderId="58" xfId="0" applyNumberFormat="1" applyFont="1" applyFill="1" applyBorder="1" applyAlignment="1">
      <alignment horizontal="center" vertical="top" wrapText="1"/>
    </xf>
    <xf numFmtId="3" fontId="6" fillId="8" borderId="61" xfId="0" applyNumberFormat="1" applyFont="1" applyFill="1" applyBorder="1" applyAlignment="1">
      <alignment horizontal="center" vertical="top" wrapText="1"/>
    </xf>
    <xf numFmtId="166" fontId="3" fillId="8" borderId="11" xfId="0" applyNumberFormat="1" applyFont="1" applyFill="1" applyBorder="1" applyAlignment="1">
      <alignment vertical="top"/>
    </xf>
    <xf numFmtId="166" fontId="3" fillId="8" borderId="48" xfId="0" applyNumberFormat="1" applyFont="1" applyFill="1" applyBorder="1" applyAlignment="1">
      <alignment vertical="top"/>
    </xf>
    <xf numFmtId="49" fontId="3" fillId="7" borderId="11" xfId="0" applyNumberFormat="1" applyFont="1" applyFill="1" applyBorder="1" applyAlignment="1">
      <alignment horizontal="center" vertical="top" wrapText="1"/>
    </xf>
    <xf numFmtId="49" fontId="3" fillId="7" borderId="28" xfId="0" applyNumberFormat="1" applyFont="1" applyFill="1" applyBorder="1" applyAlignment="1">
      <alignment horizontal="center" vertical="top" wrapText="1"/>
    </xf>
    <xf numFmtId="166" fontId="3" fillId="8" borderId="0" xfId="0" applyNumberFormat="1" applyFont="1" applyFill="1" applyBorder="1" applyAlignment="1">
      <alignment horizontal="center" vertical="top"/>
    </xf>
    <xf numFmtId="166" fontId="3" fillId="8" borderId="48" xfId="0" applyNumberFormat="1" applyFont="1" applyFill="1" applyBorder="1" applyAlignment="1">
      <alignment horizontal="center" vertical="top"/>
    </xf>
    <xf numFmtId="166" fontId="3" fillId="8" borderId="25" xfId="0" applyNumberFormat="1" applyFont="1" applyFill="1" applyBorder="1" applyAlignment="1">
      <alignment vertical="top"/>
    </xf>
    <xf numFmtId="166" fontId="8" fillId="8" borderId="32" xfId="0" applyNumberFormat="1" applyFont="1" applyFill="1" applyBorder="1" applyAlignment="1">
      <alignment vertical="top" wrapText="1"/>
    </xf>
    <xf numFmtId="166" fontId="11" fillId="8" borderId="32" xfId="0" applyNumberFormat="1" applyFont="1" applyFill="1" applyBorder="1" applyAlignment="1">
      <alignment horizontal="center" vertical="center" textRotation="90" wrapText="1"/>
    </xf>
    <xf numFmtId="166" fontId="18" fillId="8" borderId="72" xfId="0" applyNumberFormat="1" applyFont="1" applyFill="1" applyBorder="1" applyAlignment="1">
      <alignment horizontal="left" vertical="top" wrapText="1"/>
    </xf>
    <xf numFmtId="49" fontId="2" fillId="7" borderId="103" xfId="0" applyNumberFormat="1" applyFont="1" applyFill="1" applyBorder="1" applyAlignment="1">
      <alignment horizontal="center" vertical="top"/>
    </xf>
    <xf numFmtId="166" fontId="2" fillId="7" borderId="59" xfId="0" applyNumberFormat="1" applyFont="1" applyFill="1" applyBorder="1" applyAlignment="1">
      <alignment horizontal="center" vertical="top" wrapText="1"/>
    </xf>
    <xf numFmtId="166" fontId="2" fillId="7" borderId="46" xfId="0" applyNumberFormat="1" applyFont="1" applyFill="1" applyBorder="1" applyAlignment="1">
      <alignment horizontal="center" vertical="top"/>
    </xf>
    <xf numFmtId="166" fontId="2" fillId="7" borderId="11" xfId="0" applyNumberFormat="1" applyFont="1" applyFill="1" applyBorder="1" applyAlignment="1">
      <alignment horizontal="center" vertical="top" wrapText="1"/>
    </xf>
    <xf numFmtId="166" fontId="3" fillId="3" borderId="75" xfId="0" applyNumberFormat="1" applyFont="1" applyFill="1" applyBorder="1" applyAlignment="1">
      <alignment horizontal="center" vertical="top"/>
    </xf>
    <xf numFmtId="166" fontId="3" fillId="3" borderId="28" xfId="0" applyNumberFormat="1" applyFont="1" applyFill="1" applyBorder="1" applyAlignment="1">
      <alignment horizontal="center" vertical="top"/>
    </xf>
    <xf numFmtId="166" fontId="3" fillId="3" borderId="68" xfId="0" applyNumberFormat="1" applyFont="1" applyFill="1" applyBorder="1" applyAlignment="1">
      <alignment horizontal="center" vertical="top"/>
    </xf>
    <xf numFmtId="166" fontId="2" fillId="7" borderId="49" xfId="0" applyNumberFormat="1" applyFont="1" applyFill="1" applyBorder="1" applyAlignment="1">
      <alignment horizontal="center" vertical="top" wrapText="1"/>
    </xf>
    <xf numFmtId="166" fontId="2" fillId="0" borderId="10" xfId="0" applyNumberFormat="1" applyFont="1" applyBorder="1" applyAlignment="1">
      <alignment horizontal="center" vertical="top"/>
    </xf>
    <xf numFmtId="166" fontId="2" fillId="0" borderId="53" xfId="0" applyNumberFormat="1" applyFont="1" applyBorder="1" applyAlignment="1">
      <alignment horizontal="center" vertical="top"/>
    </xf>
    <xf numFmtId="166" fontId="2" fillId="7" borderId="53" xfId="1" applyNumberFormat="1" applyFont="1" applyFill="1" applyBorder="1" applyAlignment="1">
      <alignment horizontal="center" vertical="top"/>
    </xf>
    <xf numFmtId="166" fontId="2" fillId="7" borderId="28" xfId="1" applyNumberFormat="1" applyFont="1" applyFill="1" applyBorder="1" applyAlignment="1">
      <alignment horizontal="center" vertical="top"/>
    </xf>
    <xf numFmtId="3" fontId="2" fillId="7" borderId="11" xfId="0" applyNumberFormat="1" applyFont="1" applyFill="1" applyBorder="1" applyAlignment="1">
      <alignment horizontal="center" vertical="top" wrapText="1"/>
    </xf>
    <xf numFmtId="3" fontId="2" fillId="7" borderId="48" xfId="0" applyNumberFormat="1" applyFont="1" applyFill="1" applyBorder="1" applyAlignment="1">
      <alignment horizontal="center" vertical="top" wrapText="1"/>
    </xf>
    <xf numFmtId="49" fontId="3" fillId="8" borderId="0" xfId="0" applyNumberFormat="1" applyFont="1" applyFill="1" applyBorder="1" applyAlignment="1">
      <alignment horizontal="center" vertical="top"/>
    </xf>
    <xf numFmtId="49" fontId="3" fillId="8" borderId="32" xfId="0" applyNumberFormat="1" applyFont="1" applyFill="1" applyBorder="1" applyAlignment="1">
      <alignment horizontal="center" vertical="top"/>
    </xf>
    <xf numFmtId="0" fontId="0" fillId="8" borderId="32" xfId="0" applyFill="1" applyBorder="1" applyAlignment="1">
      <alignment vertical="top" wrapText="1"/>
    </xf>
    <xf numFmtId="0" fontId="0" fillId="8" borderId="32" xfId="0" applyFill="1" applyBorder="1" applyAlignment="1">
      <alignment horizontal="center" textRotation="90" wrapText="1"/>
    </xf>
    <xf numFmtId="0" fontId="0" fillId="8" borderId="32" xfId="0" applyFont="1" applyFill="1" applyBorder="1" applyAlignment="1">
      <alignment horizontal="center" vertical="top"/>
    </xf>
    <xf numFmtId="166" fontId="8" fillId="8" borderId="72" xfId="0" applyNumberFormat="1" applyFont="1" applyFill="1" applyBorder="1" applyAlignment="1">
      <alignment vertical="top" wrapText="1"/>
    </xf>
    <xf numFmtId="166" fontId="2" fillId="8" borderId="58" xfId="0" applyNumberFormat="1" applyFont="1" applyFill="1" applyBorder="1" applyAlignment="1">
      <alignment horizontal="center" vertical="top"/>
    </xf>
    <xf numFmtId="166" fontId="18" fillId="7" borderId="7" xfId="0" applyNumberFormat="1" applyFont="1" applyFill="1" applyBorder="1" applyAlignment="1">
      <alignment horizontal="center" vertical="top"/>
    </xf>
    <xf numFmtId="166" fontId="4" fillId="3" borderId="35" xfId="0" applyNumberFormat="1" applyFont="1" applyFill="1" applyBorder="1" applyAlignment="1">
      <alignment horizontal="center" vertical="center" textRotation="90" wrapText="1"/>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7" borderId="46"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8" fillId="7" borderId="11" xfId="0" applyNumberFormat="1" applyFont="1" applyFill="1" applyBorder="1" applyAlignment="1">
      <alignment horizontal="center" vertical="center" textRotation="90" wrapText="1"/>
    </xf>
    <xf numFmtId="166" fontId="3" fillId="2" borderId="48" xfId="0" applyNumberFormat="1" applyFont="1" applyFill="1" applyBorder="1" applyAlignment="1">
      <alignment horizontal="center" vertical="top"/>
    </xf>
    <xf numFmtId="166" fontId="2" fillId="7" borderId="7" xfId="0" applyNumberFormat="1" applyFont="1" applyFill="1" applyBorder="1" applyAlignment="1">
      <alignment vertical="top" wrapText="1"/>
    </xf>
    <xf numFmtId="166" fontId="2" fillId="7" borderId="59" xfId="0" applyNumberFormat="1" applyFont="1" applyFill="1" applyBorder="1" applyAlignment="1">
      <alignment vertical="top"/>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3" fillId="8" borderId="11" xfId="0" applyNumberFormat="1" applyFont="1" applyFill="1" applyBorder="1" applyAlignment="1">
      <alignment horizontal="center" vertical="top"/>
    </xf>
    <xf numFmtId="166" fontId="3" fillId="8" borderId="48"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20" xfId="0" applyNumberFormat="1" applyFont="1" applyFill="1" applyBorder="1" applyAlignment="1">
      <alignment horizontal="center" vertical="center" textRotation="90" wrapText="1"/>
    </xf>
    <xf numFmtId="166" fontId="2" fillId="7" borderId="11" xfId="0" applyNumberFormat="1" applyFont="1" applyFill="1" applyBorder="1" applyAlignment="1">
      <alignment horizontal="center" vertical="center" textRotation="90" wrapText="1"/>
    </xf>
    <xf numFmtId="166" fontId="2" fillId="3" borderId="48" xfId="0" applyNumberFormat="1" applyFont="1" applyFill="1" applyBorder="1" applyAlignment="1">
      <alignment vertical="top" wrapText="1"/>
    </xf>
    <xf numFmtId="49" fontId="3" fillId="7"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8" fillId="7" borderId="18" xfId="0" applyNumberFormat="1" applyFont="1" applyFill="1" applyBorder="1" applyAlignment="1">
      <alignment horizontal="center" vertical="center" wrapText="1"/>
    </xf>
    <xf numFmtId="166" fontId="8" fillId="7" borderId="18" xfId="0" applyNumberFormat="1" applyFont="1" applyFill="1" applyBorder="1" applyAlignment="1">
      <alignment horizontal="center" vertical="top" wrapText="1"/>
    </xf>
    <xf numFmtId="166" fontId="3" fillId="9" borderId="34" xfId="0" applyNumberFormat="1" applyFont="1" applyFill="1" applyBorder="1" applyAlignment="1">
      <alignment horizontal="center" vertical="top"/>
    </xf>
    <xf numFmtId="166" fontId="2" fillId="0" borderId="36" xfId="0" applyNumberFormat="1" applyFont="1" applyFill="1" applyBorder="1" applyAlignment="1">
      <alignment horizontal="left" vertical="top" wrapText="1"/>
    </xf>
    <xf numFmtId="49" fontId="3" fillId="7" borderId="48" xfId="0" applyNumberFormat="1" applyFont="1" applyFill="1" applyBorder="1" applyAlignment="1">
      <alignment horizontal="center" vertical="top"/>
    </xf>
    <xf numFmtId="3" fontId="2" fillId="0" borderId="95" xfId="0" applyNumberFormat="1" applyFont="1" applyFill="1" applyBorder="1" applyAlignment="1">
      <alignment horizontal="center" vertical="top"/>
    </xf>
    <xf numFmtId="166" fontId="18" fillId="7" borderId="29" xfId="0" applyNumberFormat="1" applyFont="1" applyFill="1" applyBorder="1" applyAlignment="1">
      <alignment horizontal="left" vertical="top" wrapText="1"/>
    </xf>
    <xf numFmtId="166" fontId="2" fillId="7" borderId="102" xfId="0" applyNumberFormat="1" applyFont="1" applyFill="1" applyBorder="1" applyAlignment="1">
      <alignment horizontal="center" vertical="top"/>
    </xf>
    <xf numFmtId="166" fontId="3" fillId="0" borderId="14" xfId="0" applyNumberFormat="1" applyFont="1" applyBorder="1" applyAlignment="1">
      <alignment horizontal="center" vertical="top"/>
    </xf>
    <xf numFmtId="166" fontId="2" fillId="7" borderId="15" xfId="0" applyNumberFormat="1" applyFont="1" applyFill="1" applyBorder="1" applyAlignment="1">
      <alignment horizontal="center" vertical="top" wrapText="1"/>
    </xf>
    <xf numFmtId="166" fontId="6" fillId="7" borderId="105" xfId="0" applyNumberFormat="1" applyFont="1" applyFill="1" applyBorder="1" applyAlignment="1">
      <alignment horizontal="center" vertical="top"/>
    </xf>
    <xf numFmtId="166" fontId="2" fillId="7" borderId="81" xfId="0" applyNumberFormat="1" applyFont="1" applyFill="1" applyBorder="1" applyAlignment="1">
      <alignment horizontal="center" vertical="top"/>
    </xf>
    <xf numFmtId="166" fontId="2" fillId="0" borderId="95" xfId="0" applyNumberFormat="1" applyFont="1" applyFill="1" applyBorder="1" applyAlignment="1">
      <alignment horizontal="center" vertical="top"/>
    </xf>
    <xf numFmtId="166" fontId="2" fillId="7" borderId="1" xfId="0" applyNumberFormat="1" applyFont="1" applyFill="1" applyBorder="1" applyAlignment="1">
      <alignment vertical="top" wrapText="1"/>
    </xf>
    <xf numFmtId="0" fontId="2" fillId="0" borderId="85" xfId="0" applyFont="1" applyBorder="1" applyAlignment="1">
      <alignment vertical="top" wrapText="1"/>
    </xf>
    <xf numFmtId="166" fontId="2" fillId="7" borderId="78" xfId="0" applyNumberFormat="1" applyFont="1" applyFill="1" applyBorder="1" applyAlignment="1">
      <alignment vertical="top" wrapText="1"/>
    </xf>
    <xf numFmtId="166" fontId="2" fillId="7" borderId="68" xfId="0" applyNumberFormat="1" applyFont="1" applyFill="1" applyBorder="1" applyAlignment="1">
      <alignment horizontal="right" vertical="top"/>
    </xf>
    <xf numFmtId="166" fontId="2" fillId="7" borderId="21"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3" fontId="2" fillId="0" borderId="92" xfId="0" applyNumberFormat="1" applyFont="1" applyFill="1" applyBorder="1" applyAlignment="1">
      <alignment horizontal="center" vertical="top"/>
    </xf>
    <xf numFmtId="3" fontId="22" fillId="7" borderId="20" xfId="0" applyNumberFormat="1" applyFont="1" applyFill="1" applyBorder="1" applyAlignment="1">
      <alignment horizontal="center" vertical="top"/>
    </xf>
    <xf numFmtId="3" fontId="22" fillId="7" borderId="11" xfId="1" applyNumberFormat="1" applyFont="1" applyFill="1" applyBorder="1" applyAlignment="1">
      <alignment horizontal="center" vertical="top" wrapText="1"/>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3" borderId="46" xfId="0" applyNumberFormat="1" applyFont="1" applyFill="1" applyBorder="1" applyAlignment="1">
      <alignment horizontal="center" vertical="top" wrapText="1"/>
    </xf>
    <xf numFmtId="49" fontId="2" fillId="7" borderId="46" xfId="0" applyNumberFormat="1" applyFont="1" applyFill="1" applyBorder="1" applyAlignment="1">
      <alignment horizontal="center" vertical="top"/>
    </xf>
    <xf numFmtId="49" fontId="2" fillId="7" borderId="21" xfId="0" applyNumberFormat="1" applyFont="1" applyFill="1" applyBorder="1" applyAlignment="1">
      <alignment horizontal="center" vertical="top"/>
    </xf>
    <xf numFmtId="49" fontId="2" fillId="7" borderId="108" xfId="0" applyNumberFormat="1" applyFont="1" applyFill="1" applyBorder="1" applyAlignment="1">
      <alignment horizontal="center" vertical="top"/>
    </xf>
    <xf numFmtId="49" fontId="2" fillId="7" borderId="106" xfId="0" applyNumberFormat="1" applyFont="1" applyFill="1" applyBorder="1" applyAlignment="1">
      <alignment horizontal="center" vertical="top"/>
    </xf>
    <xf numFmtId="49" fontId="2" fillId="7" borderId="27" xfId="0" applyNumberFormat="1" applyFont="1" applyFill="1" applyBorder="1" applyAlignment="1">
      <alignment horizontal="center" vertical="top"/>
    </xf>
    <xf numFmtId="0" fontId="27" fillId="7" borderId="11" xfId="0" applyFont="1" applyFill="1" applyBorder="1" applyAlignment="1">
      <alignment horizontal="center" vertical="top" wrapText="1"/>
    </xf>
    <xf numFmtId="3" fontId="22" fillId="7" borderId="11" xfId="0" applyNumberFormat="1" applyFont="1" applyFill="1" applyBorder="1" applyAlignment="1">
      <alignment horizontal="center" vertical="top"/>
    </xf>
    <xf numFmtId="3" fontId="22" fillId="7" borderId="48" xfId="0" applyNumberFormat="1" applyFont="1" applyFill="1" applyBorder="1" applyAlignment="1">
      <alignment horizontal="center" vertical="top"/>
    </xf>
    <xf numFmtId="3" fontId="22" fillId="7" borderId="28" xfId="0" applyNumberFormat="1" applyFont="1" applyFill="1" applyBorder="1" applyAlignment="1">
      <alignment horizontal="center" vertical="top"/>
    </xf>
    <xf numFmtId="3" fontId="22" fillId="7" borderId="0" xfId="0" applyNumberFormat="1" applyFont="1" applyFill="1" applyBorder="1" applyAlignment="1">
      <alignment horizontal="center" vertical="top"/>
    </xf>
    <xf numFmtId="165" fontId="2" fillId="0" borderId="23" xfId="0" applyNumberFormat="1" applyFont="1" applyBorder="1" applyAlignment="1">
      <alignment horizontal="center"/>
    </xf>
    <xf numFmtId="165" fontId="2" fillId="0" borderId="75" xfId="0" applyNumberFormat="1" applyFont="1" applyBorder="1" applyAlignment="1">
      <alignment horizontal="center"/>
    </xf>
    <xf numFmtId="166" fontId="2" fillId="7" borderId="6" xfId="0" applyNumberFormat="1" applyFont="1" applyFill="1" applyBorder="1" applyAlignment="1">
      <alignment horizontal="center"/>
    </xf>
    <xf numFmtId="166" fontId="2" fillId="7" borderId="23" xfId="0" applyNumberFormat="1" applyFont="1" applyFill="1" applyBorder="1" applyAlignment="1">
      <alignment horizontal="center"/>
    </xf>
    <xf numFmtId="166" fontId="2" fillId="7" borderId="28" xfId="0" applyNumberFormat="1" applyFont="1" applyFill="1" applyBorder="1" applyAlignment="1">
      <alignment horizontal="center"/>
    </xf>
    <xf numFmtId="166" fontId="2" fillId="7" borderId="75" xfId="0" applyNumberFormat="1" applyFont="1" applyFill="1" applyBorder="1" applyAlignment="1">
      <alignment horizontal="center"/>
    </xf>
    <xf numFmtId="166" fontId="3" fillId="7" borderId="73" xfId="0" applyNumberFormat="1" applyFont="1" applyFill="1" applyBorder="1" applyAlignment="1">
      <alignment horizontal="center"/>
    </xf>
    <xf numFmtId="166" fontId="3" fillId="7" borderId="10" xfId="0" applyNumberFormat="1" applyFont="1" applyFill="1" applyBorder="1" applyAlignment="1">
      <alignment horizontal="center"/>
    </xf>
    <xf numFmtId="166" fontId="23" fillId="7" borderId="48" xfId="0" applyNumberFormat="1" applyFont="1" applyFill="1" applyBorder="1" applyAlignment="1">
      <alignment horizontal="center" vertical="top"/>
    </xf>
    <xf numFmtId="3" fontId="13" fillId="7" borderId="59" xfId="0" applyNumberFormat="1" applyFont="1" applyFill="1" applyBorder="1" applyAlignment="1">
      <alignment horizontal="center" vertical="top"/>
    </xf>
    <xf numFmtId="166" fontId="22" fillId="7" borderId="29" xfId="0" applyNumberFormat="1" applyFont="1" applyFill="1" applyBorder="1" applyAlignment="1">
      <alignment vertical="top" wrapText="1"/>
    </xf>
    <xf numFmtId="3" fontId="22" fillId="7" borderId="27" xfId="0" applyNumberFormat="1" applyFont="1" applyFill="1" applyBorder="1" applyAlignment="1">
      <alignment horizontal="center" vertical="top"/>
    </xf>
    <xf numFmtId="3" fontId="6" fillId="7" borderId="11" xfId="0" applyNumberFormat="1" applyFont="1" applyFill="1" applyBorder="1" applyAlignment="1">
      <alignment horizontal="center" vertical="top" wrapText="1"/>
    </xf>
    <xf numFmtId="3" fontId="6" fillId="7" borderId="28" xfId="0" applyNumberFormat="1" applyFont="1" applyFill="1" applyBorder="1" applyAlignment="1">
      <alignment horizontal="center" vertical="top" wrapText="1"/>
    </xf>
    <xf numFmtId="3" fontId="2" fillId="7" borderId="113" xfId="0" applyNumberFormat="1" applyFont="1" applyFill="1" applyBorder="1" applyAlignment="1">
      <alignment horizontal="center" vertical="top"/>
    </xf>
    <xf numFmtId="3" fontId="2" fillId="7" borderId="109"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0" fontId="0" fillId="7" borderId="11" xfId="0" applyFill="1" applyBorder="1" applyAlignment="1">
      <alignment horizontal="left" vertical="top" wrapText="1"/>
    </xf>
    <xf numFmtId="166" fontId="3" fillId="7" borderId="48" xfId="0" applyNumberFormat="1" applyFont="1" applyFill="1" applyBorder="1" applyAlignment="1">
      <alignment horizontal="center" vertical="top"/>
    </xf>
    <xf numFmtId="166" fontId="8" fillId="7" borderId="18" xfId="0" applyNumberFormat="1" applyFont="1" applyFill="1" applyBorder="1" applyAlignment="1">
      <alignment horizontal="center" vertical="top" wrapText="1"/>
    </xf>
    <xf numFmtId="3" fontId="2" fillId="7" borderId="20" xfId="0" applyNumberFormat="1" applyFont="1" applyFill="1" applyBorder="1" applyAlignment="1">
      <alignment horizontal="center" vertical="top"/>
    </xf>
    <xf numFmtId="166" fontId="2" fillId="7" borderId="35" xfId="0" applyNumberFormat="1" applyFont="1" applyFill="1" applyBorder="1" applyAlignment="1">
      <alignment horizontal="left" vertical="top" wrapText="1"/>
    </xf>
    <xf numFmtId="166" fontId="3" fillId="7" borderId="28" xfId="0" applyNumberFormat="1" applyFont="1" applyFill="1" applyBorder="1" applyAlignment="1">
      <alignment horizontal="center" vertical="top"/>
    </xf>
    <xf numFmtId="3" fontId="2" fillId="7" borderId="46" xfId="0" applyNumberFormat="1" applyFont="1" applyFill="1" applyBorder="1" applyAlignment="1">
      <alignment horizontal="center" vertical="top"/>
    </xf>
    <xf numFmtId="166" fontId="2" fillId="7" borderId="11" xfId="0" applyNumberFormat="1" applyFont="1" applyFill="1" applyBorder="1" applyAlignment="1">
      <alignment horizontal="center" vertical="center" textRotation="90" wrapText="1"/>
    </xf>
    <xf numFmtId="166" fontId="2" fillId="7" borderId="28" xfId="0" applyNumberFormat="1" applyFont="1" applyFill="1" applyBorder="1" applyAlignment="1">
      <alignment horizontal="center" vertical="center" textRotation="90" wrapText="1"/>
    </xf>
    <xf numFmtId="0" fontId="22" fillId="7" borderId="7" xfId="0" applyFont="1" applyFill="1" applyBorder="1" applyAlignment="1">
      <alignment vertical="top" wrapText="1"/>
    </xf>
    <xf numFmtId="0" fontId="22" fillId="7" borderId="29" xfId="0" applyFont="1" applyFill="1" applyBorder="1" applyAlignment="1">
      <alignment vertical="top" wrapText="1"/>
    </xf>
    <xf numFmtId="0" fontId="22" fillId="7" borderId="28" xfId="0"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6" fillId="7" borderId="21" xfId="0" applyNumberFormat="1" applyFont="1" applyFill="1" applyBorder="1" applyAlignment="1">
      <alignment horizontal="center" vertical="top" wrapText="1"/>
    </xf>
    <xf numFmtId="166" fontId="2" fillId="7" borderId="85" xfId="0" applyNumberFormat="1" applyFont="1" applyFill="1" applyBorder="1" applyAlignment="1">
      <alignment horizontal="left" vertical="top" wrapText="1"/>
    </xf>
    <xf numFmtId="0" fontId="2" fillId="7" borderId="29" xfId="0" applyFont="1" applyFill="1" applyBorder="1" applyAlignment="1">
      <alignment horizontal="left" vertical="top" wrapText="1"/>
    </xf>
    <xf numFmtId="166" fontId="2" fillId="3" borderId="11" xfId="0" applyNumberFormat="1" applyFont="1" applyFill="1" applyBorder="1" applyAlignment="1">
      <alignment horizontal="left" vertical="top" wrapText="1"/>
    </xf>
    <xf numFmtId="166" fontId="3" fillId="7" borderId="23" xfId="0" applyNumberFormat="1" applyFont="1" applyFill="1" applyBorder="1" applyAlignment="1">
      <alignment horizontal="center" vertical="top"/>
    </xf>
    <xf numFmtId="166" fontId="3" fillId="7" borderId="64" xfId="0" applyNumberFormat="1" applyFont="1" applyFill="1" applyBorder="1" applyAlignment="1">
      <alignment horizontal="center" vertical="top"/>
    </xf>
    <xf numFmtId="0" fontId="0" fillId="7" borderId="27" xfId="0" applyFont="1" applyFill="1" applyBorder="1" applyAlignment="1">
      <alignment horizontal="center" vertical="top"/>
    </xf>
    <xf numFmtId="166" fontId="2" fillId="7" borderId="115" xfId="0" applyNumberFormat="1" applyFont="1" applyFill="1" applyBorder="1" applyAlignment="1">
      <alignment horizontal="center" vertical="top"/>
    </xf>
    <xf numFmtId="166" fontId="3" fillId="7" borderId="78" xfId="0" applyNumberFormat="1" applyFont="1" applyFill="1" applyBorder="1" applyAlignment="1">
      <alignment horizontal="center" vertical="top"/>
    </xf>
    <xf numFmtId="166" fontId="11" fillId="7" borderId="11" xfId="0" applyNumberFormat="1" applyFont="1" applyFill="1" applyBorder="1" applyAlignment="1">
      <alignment horizontal="center" vertical="center" wrapText="1"/>
    </xf>
    <xf numFmtId="166" fontId="3" fillId="7" borderId="48" xfId="0" applyNumberFormat="1" applyFont="1" applyFill="1" applyBorder="1" applyAlignment="1">
      <alignment horizontal="center" vertical="top"/>
    </xf>
    <xf numFmtId="166" fontId="2" fillId="7" borderId="18" xfId="0" applyNumberFormat="1" applyFont="1" applyFill="1" applyBorder="1" applyAlignment="1">
      <alignment horizontal="center" vertical="center" wrapText="1"/>
    </xf>
    <xf numFmtId="166" fontId="8" fillId="7" borderId="18" xfId="0" applyNumberFormat="1" applyFont="1" applyFill="1" applyBorder="1" applyAlignment="1">
      <alignment horizontal="center" vertical="center" wrapText="1"/>
    </xf>
    <xf numFmtId="166" fontId="2" fillId="7" borderId="48" xfId="0" applyNumberFormat="1" applyFont="1" applyFill="1" applyBorder="1" applyAlignment="1">
      <alignment vertical="top"/>
    </xf>
    <xf numFmtId="49" fontId="29" fillId="7" borderId="28" xfId="0" applyNumberFormat="1" applyFont="1" applyFill="1" applyBorder="1" applyAlignment="1">
      <alignment horizontal="center" vertical="top"/>
    </xf>
    <xf numFmtId="166" fontId="13" fillId="7" borderId="6"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0" fontId="2" fillId="7" borderId="36" xfId="0" applyFont="1" applyFill="1" applyBorder="1" applyAlignment="1">
      <alignment horizontal="left" vertical="top" wrapText="1"/>
    </xf>
    <xf numFmtId="166" fontId="3" fillId="7" borderId="75" xfId="0" applyNumberFormat="1" applyFont="1" applyFill="1" applyBorder="1" applyAlignment="1">
      <alignment horizontal="center" vertical="top" textRotation="90" wrapText="1"/>
    </xf>
    <xf numFmtId="166" fontId="2" fillId="7" borderId="18" xfId="0" applyNumberFormat="1" applyFont="1" applyFill="1" applyBorder="1" applyAlignment="1">
      <alignment horizontal="center" vertical="top" wrapText="1"/>
    </xf>
    <xf numFmtId="166" fontId="3" fillId="2" borderId="11"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166" fontId="2" fillId="7" borderId="82" xfId="0" applyNumberFormat="1" applyFont="1" applyFill="1" applyBorder="1" applyAlignment="1">
      <alignment horizontal="left" vertical="top" wrapText="1"/>
    </xf>
    <xf numFmtId="166" fontId="3" fillId="7" borderId="0" xfId="0" applyNumberFormat="1" applyFont="1" applyFill="1" applyBorder="1" applyAlignment="1">
      <alignment horizontal="center" vertical="top" wrapText="1"/>
    </xf>
    <xf numFmtId="49" fontId="2" fillId="7" borderId="0" xfId="0" applyNumberFormat="1" applyFont="1" applyFill="1" applyBorder="1" applyAlignment="1">
      <alignment horizontal="center" vertical="top"/>
    </xf>
    <xf numFmtId="49" fontId="2" fillId="7" borderId="75" xfId="0" applyNumberFormat="1" applyFont="1" applyFill="1" applyBorder="1" applyAlignment="1">
      <alignment horizontal="center" vertical="top"/>
    </xf>
    <xf numFmtId="166" fontId="3" fillId="7" borderId="1" xfId="0" applyNumberFormat="1" applyFont="1" applyFill="1" applyBorder="1" applyAlignment="1">
      <alignment horizontal="center" vertical="top"/>
    </xf>
    <xf numFmtId="166" fontId="2" fillId="7" borderId="75" xfId="0" applyNumberFormat="1" applyFont="1" applyFill="1" applyBorder="1" applyAlignment="1">
      <alignment horizontal="center" vertical="top" wrapText="1"/>
    </xf>
    <xf numFmtId="166" fontId="3" fillId="7" borderId="39" xfId="0" applyNumberFormat="1" applyFont="1" applyFill="1" applyBorder="1" applyAlignment="1">
      <alignment horizontal="center" vertical="top"/>
    </xf>
    <xf numFmtId="3" fontId="2" fillId="7" borderId="103" xfId="0" applyNumberFormat="1" applyFont="1" applyFill="1" applyBorder="1" applyAlignment="1">
      <alignment horizontal="center" vertical="top"/>
    </xf>
    <xf numFmtId="3" fontId="2" fillId="7" borderId="108" xfId="0" applyNumberFormat="1" applyFont="1" applyFill="1" applyBorder="1" applyAlignment="1">
      <alignment horizontal="center" vertical="top"/>
    </xf>
    <xf numFmtId="3" fontId="28" fillId="7" borderId="20" xfId="0" applyNumberFormat="1" applyFont="1" applyFill="1" applyBorder="1" applyAlignment="1">
      <alignment horizontal="center" vertical="center" wrapText="1"/>
    </xf>
    <xf numFmtId="3" fontId="6" fillId="7" borderId="46" xfId="0" applyNumberFormat="1" applyFont="1" applyFill="1" applyBorder="1" applyAlignment="1">
      <alignment horizontal="center" vertical="center" wrapText="1"/>
    </xf>
    <xf numFmtId="3" fontId="6" fillId="7" borderId="21" xfId="0" applyNumberFormat="1" applyFont="1" applyFill="1" applyBorder="1" applyAlignment="1">
      <alignment horizontal="center" vertical="center" wrapText="1"/>
    </xf>
    <xf numFmtId="166" fontId="3" fillId="7" borderId="10" xfId="0" applyNumberFormat="1" applyFont="1" applyFill="1" applyBorder="1" applyAlignment="1">
      <alignment horizontal="center" vertical="top"/>
    </xf>
    <xf numFmtId="166" fontId="2" fillId="7" borderId="0" xfId="0" applyNumberFormat="1" applyFont="1" applyFill="1" applyBorder="1" applyAlignment="1">
      <alignment vertical="top"/>
    </xf>
    <xf numFmtId="166" fontId="2" fillId="7" borderId="75" xfId="0" applyNumberFormat="1" applyFont="1" applyFill="1" applyBorder="1" applyAlignment="1">
      <alignment vertical="top"/>
    </xf>
    <xf numFmtId="166" fontId="3" fillId="3" borderId="53" xfId="0" applyNumberFormat="1" applyFont="1" applyFill="1" applyBorder="1" applyAlignment="1">
      <alignment horizontal="center" vertical="top"/>
    </xf>
    <xf numFmtId="3" fontId="22" fillId="7" borderId="75" xfId="0" applyNumberFormat="1" applyFont="1" applyFill="1" applyBorder="1" applyAlignment="1">
      <alignment horizontal="center" vertical="top"/>
    </xf>
    <xf numFmtId="166" fontId="8" fillId="7" borderId="9" xfId="0" applyNumberFormat="1" applyFont="1" applyFill="1" applyBorder="1" applyAlignment="1">
      <alignment vertical="top" wrapText="1"/>
    </xf>
    <xf numFmtId="166" fontId="3" fillId="3" borderId="48" xfId="0" applyNumberFormat="1" applyFont="1" applyFill="1" applyBorder="1" applyAlignment="1">
      <alignment horizontal="center" vertical="top" wrapText="1"/>
    </xf>
    <xf numFmtId="166" fontId="2" fillId="7" borderId="29" xfId="0" applyNumberFormat="1" applyFont="1" applyFill="1" applyBorder="1" applyAlignment="1">
      <alignment horizontal="left" vertical="top" wrapText="1"/>
    </xf>
    <xf numFmtId="0" fontId="2" fillId="7" borderId="32" xfId="0" applyFont="1" applyFill="1" applyBorder="1" applyAlignment="1">
      <alignment vertical="top"/>
    </xf>
    <xf numFmtId="0" fontId="21" fillId="0" borderId="0" xfId="0" applyFont="1" applyFill="1"/>
    <xf numFmtId="165" fontId="2" fillId="7" borderId="0" xfId="0" applyNumberFormat="1" applyFont="1" applyFill="1" applyBorder="1" applyAlignment="1">
      <alignment horizontal="center" vertical="top"/>
    </xf>
    <xf numFmtId="165" fontId="2" fillId="7" borderId="6" xfId="0" applyNumberFormat="1" applyFont="1" applyFill="1" applyBorder="1" applyAlignment="1">
      <alignment horizontal="center" vertical="top"/>
    </xf>
    <xf numFmtId="49" fontId="2" fillId="7" borderId="81" xfId="0" applyNumberFormat="1" applyFont="1" applyFill="1" applyBorder="1" applyAlignment="1">
      <alignment horizontal="center" vertical="top"/>
    </xf>
    <xf numFmtId="166" fontId="7" fillId="3" borderId="48" xfId="0" applyNumberFormat="1" applyFont="1" applyFill="1" applyBorder="1" applyAlignment="1">
      <alignment horizontal="left" vertical="top" wrapText="1"/>
    </xf>
    <xf numFmtId="3" fontId="2" fillId="7" borderId="41" xfId="0" applyNumberFormat="1" applyFont="1" applyFill="1" applyBorder="1" applyAlignment="1">
      <alignment horizontal="center" vertical="top" wrapText="1"/>
    </xf>
    <xf numFmtId="3" fontId="2" fillId="7" borderId="26" xfId="0" applyNumberFormat="1" applyFont="1" applyFill="1" applyBorder="1" applyAlignment="1">
      <alignment horizontal="center" vertical="top" wrapText="1"/>
    </xf>
    <xf numFmtId="166" fontId="2" fillId="0" borderId="28" xfId="0" applyNumberFormat="1" applyFont="1" applyFill="1" applyBorder="1" applyAlignment="1">
      <alignment horizontal="center" vertical="top"/>
    </xf>
    <xf numFmtId="0" fontId="0" fillId="0" borderId="48" xfId="0" applyBorder="1" applyAlignment="1">
      <alignment vertical="top" wrapText="1"/>
    </xf>
    <xf numFmtId="49" fontId="6" fillId="7" borderId="98" xfId="0" applyNumberFormat="1"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90" xfId="0" applyNumberFormat="1" applyFont="1" applyFill="1" applyBorder="1" applyAlignment="1">
      <alignment horizontal="center" vertical="top"/>
    </xf>
    <xf numFmtId="3" fontId="2" fillId="0" borderId="90" xfId="0" applyNumberFormat="1" applyFont="1" applyFill="1" applyBorder="1" applyAlignment="1">
      <alignment horizontal="center" vertical="top"/>
    </xf>
    <xf numFmtId="166" fontId="2" fillId="7" borderId="31" xfId="0" applyNumberFormat="1" applyFont="1" applyFill="1" applyBorder="1" applyAlignment="1">
      <alignment horizontal="center" vertical="top"/>
    </xf>
    <xf numFmtId="166" fontId="13" fillId="7" borderId="34" xfId="0" applyNumberFormat="1" applyFont="1" applyFill="1" applyBorder="1" applyAlignment="1">
      <alignment horizontal="center" vertical="top"/>
    </xf>
    <xf numFmtId="166" fontId="13" fillId="7" borderId="11" xfId="0" applyNumberFormat="1" applyFont="1" applyFill="1" applyBorder="1" applyAlignment="1">
      <alignment horizontal="center" vertical="top"/>
    </xf>
    <xf numFmtId="166" fontId="2" fillId="7" borderId="18" xfId="0" applyNumberFormat="1" applyFont="1" applyFill="1" applyBorder="1" applyAlignment="1">
      <alignment vertical="top"/>
    </xf>
    <xf numFmtId="166" fontId="2" fillId="7" borderId="18" xfId="0" applyNumberFormat="1" applyFont="1" applyFill="1" applyBorder="1" applyAlignment="1">
      <alignment horizontal="center" vertical="top" wrapText="1"/>
    </xf>
    <xf numFmtId="0" fontId="2" fillId="10" borderId="23" xfId="0" applyFont="1" applyFill="1" applyBorder="1" applyAlignment="1">
      <alignment horizontal="center" vertical="center"/>
    </xf>
    <xf numFmtId="166" fontId="2" fillId="10" borderId="6" xfId="0" applyNumberFormat="1" applyFont="1" applyFill="1" applyBorder="1" applyAlignment="1">
      <alignment horizontal="center" vertical="center"/>
    </xf>
    <xf numFmtId="0" fontId="2" fillId="10" borderId="64" xfId="0" applyFont="1" applyFill="1" applyBorder="1" applyAlignment="1">
      <alignment horizontal="center" vertical="center" wrapText="1"/>
    </xf>
    <xf numFmtId="166" fontId="15" fillId="7" borderId="28" xfId="0" applyNumberFormat="1" applyFont="1" applyFill="1" applyBorder="1" applyAlignment="1">
      <alignment horizontal="center" vertical="center" wrapText="1"/>
    </xf>
    <xf numFmtId="3" fontId="2" fillId="3" borderId="20"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top"/>
    </xf>
    <xf numFmtId="166" fontId="2" fillId="7" borderId="48" xfId="0" applyNumberFormat="1" applyFont="1" applyFill="1" applyBorder="1" applyAlignment="1">
      <alignment vertical="top" wrapText="1"/>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49" fontId="3" fillId="8" borderId="11"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3" fillId="9" borderId="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7" xfId="0" applyNumberFormat="1" applyFont="1" applyFill="1" applyBorder="1" applyAlignment="1">
      <alignment vertical="top" wrapText="1"/>
    </xf>
    <xf numFmtId="166" fontId="8" fillId="7" borderId="29" xfId="0" applyNumberFormat="1" applyFont="1" applyFill="1" applyBorder="1" applyAlignment="1">
      <alignment vertical="top" wrapText="1"/>
    </xf>
    <xf numFmtId="3" fontId="2" fillId="7" borderId="46" xfId="0" applyNumberFormat="1" applyFont="1" applyFill="1" applyBorder="1" applyAlignment="1">
      <alignment horizontal="center" vertical="top" wrapText="1"/>
    </xf>
    <xf numFmtId="49" fontId="3" fillId="7" borderId="25" xfId="0" applyNumberFormat="1" applyFont="1" applyFill="1" applyBorder="1" applyAlignment="1">
      <alignment horizontal="center" vertical="top"/>
    </xf>
    <xf numFmtId="49" fontId="3" fillId="9" borderId="5"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3" fillId="2" borderId="48" xfId="0" applyNumberFormat="1" applyFont="1" applyFill="1" applyBorder="1" applyAlignment="1">
      <alignment horizontal="center" vertical="top"/>
    </xf>
    <xf numFmtId="166" fontId="3" fillId="7" borderId="35" xfId="0" applyNumberFormat="1" applyFont="1" applyFill="1" applyBorder="1" applyAlignment="1">
      <alignment horizontal="center" vertical="top"/>
    </xf>
    <xf numFmtId="166" fontId="3" fillId="7" borderId="48" xfId="0" applyNumberFormat="1" applyFont="1" applyFill="1" applyBorder="1" applyAlignment="1">
      <alignment horizontal="center" vertical="top" wrapText="1"/>
    </xf>
    <xf numFmtId="166" fontId="3" fillId="9" borderId="34" xfId="0" applyNumberFormat="1" applyFont="1" applyFill="1" applyBorder="1" applyAlignment="1">
      <alignment horizontal="center" vertical="top"/>
    </xf>
    <xf numFmtId="0" fontId="0" fillId="7" borderId="18" xfId="0" applyFont="1" applyFill="1" applyBorder="1" applyAlignment="1">
      <alignment horizontal="center" vertical="top" wrapText="1"/>
    </xf>
    <xf numFmtId="3" fontId="28" fillId="7" borderId="11" xfId="0" applyNumberFormat="1" applyFont="1" applyFill="1" applyBorder="1" applyAlignment="1">
      <alignment horizontal="center" vertical="center" wrapText="1"/>
    </xf>
    <xf numFmtId="3" fontId="6" fillId="7" borderId="48" xfId="0" applyNumberFormat="1" applyFont="1" applyFill="1" applyBorder="1" applyAlignment="1">
      <alignment horizontal="center" vertical="center" wrapText="1"/>
    </xf>
    <xf numFmtId="3" fontId="6" fillId="7" borderId="18" xfId="0" applyNumberFormat="1" applyFont="1" applyFill="1" applyBorder="1" applyAlignment="1">
      <alignment horizontal="center" vertical="center" wrapText="1"/>
    </xf>
    <xf numFmtId="166" fontId="3" fillId="7" borderId="18" xfId="0" applyNumberFormat="1" applyFont="1" applyFill="1" applyBorder="1" applyAlignment="1">
      <alignment horizontal="center" vertical="top"/>
    </xf>
    <xf numFmtId="3" fontId="22" fillId="7" borderId="18" xfId="0" applyNumberFormat="1" applyFont="1" applyFill="1" applyBorder="1" applyAlignment="1">
      <alignment horizontal="center" vertical="top"/>
    </xf>
    <xf numFmtId="3" fontId="2" fillId="7" borderId="26" xfId="0" applyNumberFormat="1" applyFont="1" applyFill="1" applyBorder="1" applyAlignment="1">
      <alignment horizontal="center" vertical="top"/>
    </xf>
    <xf numFmtId="49" fontId="3" fillId="7" borderId="41" xfId="0" applyNumberFormat="1" applyFont="1" applyFill="1" applyBorder="1" applyAlignment="1">
      <alignment horizontal="center" vertical="top"/>
    </xf>
    <xf numFmtId="3" fontId="6" fillId="7" borderId="18" xfId="0" applyNumberFormat="1" applyFont="1" applyFill="1" applyBorder="1" applyAlignment="1">
      <alignment horizontal="center" vertical="top"/>
    </xf>
    <xf numFmtId="0" fontId="2" fillId="7" borderId="21" xfId="0" applyFont="1" applyFill="1" applyBorder="1" applyAlignment="1">
      <alignment horizontal="right" vertical="center"/>
    </xf>
    <xf numFmtId="0" fontId="25" fillId="7" borderId="27" xfId="0" applyFont="1" applyFill="1" applyBorder="1" applyAlignment="1">
      <alignment horizontal="right" vertical="center"/>
    </xf>
    <xf numFmtId="49" fontId="3" fillId="2" borderId="25" xfId="0" applyNumberFormat="1" applyFont="1" applyFill="1" applyBorder="1" applyAlignment="1">
      <alignment horizontal="center" vertical="top"/>
    </xf>
    <xf numFmtId="49" fontId="3" fillId="8" borderId="25" xfId="0" applyNumberFormat="1" applyFont="1" applyFill="1" applyBorder="1" applyAlignment="1">
      <alignment horizontal="center" vertical="top"/>
    </xf>
    <xf numFmtId="0" fontId="0" fillId="7" borderId="26" xfId="0" applyFont="1" applyFill="1" applyBorder="1" applyAlignment="1">
      <alignment horizontal="center" vertical="top"/>
    </xf>
    <xf numFmtId="166" fontId="3" fillId="7" borderId="44" xfId="0" applyNumberFormat="1" applyFont="1" applyFill="1" applyBorder="1" applyAlignment="1">
      <alignment horizontal="center" vertical="top"/>
    </xf>
    <xf numFmtId="166" fontId="8" fillId="7" borderId="5" xfId="0" applyNumberFormat="1" applyFont="1" applyFill="1" applyBorder="1" applyAlignment="1">
      <alignment vertical="top" wrapText="1"/>
    </xf>
    <xf numFmtId="49" fontId="3" fillId="7" borderId="18"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3" fontId="2" fillId="0" borderId="92" xfId="0" applyNumberFormat="1" applyFont="1" applyFill="1" applyBorder="1" applyAlignment="1">
      <alignment horizontal="center" vertical="top" wrapText="1"/>
    </xf>
    <xf numFmtId="3" fontId="2" fillId="0" borderId="86" xfId="0" applyNumberFormat="1" applyFont="1" applyFill="1" applyBorder="1" applyAlignment="1">
      <alignment horizontal="center" vertical="top" wrapText="1"/>
    </xf>
    <xf numFmtId="166" fontId="2" fillId="3" borderId="34" xfId="0" applyNumberFormat="1" applyFont="1" applyFill="1" applyBorder="1" applyAlignment="1">
      <alignment horizontal="center" vertical="top"/>
    </xf>
    <xf numFmtId="166" fontId="18" fillId="7" borderId="47" xfId="0" applyNumberFormat="1" applyFont="1" applyFill="1" applyBorder="1" applyAlignment="1">
      <alignment horizontal="center" vertical="center" textRotation="90" wrapText="1"/>
    </xf>
    <xf numFmtId="166" fontId="18" fillId="7" borderId="19" xfId="0" applyNumberFormat="1" applyFont="1" applyFill="1" applyBorder="1" applyAlignment="1">
      <alignment horizontal="center" vertical="center" textRotation="90"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3" fontId="2" fillId="7" borderId="41" xfId="0" applyNumberFormat="1" applyFont="1" applyFill="1" applyBorder="1" applyAlignment="1">
      <alignment horizontal="center" vertical="top"/>
    </xf>
    <xf numFmtId="3" fontId="2" fillId="0" borderId="114" xfId="0" applyNumberFormat="1" applyFont="1" applyFill="1" applyBorder="1" applyAlignment="1">
      <alignment horizontal="center" vertical="top"/>
    </xf>
    <xf numFmtId="3" fontId="2" fillId="0" borderId="110" xfId="0" applyNumberFormat="1" applyFont="1" applyFill="1" applyBorder="1" applyAlignment="1">
      <alignment horizontal="center" vertical="top"/>
    </xf>
    <xf numFmtId="166" fontId="2" fillId="7" borderId="37" xfId="0" applyNumberFormat="1" applyFont="1" applyFill="1" applyBorder="1" applyAlignment="1">
      <alignment vertical="top" wrapText="1"/>
    </xf>
    <xf numFmtId="166" fontId="3" fillId="7" borderId="21" xfId="0" applyNumberFormat="1" applyFont="1" applyFill="1" applyBorder="1" applyAlignment="1">
      <alignment horizontal="center" vertical="top"/>
    </xf>
    <xf numFmtId="166" fontId="2" fillId="7" borderId="16" xfId="0" applyNumberFormat="1" applyFont="1" applyFill="1" applyBorder="1" applyAlignment="1">
      <alignment horizontal="left" vertical="top" wrapText="1"/>
    </xf>
    <xf numFmtId="166" fontId="2" fillId="7" borderId="22" xfId="0" applyNumberFormat="1" applyFont="1" applyFill="1" applyBorder="1" applyAlignment="1">
      <alignment horizontal="center" vertical="top"/>
    </xf>
    <xf numFmtId="166" fontId="2" fillId="7" borderId="67" xfId="0" applyNumberFormat="1" applyFont="1" applyFill="1" applyBorder="1" applyAlignment="1">
      <alignment horizontal="center" vertical="top"/>
    </xf>
    <xf numFmtId="166" fontId="2" fillId="7" borderId="1" xfId="0" applyNumberFormat="1" applyFont="1" applyFill="1" applyBorder="1" applyAlignment="1">
      <alignment horizontal="center" vertical="top"/>
    </xf>
    <xf numFmtId="3" fontId="2" fillId="0" borderId="17"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3" fillId="2" borderId="66"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8" fillId="7" borderId="11" xfId="0" applyNumberFormat="1" applyFont="1" applyFill="1" applyBorder="1" applyAlignment="1">
      <alignment horizontal="center" vertical="center" textRotation="90" wrapText="1"/>
    </xf>
    <xf numFmtId="0" fontId="2" fillId="7" borderId="0" xfId="0" applyFont="1" applyFill="1" applyBorder="1" applyAlignment="1">
      <alignment horizontal="center" vertical="center"/>
    </xf>
    <xf numFmtId="166" fontId="2" fillId="7" borderId="97" xfId="0" applyNumberFormat="1" applyFont="1" applyFill="1" applyBorder="1" applyAlignment="1">
      <alignment horizontal="center" vertical="top"/>
    </xf>
    <xf numFmtId="3" fontId="6" fillId="7" borderId="81" xfId="0" applyNumberFormat="1" applyFont="1" applyFill="1" applyBorder="1" applyAlignment="1">
      <alignment horizontal="center" vertical="top"/>
    </xf>
    <xf numFmtId="3" fontId="2" fillId="7" borderId="80" xfId="0" applyNumberFormat="1" applyFont="1" applyFill="1" applyBorder="1" applyAlignment="1">
      <alignment horizontal="center" vertical="top" wrapText="1"/>
    </xf>
    <xf numFmtId="166" fontId="1" fillId="7" borderId="20" xfId="0" applyNumberFormat="1" applyFont="1" applyFill="1" applyBorder="1" applyAlignment="1">
      <alignment horizontal="center" vertical="top" textRotation="90" wrapText="1"/>
    </xf>
    <xf numFmtId="166" fontId="3" fillId="8" borderId="52" xfId="0" applyNumberFormat="1" applyFont="1" applyFill="1" applyBorder="1" applyAlignment="1">
      <alignment horizontal="center" vertical="top"/>
    </xf>
    <xf numFmtId="3" fontId="2" fillId="0" borderId="51" xfId="0" applyNumberFormat="1" applyFont="1" applyFill="1" applyBorder="1" applyAlignment="1">
      <alignment horizontal="center" vertical="top"/>
    </xf>
    <xf numFmtId="3" fontId="2" fillId="7" borderId="105" xfId="0" applyNumberFormat="1" applyFont="1" applyFill="1" applyBorder="1" applyAlignment="1">
      <alignment horizontal="center" vertical="top" wrapText="1"/>
    </xf>
    <xf numFmtId="3" fontId="2" fillId="7" borderId="95" xfId="0" applyNumberFormat="1" applyFont="1" applyFill="1" applyBorder="1" applyAlignment="1">
      <alignment horizontal="center" vertical="top" wrapText="1"/>
    </xf>
    <xf numFmtId="3" fontId="2" fillId="7" borderId="59" xfId="0" applyNumberFormat="1" applyFont="1" applyFill="1" applyBorder="1" applyAlignment="1">
      <alignment horizontal="center" vertical="top" wrapText="1"/>
    </xf>
    <xf numFmtId="3" fontId="2" fillId="7" borderId="75" xfId="0" applyNumberFormat="1" applyFont="1" applyFill="1" applyBorder="1" applyAlignment="1">
      <alignment horizontal="center" vertical="top" wrapText="1"/>
    </xf>
    <xf numFmtId="3" fontId="22" fillId="7" borderId="59" xfId="0" applyNumberFormat="1" applyFont="1" applyFill="1" applyBorder="1" applyAlignment="1">
      <alignment horizontal="center" vertical="top"/>
    </xf>
    <xf numFmtId="3" fontId="2" fillId="0" borderId="73" xfId="0" applyNumberFormat="1" applyFont="1" applyFill="1" applyBorder="1" applyAlignment="1">
      <alignment horizontal="center" vertical="top"/>
    </xf>
    <xf numFmtId="3" fontId="2" fillId="7" borderId="51" xfId="0" applyNumberFormat="1" applyFont="1" applyFill="1" applyBorder="1" applyAlignment="1">
      <alignment horizontal="center" vertical="top" wrapText="1"/>
    </xf>
    <xf numFmtId="3" fontId="2" fillId="7" borderId="0" xfId="0" applyNumberFormat="1" applyFont="1" applyFill="1" applyBorder="1" applyAlignment="1">
      <alignment horizontal="center" vertical="top" wrapText="1"/>
    </xf>
    <xf numFmtId="3" fontId="22" fillId="7" borderId="0" xfId="1" applyNumberFormat="1" applyFont="1" applyFill="1" applyBorder="1" applyAlignment="1">
      <alignment horizontal="center" vertical="top" wrapText="1"/>
    </xf>
    <xf numFmtId="166" fontId="2" fillId="0" borderId="48" xfId="0" applyNumberFormat="1" applyFont="1" applyFill="1" applyBorder="1" applyAlignment="1">
      <alignment horizontal="center" vertical="top"/>
    </xf>
    <xf numFmtId="166" fontId="2" fillId="7" borderId="32" xfId="0" applyNumberFormat="1" applyFont="1" applyFill="1" applyBorder="1" applyAlignment="1">
      <alignment horizontal="center" vertical="top"/>
    </xf>
    <xf numFmtId="3" fontId="2" fillId="0" borderId="62" xfId="0" applyNumberFormat="1" applyFont="1" applyFill="1" applyBorder="1" applyAlignment="1">
      <alignment horizontal="center" vertical="top"/>
    </xf>
    <xf numFmtId="3" fontId="2" fillId="0" borderId="59" xfId="0" applyNumberFormat="1" applyFont="1" applyFill="1" applyBorder="1" applyAlignment="1">
      <alignment horizontal="center" vertical="top"/>
    </xf>
    <xf numFmtId="166" fontId="2" fillId="0" borderId="51" xfId="0" applyNumberFormat="1" applyFont="1" applyFill="1" applyBorder="1" applyAlignment="1">
      <alignment horizontal="center" vertical="top"/>
    </xf>
    <xf numFmtId="166" fontId="2" fillId="0" borderId="75" xfId="0" applyNumberFormat="1" applyFont="1" applyFill="1" applyBorder="1" applyAlignment="1">
      <alignment horizontal="center" vertical="top"/>
    </xf>
    <xf numFmtId="49" fontId="2" fillId="0" borderId="95" xfId="0" applyNumberFormat="1" applyFont="1" applyFill="1" applyBorder="1" applyAlignment="1">
      <alignment horizontal="center" vertical="top"/>
    </xf>
    <xf numFmtId="166" fontId="6" fillId="7" borderId="32" xfId="0" applyNumberFormat="1" applyFont="1" applyFill="1" applyBorder="1" applyAlignment="1">
      <alignment horizontal="center" vertical="top" wrapText="1"/>
    </xf>
    <xf numFmtId="0" fontId="30" fillId="0" borderId="0" xfId="0" applyFont="1" applyAlignment="1">
      <alignment horizontal="left" vertical="top" wrapText="1"/>
    </xf>
    <xf numFmtId="0" fontId="0" fillId="0" borderId="0" xfId="0" applyAlignment="1">
      <alignment horizontal="left" vertical="top"/>
    </xf>
    <xf numFmtId="0" fontId="3" fillId="0" borderId="0" xfId="0" applyFont="1" applyBorder="1" applyAlignment="1">
      <alignment horizontal="right" vertical="top"/>
    </xf>
    <xf numFmtId="3" fontId="22" fillId="0" borderId="26" xfId="0" applyNumberFormat="1" applyFont="1" applyBorder="1" applyAlignment="1">
      <alignment vertical="top"/>
    </xf>
    <xf numFmtId="0" fontId="2" fillId="0" borderId="63" xfId="0" applyFont="1" applyBorder="1" applyAlignment="1">
      <alignment horizontal="center" vertical="center" textRotation="90" wrapText="1"/>
    </xf>
    <xf numFmtId="3" fontId="22" fillId="0" borderId="31" xfId="0" applyNumberFormat="1" applyFont="1" applyBorder="1" applyAlignment="1">
      <alignment vertical="top"/>
    </xf>
    <xf numFmtId="49" fontId="2" fillId="7" borderId="97" xfId="0" applyNumberFormat="1" applyFont="1" applyFill="1" applyBorder="1" applyAlignment="1">
      <alignment horizontal="center" vertical="top"/>
    </xf>
    <xf numFmtId="3" fontId="6" fillId="7" borderId="46" xfId="0" applyNumberFormat="1" applyFont="1" applyFill="1" applyBorder="1" applyAlignment="1">
      <alignment horizontal="center" vertical="top" wrapText="1"/>
    </xf>
    <xf numFmtId="3" fontId="6" fillId="7" borderId="35" xfId="0" applyNumberFormat="1" applyFont="1" applyFill="1" applyBorder="1" applyAlignment="1">
      <alignment horizontal="center" vertical="center" wrapText="1"/>
    </xf>
    <xf numFmtId="3" fontId="2" fillId="0" borderId="26" xfId="0" applyNumberFormat="1" applyFont="1" applyFill="1" applyBorder="1" applyAlignment="1">
      <alignment horizontal="center" vertical="top"/>
    </xf>
    <xf numFmtId="3" fontId="22" fillId="7" borderId="18" xfId="1" applyNumberFormat="1" applyFont="1" applyFill="1" applyBorder="1" applyAlignment="1">
      <alignment horizontal="center" vertical="top" wrapText="1"/>
    </xf>
    <xf numFmtId="165" fontId="2" fillId="7" borderId="11" xfId="0" applyNumberFormat="1" applyFont="1" applyFill="1" applyBorder="1" applyAlignment="1">
      <alignment horizontal="center" vertical="top"/>
    </xf>
    <xf numFmtId="166" fontId="3" fillId="8" borderId="30" xfId="0" applyNumberFormat="1" applyFont="1" applyFill="1" applyBorder="1" applyAlignment="1">
      <alignment horizontal="center" vertical="top"/>
    </xf>
    <xf numFmtId="165" fontId="2" fillId="7" borderId="34" xfId="0" applyNumberFormat="1" applyFont="1" applyFill="1" applyBorder="1" applyAlignment="1">
      <alignment horizontal="center" vertical="top"/>
    </xf>
    <xf numFmtId="166" fontId="2" fillId="7" borderId="64" xfId="0" applyNumberFormat="1" applyFont="1" applyFill="1" applyBorder="1" applyAlignment="1">
      <alignment horizontal="center"/>
    </xf>
    <xf numFmtId="166" fontId="2" fillId="7" borderId="64" xfId="1" applyNumberFormat="1" applyFont="1" applyFill="1" applyBorder="1" applyAlignment="1">
      <alignment horizontal="center" vertical="top"/>
    </xf>
    <xf numFmtId="0" fontId="2" fillId="7" borderId="47" xfId="0" applyFont="1" applyFill="1" applyBorder="1" applyAlignment="1">
      <alignment horizontal="left" vertical="top" wrapText="1"/>
    </xf>
    <xf numFmtId="166" fontId="18" fillId="7" borderId="19" xfId="0" applyNumberFormat="1" applyFont="1" applyFill="1" applyBorder="1" applyAlignment="1">
      <alignment vertical="top" wrapText="1"/>
    </xf>
    <xf numFmtId="166" fontId="2" fillId="7" borderId="40" xfId="0" applyNumberFormat="1" applyFont="1" applyFill="1" applyBorder="1" applyAlignment="1">
      <alignment horizontal="left" vertical="top" wrapText="1"/>
    </xf>
    <xf numFmtId="165" fontId="2" fillId="7" borderId="43" xfId="0" applyNumberFormat="1" applyFont="1" applyFill="1" applyBorder="1" applyAlignment="1">
      <alignment horizontal="center" vertical="top"/>
    </xf>
    <xf numFmtId="166" fontId="2" fillId="7" borderId="53" xfId="0" applyNumberFormat="1" applyFont="1" applyFill="1" applyBorder="1" applyAlignment="1">
      <alignment horizontal="center"/>
    </xf>
    <xf numFmtId="3" fontId="2" fillId="7" borderId="114" xfId="0" applyNumberFormat="1" applyFont="1" applyFill="1" applyBorder="1" applyAlignment="1">
      <alignment horizontal="center" vertical="top"/>
    </xf>
    <xf numFmtId="0" fontId="2" fillId="7" borderId="46" xfId="0" applyFont="1" applyFill="1" applyBorder="1" applyAlignment="1">
      <alignment horizontal="right" vertical="center"/>
    </xf>
    <xf numFmtId="0" fontId="25" fillId="7" borderId="35" xfId="0" applyFont="1" applyFill="1" applyBorder="1" applyAlignment="1">
      <alignment horizontal="right" vertical="center"/>
    </xf>
    <xf numFmtId="3" fontId="6" fillId="7" borderId="48" xfId="0" applyNumberFormat="1" applyFont="1" applyFill="1" applyBorder="1" applyAlignment="1">
      <alignment horizontal="center" vertical="top"/>
    </xf>
    <xf numFmtId="166" fontId="3" fillId="2" borderId="72" xfId="0" applyNumberFormat="1" applyFont="1" applyFill="1" applyBorder="1" applyAlignment="1">
      <alignment horizontal="center" vertical="top"/>
    </xf>
    <xf numFmtId="166" fontId="2" fillId="7" borderId="40" xfId="0" applyNumberFormat="1" applyFont="1" applyFill="1" applyBorder="1" applyAlignment="1">
      <alignment horizontal="center" vertical="top"/>
    </xf>
    <xf numFmtId="166" fontId="3" fillId="8" borderId="43" xfId="0" applyNumberFormat="1" applyFont="1" applyFill="1" applyBorder="1" applyAlignment="1">
      <alignment horizontal="center" vertical="top"/>
    </xf>
    <xf numFmtId="166" fontId="3" fillId="5" borderId="55" xfId="0" applyNumberFormat="1" applyFont="1" applyFill="1" applyBorder="1" applyAlignment="1">
      <alignment horizontal="center" vertical="top"/>
    </xf>
    <xf numFmtId="166" fontId="3" fillId="9" borderId="30" xfId="0" applyNumberFormat="1" applyFont="1" applyFill="1" applyBorder="1" applyAlignment="1">
      <alignment horizontal="center" vertical="top"/>
    </xf>
    <xf numFmtId="166" fontId="3" fillId="5" borderId="4" xfId="0" applyNumberFormat="1" applyFont="1" applyFill="1" applyBorder="1" applyAlignment="1">
      <alignment horizontal="center" vertical="top"/>
    </xf>
    <xf numFmtId="166" fontId="6" fillId="7" borderId="31" xfId="0" applyNumberFormat="1" applyFont="1" applyFill="1" applyBorder="1" applyAlignment="1">
      <alignment horizontal="center" vertical="top" wrapText="1"/>
    </xf>
    <xf numFmtId="166" fontId="3" fillId="8" borderId="1" xfId="0" applyNumberFormat="1" applyFont="1" applyFill="1" applyBorder="1" applyAlignment="1">
      <alignment horizontal="center" vertical="top" wrapText="1"/>
    </xf>
    <xf numFmtId="166" fontId="13" fillId="7" borderId="28" xfId="0" applyNumberFormat="1" applyFont="1" applyFill="1" applyBorder="1" applyAlignment="1">
      <alignment horizontal="center" vertical="top"/>
    </xf>
    <xf numFmtId="166" fontId="13" fillId="7" borderId="75" xfId="0" applyNumberFormat="1" applyFont="1" applyFill="1" applyBorder="1" applyAlignment="1">
      <alignment horizontal="center" vertical="top"/>
    </xf>
    <xf numFmtId="0" fontId="2" fillId="0" borderId="0" xfId="0" applyFont="1" applyFill="1" applyAlignment="1">
      <alignment horizontal="center" vertical="top"/>
    </xf>
    <xf numFmtId="3" fontId="2" fillId="0" borderId="0" xfId="0" applyNumberFormat="1" applyFont="1" applyFill="1" applyAlignment="1">
      <alignment vertical="top"/>
    </xf>
    <xf numFmtId="166" fontId="2" fillId="7" borderId="42" xfId="0" applyNumberFormat="1" applyFont="1" applyFill="1" applyBorder="1" applyAlignment="1">
      <alignment horizontal="center" vertical="top"/>
    </xf>
    <xf numFmtId="166" fontId="3" fillId="7" borderId="48" xfId="0" applyNumberFormat="1" applyFont="1" applyFill="1" applyBorder="1" applyAlignment="1">
      <alignment horizontal="center" vertical="top" wrapText="1"/>
    </xf>
    <xf numFmtId="3" fontId="2" fillId="7" borderId="80" xfId="0" applyNumberFormat="1" applyFont="1" applyFill="1" applyBorder="1" applyAlignment="1">
      <alignment horizontal="center" vertical="top"/>
    </xf>
    <xf numFmtId="0" fontId="2" fillId="0" borderId="0" xfId="0" applyFont="1" applyFill="1" applyBorder="1" applyAlignment="1">
      <alignment vertical="top"/>
    </xf>
    <xf numFmtId="0" fontId="25" fillId="7" borderId="18" xfId="0" applyFont="1" applyFill="1" applyBorder="1" applyAlignment="1">
      <alignment horizontal="right" vertical="center"/>
    </xf>
    <xf numFmtId="166" fontId="13" fillId="7" borderId="43" xfId="0" applyNumberFormat="1" applyFont="1" applyFill="1" applyBorder="1" applyAlignment="1">
      <alignment horizontal="center" vertical="top"/>
    </xf>
    <xf numFmtId="166" fontId="13" fillId="7" borderId="20" xfId="0" applyNumberFormat="1" applyFont="1" applyFill="1" applyBorder="1" applyAlignment="1">
      <alignment horizontal="center" vertical="top"/>
    </xf>
    <xf numFmtId="166" fontId="13" fillId="7" borderId="38" xfId="0" applyNumberFormat="1" applyFont="1" applyFill="1" applyBorder="1" applyAlignment="1">
      <alignment horizontal="center" vertical="top"/>
    </xf>
    <xf numFmtId="166" fontId="13" fillId="7" borderId="53" xfId="0" applyNumberFormat="1" applyFont="1" applyFill="1" applyBorder="1" applyAlignment="1">
      <alignment horizontal="center" vertical="top"/>
    </xf>
    <xf numFmtId="166" fontId="15" fillId="7" borderId="11" xfId="0" applyNumberFormat="1" applyFont="1" applyFill="1" applyBorder="1" applyAlignment="1">
      <alignment horizontal="center" vertical="center" wrapText="1"/>
    </xf>
    <xf numFmtId="166" fontId="13" fillId="7" borderId="49" xfId="0" applyNumberFormat="1" applyFont="1" applyFill="1" applyBorder="1" applyAlignment="1">
      <alignment horizontal="center" vertical="top"/>
    </xf>
    <xf numFmtId="166" fontId="2" fillId="7" borderId="20" xfId="0" applyNumberFormat="1" applyFont="1" applyFill="1" applyBorder="1" applyAlignment="1">
      <alignment horizontal="center" vertical="top" wrapText="1"/>
    </xf>
    <xf numFmtId="166" fontId="2" fillId="7" borderId="38" xfId="0" applyNumberFormat="1" applyFont="1" applyFill="1" applyBorder="1" applyAlignment="1">
      <alignment horizontal="center" vertical="top" wrapText="1"/>
    </xf>
    <xf numFmtId="166" fontId="2" fillId="7" borderId="75" xfId="0" applyNumberFormat="1" applyFont="1" applyFill="1" applyBorder="1" applyAlignment="1">
      <alignment horizontal="right" vertical="top" wrapText="1"/>
    </xf>
    <xf numFmtId="166" fontId="2" fillId="7" borderId="28" xfId="0" applyNumberFormat="1" applyFont="1" applyFill="1" applyBorder="1" applyAlignment="1">
      <alignment horizontal="right" vertical="top" wrapText="1"/>
    </xf>
    <xf numFmtId="166" fontId="2" fillId="7" borderId="64" xfId="0" applyNumberFormat="1" applyFont="1" applyFill="1" applyBorder="1" applyAlignment="1">
      <alignment horizontal="right" vertical="top" wrapText="1"/>
    </xf>
    <xf numFmtId="166" fontId="2" fillId="7" borderId="53" xfId="0" applyNumberFormat="1" applyFont="1" applyFill="1" applyBorder="1" applyAlignment="1">
      <alignment horizontal="right" vertical="top" wrapText="1"/>
    </xf>
    <xf numFmtId="166" fontId="2" fillId="7" borderId="17" xfId="0" applyNumberFormat="1" applyFont="1" applyFill="1" applyBorder="1" applyAlignment="1">
      <alignment horizontal="center" vertical="top"/>
    </xf>
    <xf numFmtId="0" fontId="0" fillId="0" borderId="0" xfId="0" applyFill="1" applyAlignment="1">
      <alignment horizontal="left" vertical="top" wrapText="1"/>
    </xf>
    <xf numFmtId="3" fontId="2" fillId="0" borderId="0" xfId="0" applyNumberFormat="1" applyFont="1" applyFill="1" applyBorder="1" applyAlignment="1">
      <alignment vertical="top"/>
    </xf>
    <xf numFmtId="166" fontId="2" fillId="0" borderId="0" xfId="0" applyNumberFormat="1" applyFont="1" applyFill="1" applyAlignment="1">
      <alignment vertical="top"/>
    </xf>
    <xf numFmtId="49" fontId="3" fillId="7" borderId="11" xfId="0" applyNumberFormat="1" applyFont="1" applyFill="1" applyBorder="1" applyAlignment="1">
      <alignment horizontal="center" vertical="top"/>
    </xf>
    <xf numFmtId="166" fontId="2" fillId="2" borderId="71"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8" fillId="7" borderId="35" xfId="0" applyNumberFormat="1" applyFont="1" applyFill="1" applyBorder="1" applyAlignment="1">
      <alignment vertical="top" wrapText="1"/>
    </xf>
    <xf numFmtId="166" fontId="3" fillId="7" borderId="48" xfId="0" applyNumberFormat="1" applyFont="1" applyFill="1" applyBorder="1" applyAlignment="1">
      <alignment horizontal="center" vertical="top"/>
    </xf>
    <xf numFmtId="3" fontId="2" fillId="0" borderId="21"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3" fontId="2" fillId="7" borderId="46"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3" fontId="2" fillId="0" borderId="46" xfId="0" applyNumberFormat="1" applyFont="1" applyFill="1" applyBorder="1" applyAlignment="1">
      <alignment horizontal="center" vertical="top"/>
    </xf>
    <xf numFmtId="3" fontId="2" fillId="7" borderId="59" xfId="0" applyNumberFormat="1" applyFont="1" applyFill="1" applyBorder="1" applyAlignment="1">
      <alignment horizontal="center" vertical="top"/>
    </xf>
    <xf numFmtId="3" fontId="2" fillId="0" borderId="18"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3" fontId="2" fillId="7" borderId="21" xfId="0" applyNumberFormat="1" applyFont="1" applyFill="1" applyBorder="1" applyAlignment="1">
      <alignment horizontal="center" vertical="top" wrapText="1"/>
    </xf>
    <xf numFmtId="166" fontId="3" fillId="8" borderId="11"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2" fillId="2" borderId="32" xfId="0" applyNumberFormat="1" applyFont="1" applyFill="1" applyBorder="1" applyAlignment="1">
      <alignment horizontal="center" vertical="top" wrapText="1"/>
    </xf>
    <xf numFmtId="166" fontId="18" fillId="7" borderId="18" xfId="0" applyNumberFormat="1" applyFont="1" applyFill="1" applyBorder="1" applyAlignment="1">
      <alignment horizontal="center" vertical="center" wrapText="1"/>
    </xf>
    <xf numFmtId="166" fontId="3" fillId="7" borderId="28" xfId="0" applyNumberFormat="1" applyFont="1" applyFill="1" applyBorder="1" applyAlignment="1">
      <alignment horizontal="center" vertical="top"/>
    </xf>
    <xf numFmtId="166" fontId="3" fillId="4" borderId="72" xfId="0" applyNumberFormat="1" applyFont="1" applyFill="1" applyBorder="1" applyAlignment="1">
      <alignment horizontal="center" vertical="top" wrapText="1"/>
    </xf>
    <xf numFmtId="3" fontId="3" fillId="0" borderId="68" xfId="0" applyNumberFormat="1" applyFont="1" applyBorder="1" applyAlignment="1">
      <alignment horizontal="center" vertical="center" wrapText="1"/>
    </xf>
    <xf numFmtId="166" fontId="3" fillId="5" borderId="68" xfId="0" applyNumberFormat="1" applyFont="1" applyFill="1" applyBorder="1" applyAlignment="1">
      <alignment horizontal="center" vertical="top" wrapText="1"/>
    </xf>
    <xf numFmtId="166" fontId="3" fillId="8" borderId="67" xfId="0" applyNumberFormat="1" applyFont="1" applyFill="1" applyBorder="1" applyAlignment="1">
      <alignment horizontal="center" vertical="top" wrapText="1"/>
    </xf>
    <xf numFmtId="166" fontId="2" fillId="7" borderId="67" xfId="0" applyNumberFormat="1" applyFont="1" applyFill="1" applyBorder="1" applyAlignment="1">
      <alignment horizontal="center" vertical="top" wrapText="1"/>
    </xf>
    <xf numFmtId="166" fontId="2" fillId="0" borderId="67" xfId="0" applyNumberFormat="1" applyFont="1" applyBorder="1" applyAlignment="1">
      <alignment horizontal="center" vertical="top" wrapText="1"/>
    </xf>
    <xf numFmtId="166" fontId="2" fillId="8" borderId="67" xfId="0" applyNumberFormat="1" applyFont="1" applyFill="1" applyBorder="1" applyAlignment="1">
      <alignment horizontal="center" vertical="top" wrapText="1"/>
    </xf>
    <xf numFmtId="166" fontId="3" fillId="5" borderId="67" xfId="0" applyNumberFormat="1" applyFont="1" applyFill="1" applyBorder="1" applyAlignment="1">
      <alignment horizontal="center" vertical="top" wrapText="1"/>
    </xf>
    <xf numFmtId="3" fontId="2" fillId="7" borderId="21" xfId="0" applyNumberFormat="1" applyFont="1" applyFill="1" applyBorder="1" applyAlignment="1">
      <alignment horizontal="center" vertical="top"/>
    </xf>
    <xf numFmtId="3" fontId="2" fillId="7" borderId="81" xfId="0" applyNumberFormat="1" applyFont="1" applyFill="1" applyBorder="1" applyAlignment="1">
      <alignment horizontal="center" vertical="top"/>
    </xf>
    <xf numFmtId="0" fontId="2" fillId="0" borderId="75" xfId="0" applyFont="1" applyBorder="1" applyAlignment="1">
      <alignment vertical="top"/>
    </xf>
    <xf numFmtId="3" fontId="2" fillId="0" borderId="73" xfId="0" applyNumberFormat="1" applyFont="1" applyFill="1" applyBorder="1" applyAlignment="1">
      <alignment horizontal="center" vertical="top" wrapText="1"/>
    </xf>
    <xf numFmtId="3" fontId="2" fillId="3" borderId="59" xfId="0" applyNumberFormat="1" applyFont="1" applyFill="1" applyBorder="1" applyAlignment="1">
      <alignment horizontal="center" vertical="top" wrapText="1"/>
    </xf>
    <xf numFmtId="166" fontId="2" fillId="0" borderId="73" xfId="0" applyNumberFormat="1" applyFont="1" applyBorder="1" applyAlignment="1">
      <alignment vertical="top"/>
    </xf>
    <xf numFmtId="3" fontId="2" fillId="7" borderId="51" xfId="0" applyNumberFormat="1" applyFont="1" applyFill="1" applyBorder="1" applyAlignment="1">
      <alignment horizontal="center" vertical="top"/>
    </xf>
    <xf numFmtId="3" fontId="6" fillId="7" borderId="75" xfId="0" applyNumberFormat="1" applyFont="1" applyFill="1" applyBorder="1" applyAlignment="1">
      <alignment horizontal="center" vertical="top" wrapText="1"/>
    </xf>
    <xf numFmtId="166" fontId="2" fillId="8" borderId="32" xfId="0" applyNumberFormat="1" applyFont="1" applyFill="1" applyBorder="1" applyAlignment="1">
      <alignment horizontal="center" vertical="top"/>
    </xf>
    <xf numFmtId="166" fontId="2" fillId="0" borderId="64" xfId="0" applyNumberFormat="1" applyFont="1" applyFill="1" applyBorder="1" applyAlignment="1">
      <alignment horizontal="center" vertical="top" wrapText="1"/>
    </xf>
    <xf numFmtId="166" fontId="2" fillId="0" borderId="64" xfId="0" applyNumberFormat="1" applyFont="1" applyFill="1" applyBorder="1" applyAlignment="1">
      <alignment horizontal="center" vertical="top"/>
    </xf>
    <xf numFmtId="166" fontId="2" fillId="0" borderId="64" xfId="1" applyNumberFormat="1" applyFont="1" applyFill="1" applyBorder="1" applyAlignment="1">
      <alignment horizontal="center" vertical="top" wrapText="1"/>
    </xf>
    <xf numFmtId="166" fontId="2" fillId="7" borderId="6" xfId="0" applyNumberFormat="1" applyFont="1" applyFill="1" applyBorder="1" applyAlignment="1">
      <alignment horizontal="center" vertical="center" wrapText="1"/>
    </xf>
    <xf numFmtId="0" fontId="2" fillId="0" borderId="17" xfId="0" applyFont="1" applyBorder="1" applyAlignment="1">
      <alignment vertical="top"/>
    </xf>
    <xf numFmtId="3" fontId="2" fillId="0" borderId="15" xfId="0" applyNumberFormat="1" applyFont="1" applyFill="1" applyBorder="1" applyAlignment="1">
      <alignment horizontal="center" vertical="top"/>
    </xf>
    <xf numFmtId="3" fontId="22" fillId="7" borderId="21" xfId="0" applyNumberFormat="1" applyFont="1" applyFill="1" applyBorder="1" applyAlignment="1">
      <alignment horizontal="center" vertical="top"/>
    </xf>
    <xf numFmtId="3" fontId="2" fillId="3" borderId="21" xfId="0" applyNumberFormat="1" applyFont="1" applyFill="1" applyBorder="1" applyAlignment="1">
      <alignment horizontal="center" vertical="top" wrapText="1"/>
    </xf>
    <xf numFmtId="0" fontId="31" fillId="0" borderId="10" xfId="0" applyFont="1" applyBorder="1" applyAlignment="1">
      <alignment horizontal="center" vertical="center" wrapText="1"/>
    </xf>
    <xf numFmtId="166" fontId="13" fillId="7" borderId="8" xfId="0" applyNumberFormat="1" applyFont="1" applyFill="1" applyBorder="1" applyAlignment="1">
      <alignment horizontal="center" vertical="top"/>
    </xf>
    <xf numFmtId="3" fontId="18" fillId="3" borderId="11" xfId="0" applyNumberFormat="1" applyFont="1" applyFill="1" applyBorder="1" applyAlignment="1">
      <alignment horizontal="center" vertical="top" wrapText="1"/>
    </xf>
    <xf numFmtId="3" fontId="2" fillId="3" borderId="11" xfId="0" applyNumberFormat="1" applyFont="1" applyFill="1" applyBorder="1" applyAlignment="1">
      <alignment horizontal="center" vertical="top" wrapText="1"/>
    </xf>
    <xf numFmtId="0" fontId="2" fillId="7" borderId="34" xfId="0" applyFont="1" applyFill="1" applyBorder="1" applyAlignment="1">
      <alignment horizontal="center" vertical="center"/>
    </xf>
    <xf numFmtId="166" fontId="13" fillId="7" borderId="23" xfId="0" applyNumberFormat="1" applyFont="1" applyFill="1" applyBorder="1" applyAlignment="1">
      <alignment horizontal="center" vertical="top"/>
    </xf>
    <xf numFmtId="3" fontId="22" fillId="7" borderId="35" xfId="0" applyNumberFormat="1" applyFont="1" applyFill="1" applyBorder="1" applyAlignment="1">
      <alignment horizontal="center" vertical="top"/>
    </xf>
    <xf numFmtId="3" fontId="2" fillId="0" borderId="48" xfId="0" applyNumberFormat="1" applyFont="1" applyFill="1" applyBorder="1" applyAlignment="1">
      <alignment horizontal="center" vertical="top"/>
    </xf>
    <xf numFmtId="166" fontId="2" fillId="0" borderId="15" xfId="0" applyNumberFormat="1" applyFont="1" applyBorder="1" applyAlignment="1">
      <alignment vertical="top"/>
    </xf>
    <xf numFmtId="166" fontId="2" fillId="0" borderId="86" xfId="0" applyNumberFormat="1" applyFont="1" applyFill="1" applyBorder="1" applyAlignment="1">
      <alignment horizontal="center" vertical="top"/>
    </xf>
    <xf numFmtId="166" fontId="2" fillId="7" borderId="52" xfId="0" applyNumberFormat="1" applyFont="1" applyFill="1" applyBorder="1" applyAlignment="1">
      <alignment vertical="top" wrapText="1"/>
    </xf>
    <xf numFmtId="3" fontId="6" fillId="7" borderId="97" xfId="0" applyNumberFormat="1" applyFont="1" applyFill="1" applyBorder="1" applyAlignment="1">
      <alignment horizontal="center" vertical="top"/>
    </xf>
    <xf numFmtId="3" fontId="6" fillId="7" borderId="27" xfId="0" applyNumberFormat="1" applyFont="1" applyFill="1" applyBorder="1" applyAlignment="1">
      <alignment horizontal="center" vertical="top" wrapText="1"/>
    </xf>
    <xf numFmtId="166" fontId="18" fillId="7" borderId="45" xfId="0" applyNumberFormat="1" applyFont="1" applyFill="1" applyBorder="1" applyAlignment="1">
      <alignment horizontal="center" vertical="center" textRotation="90" wrapText="1"/>
    </xf>
    <xf numFmtId="166" fontId="2" fillId="7" borderId="117" xfId="0" applyNumberFormat="1" applyFont="1" applyFill="1" applyBorder="1" applyAlignment="1">
      <alignment horizontal="center" vertical="top"/>
    </xf>
    <xf numFmtId="166" fontId="2" fillId="7" borderId="118" xfId="0" applyNumberFormat="1" applyFont="1" applyFill="1" applyBorder="1" applyAlignment="1">
      <alignment horizontal="center" vertical="top"/>
    </xf>
    <xf numFmtId="166" fontId="13" fillId="0" borderId="23" xfId="0" applyNumberFormat="1" applyFont="1" applyBorder="1" applyAlignment="1">
      <alignment horizontal="center" vertical="top"/>
    </xf>
    <xf numFmtId="166" fontId="2" fillId="0" borderId="26" xfId="0" applyNumberFormat="1" applyFont="1" applyFill="1" applyBorder="1" applyAlignment="1">
      <alignment horizontal="center" vertical="top"/>
    </xf>
    <xf numFmtId="49" fontId="2" fillId="0" borderId="86" xfId="0" applyNumberFormat="1" applyFont="1" applyFill="1" applyBorder="1" applyAlignment="1">
      <alignment horizontal="center" vertical="top"/>
    </xf>
    <xf numFmtId="166" fontId="2" fillId="8" borderId="61" xfId="0" applyNumberFormat="1" applyFont="1" applyFill="1" applyBorder="1" applyAlignment="1">
      <alignment horizontal="center" vertical="top"/>
    </xf>
    <xf numFmtId="166" fontId="2" fillId="7" borderId="23" xfId="0" applyNumberFormat="1" applyFont="1" applyFill="1" applyBorder="1" applyAlignment="1">
      <alignment horizontal="center" vertical="center"/>
    </xf>
    <xf numFmtId="166" fontId="2" fillId="7" borderId="28" xfId="0" applyNumberFormat="1" applyFont="1" applyFill="1" applyBorder="1" applyAlignment="1">
      <alignment horizontal="center" vertical="top" wrapText="1"/>
    </xf>
    <xf numFmtId="166" fontId="18" fillId="7" borderId="11" xfId="0" applyNumberFormat="1" applyFont="1" applyFill="1" applyBorder="1" applyAlignment="1">
      <alignment horizontal="center" vertical="top"/>
    </xf>
    <xf numFmtId="166" fontId="3" fillId="5" borderId="64" xfId="0" applyNumberFormat="1" applyFont="1" applyFill="1" applyBorder="1" applyAlignment="1">
      <alignment horizontal="center" vertical="top"/>
    </xf>
    <xf numFmtId="166" fontId="3" fillId="5" borderId="28" xfId="0" applyNumberFormat="1" applyFont="1" applyFill="1" applyBorder="1" applyAlignment="1">
      <alignment horizontal="center" vertical="top"/>
    </xf>
    <xf numFmtId="166" fontId="3" fillId="5" borderId="53" xfId="0" applyNumberFormat="1" applyFont="1" applyFill="1" applyBorder="1" applyAlignment="1">
      <alignment horizontal="center" vertical="top"/>
    </xf>
    <xf numFmtId="166" fontId="3" fillId="3" borderId="11"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top"/>
    </xf>
    <xf numFmtId="3" fontId="2" fillId="0" borderId="0" xfId="0" applyNumberFormat="1" applyFont="1" applyFill="1" applyBorder="1" applyAlignment="1">
      <alignment horizontal="left" vertical="top" wrapText="1"/>
    </xf>
    <xf numFmtId="49" fontId="32" fillId="7" borderId="90" xfId="0" applyNumberFormat="1" applyFont="1" applyFill="1" applyBorder="1" applyAlignment="1">
      <alignment horizontal="center" vertical="top" wrapText="1"/>
    </xf>
    <xf numFmtId="3" fontId="2" fillId="7" borderId="81"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wrapText="1"/>
    </xf>
    <xf numFmtId="166" fontId="4" fillId="7" borderId="3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3" fillId="9" borderId="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166" fontId="2" fillId="7" borderId="119" xfId="0" applyNumberFormat="1" applyFont="1" applyFill="1" applyBorder="1" applyAlignment="1">
      <alignment horizontal="center" vertical="top"/>
    </xf>
    <xf numFmtId="166" fontId="2" fillId="7" borderId="103" xfId="0" applyNumberFormat="1" applyFont="1" applyFill="1" applyBorder="1" applyAlignment="1">
      <alignment horizontal="center" vertical="top"/>
    </xf>
    <xf numFmtId="166" fontId="2" fillId="7" borderId="120" xfId="0" applyNumberFormat="1" applyFont="1" applyFill="1" applyBorder="1" applyAlignment="1">
      <alignment horizontal="center" vertical="top"/>
    </xf>
    <xf numFmtId="3" fontId="2" fillId="7" borderId="11" xfId="0" applyNumberFormat="1" applyFont="1" applyFill="1" applyBorder="1" applyAlignment="1">
      <alignment horizontal="center" vertical="top" wrapText="1"/>
    </xf>
    <xf numFmtId="165" fontId="2" fillId="7" borderId="20" xfId="0" applyNumberFormat="1" applyFont="1" applyFill="1" applyBorder="1" applyAlignment="1">
      <alignment horizontal="center" vertical="top"/>
    </xf>
    <xf numFmtId="3" fontId="32" fillId="7" borderId="46" xfId="0" applyNumberFormat="1" applyFont="1" applyFill="1" applyBorder="1" applyAlignment="1">
      <alignment horizontal="center" vertical="center" wrapText="1"/>
    </xf>
    <xf numFmtId="166" fontId="2" fillId="7" borderId="53" xfId="0" applyNumberFormat="1" applyFont="1" applyFill="1" applyBorder="1" applyAlignment="1">
      <alignment horizontal="center" vertical="top" wrapText="1"/>
    </xf>
    <xf numFmtId="166" fontId="3" fillId="9" borderId="7"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7" xfId="0" applyNumberFormat="1" applyFont="1" applyFill="1" applyBorder="1" applyAlignment="1">
      <alignment horizontal="left" vertical="top" wrapText="1"/>
    </xf>
    <xf numFmtId="0" fontId="8" fillId="7" borderId="7" xfId="0" applyFont="1" applyFill="1" applyBorder="1" applyAlignment="1">
      <alignment horizontal="left" vertical="top" wrapText="1"/>
    </xf>
    <xf numFmtId="166" fontId="2" fillId="7" borderId="7" xfId="0" applyNumberFormat="1" applyFont="1" applyFill="1" applyBorder="1" applyAlignment="1">
      <alignment vertical="top" wrapText="1"/>
    </xf>
    <xf numFmtId="166" fontId="2" fillId="0" borderId="29" xfId="0" applyNumberFormat="1" applyFont="1" applyFill="1" applyBorder="1" applyAlignment="1">
      <alignment horizontal="left" vertical="top" wrapText="1"/>
    </xf>
    <xf numFmtId="166" fontId="2" fillId="7" borderId="20" xfId="0" applyNumberFormat="1" applyFont="1" applyFill="1" applyBorder="1" applyAlignment="1">
      <alignment horizontal="center" vertical="center" textRotation="90" wrapText="1"/>
    </xf>
    <xf numFmtId="166" fontId="2" fillId="7" borderId="11" xfId="0" applyNumberFormat="1" applyFont="1" applyFill="1" applyBorder="1" applyAlignment="1">
      <alignment horizontal="center" vertical="center" textRotation="90" wrapText="1"/>
    </xf>
    <xf numFmtId="166" fontId="2" fillId="7" borderId="45" xfId="0" applyNumberFormat="1" applyFont="1" applyFill="1" applyBorder="1" applyAlignment="1">
      <alignment vertical="top" wrapText="1"/>
    </xf>
    <xf numFmtId="166" fontId="8" fillId="7" borderId="18" xfId="0" applyNumberFormat="1" applyFont="1" applyFill="1" applyBorder="1" applyAlignment="1">
      <alignment horizontal="center" vertical="top" wrapText="1"/>
    </xf>
    <xf numFmtId="166" fontId="2" fillId="7" borderId="28" xfId="0" applyNumberFormat="1" applyFont="1" applyFill="1" applyBorder="1" applyAlignment="1">
      <alignment horizontal="center" vertical="center" textRotation="90" wrapText="1"/>
    </xf>
    <xf numFmtId="166" fontId="3" fillId="9" borderId="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49" fontId="3" fillId="7" borderId="20" xfId="0" applyNumberFormat="1" applyFont="1" applyFill="1" applyBorder="1" applyAlignment="1">
      <alignment vertical="top"/>
    </xf>
    <xf numFmtId="0" fontId="34" fillId="7" borderId="7" xfId="0" applyFont="1" applyFill="1" applyBorder="1" applyAlignment="1">
      <alignment vertical="top" wrapText="1"/>
    </xf>
    <xf numFmtId="0" fontId="34" fillId="7" borderId="36" xfId="0" applyFont="1" applyFill="1" applyBorder="1" applyAlignment="1">
      <alignment vertical="top" wrapText="1"/>
    </xf>
    <xf numFmtId="0" fontId="2" fillId="0" borderId="47" xfId="0" applyFont="1" applyBorder="1" applyAlignment="1">
      <alignment horizontal="left" vertical="top" wrapText="1"/>
    </xf>
    <xf numFmtId="166" fontId="2" fillId="7" borderId="96" xfId="0" applyNumberFormat="1" applyFont="1" applyFill="1" applyBorder="1" applyAlignment="1">
      <alignment horizontal="center" vertical="top" wrapText="1"/>
    </xf>
    <xf numFmtId="0" fontId="8" fillId="7" borderId="18" xfId="0" applyFont="1" applyFill="1" applyBorder="1" applyAlignment="1">
      <alignment horizontal="center" wrapText="1"/>
    </xf>
    <xf numFmtId="3" fontId="2" fillId="7" borderId="46"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28" xfId="0" applyNumberFormat="1" applyFont="1" applyFill="1" applyBorder="1" applyAlignment="1">
      <alignment horizontal="center" vertical="top" wrapText="1"/>
    </xf>
    <xf numFmtId="166" fontId="3" fillId="2" borderId="48" xfId="0" applyNumberFormat="1" applyFont="1" applyFill="1" applyBorder="1" applyAlignment="1">
      <alignment horizontal="center" vertical="top"/>
    </xf>
    <xf numFmtId="166" fontId="2" fillId="7" borderId="7" xfId="0" applyNumberFormat="1" applyFont="1" applyFill="1" applyBorder="1" applyAlignment="1">
      <alignment vertical="top" wrapText="1"/>
    </xf>
    <xf numFmtId="0" fontId="18" fillId="7" borderId="29" xfId="0" applyFont="1" applyFill="1" applyBorder="1" applyAlignment="1">
      <alignment vertical="top" wrapText="1"/>
    </xf>
    <xf numFmtId="3" fontId="2" fillId="7" borderId="48" xfId="0" applyNumberFormat="1" applyFont="1" applyFill="1" applyBorder="1" applyAlignment="1">
      <alignment horizontal="center" vertical="top"/>
    </xf>
    <xf numFmtId="0" fontId="27" fillId="7" borderId="28" xfId="0" applyFont="1" applyFill="1" applyBorder="1" applyAlignment="1">
      <alignment horizontal="center" vertical="top" wrapText="1"/>
    </xf>
    <xf numFmtId="49" fontId="18" fillId="7" borderId="20" xfId="0" applyNumberFormat="1" applyFont="1" applyFill="1" applyBorder="1" applyAlignment="1">
      <alignment horizontal="center" vertical="top"/>
    </xf>
    <xf numFmtId="3" fontId="24" fillId="7" borderId="11" xfId="0" applyNumberFormat="1" applyFont="1" applyFill="1" applyBorder="1" applyAlignment="1">
      <alignment horizontal="center" vertical="top"/>
    </xf>
    <xf numFmtId="0" fontId="0" fillId="7" borderId="52" xfId="0" applyFill="1" applyBorder="1" applyAlignment="1">
      <alignment vertical="top" wrapText="1"/>
    </xf>
    <xf numFmtId="49" fontId="2" fillId="7" borderId="59" xfId="0" applyNumberFormat="1" applyFont="1" applyFill="1" applyBorder="1" applyAlignment="1">
      <alignment horizontal="center" vertical="top"/>
    </xf>
    <xf numFmtId="49" fontId="18" fillId="7" borderId="28" xfId="0" applyNumberFormat="1" applyFont="1" applyFill="1" applyBorder="1" applyAlignment="1">
      <alignment horizontal="center" vertical="top"/>
    </xf>
    <xf numFmtId="49" fontId="2" fillId="7" borderId="80" xfId="0" applyNumberFormat="1" applyFont="1" applyFill="1" applyBorder="1" applyAlignment="1">
      <alignment horizontal="center" vertical="top"/>
    </xf>
    <xf numFmtId="49" fontId="2" fillId="7" borderId="105" xfId="0" applyNumberFormat="1" applyFont="1" applyFill="1" applyBorder="1" applyAlignment="1">
      <alignment horizontal="center" vertical="top"/>
    </xf>
    <xf numFmtId="49" fontId="18" fillId="7" borderId="11" xfId="0" applyNumberFormat="1" applyFont="1" applyFill="1" applyBorder="1" applyAlignment="1">
      <alignment horizontal="center" vertical="top"/>
    </xf>
    <xf numFmtId="0" fontId="2" fillId="7" borderId="100" xfId="0" applyFont="1" applyFill="1" applyBorder="1" applyAlignment="1">
      <alignment horizontal="center" vertical="top"/>
    </xf>
    <xf numFmtId="49" fontId="18" fillId="7" borderId="80" xfId="0" applyNumberFormat="1" applyFont="1" applyFill="1" applyBorder="1" applyAlignment="1">
      <alignment horizontal="center" vertical="top"/>
    </xf>
    <xf numFmtId="166" fontId="18" fillId="7" borderId="6" xfId="0" applyNumberFormat="1" applyFont="1" applyFill="1" applyBorder="1" applyAlignment="1">
      <alignment horizontal="center" vertical="top" wrapText="1"/>
    </xf>
    <xf numFmtId="0" fontId="18" fillId="7" borderId="36" xfId="0" applyFont="1" applyFill="1" applyBorder="1" applyAlignment="1">
      <alignment vertical="top" wrapText="1"/>
    </xf>
    <xf numFmtId="0" fontId="24" fillId="7" borderId="20" xfId="0" applyFont="1" applyFill="1" applyBorder="1" applyAlignment="1">
      <alignment horizontal="center" vertical="top" wrapText="1"/>
    </xf>
    <xf numFmtId="3" fontId="24" fillId="7" borderId="20" xfId="0" applyNumberFormat="1" applyFont="1" applyFill="1" applyBorder="1" applyAlignment="1">
      <alignment horizontal="center" vertical="top"/>
    </xf>
    <xf numFmtId="3" fontId="18" fillId="7" borderId="20" xfId="0" applyNumberFormat="1" applyFont="1" applyFill="1" applyBorder="1" applyAlignment="1">
      <alignment horizontal="center" vertical="top" wrapText="1"/>
    </xf>
    <xf numFmtId="166" fontId="2" fillId="3" borderId="96" xfId="0" applyNumberFormat="1" applyFont="1" applyFill="1" applyBorder="1" applyAlignment="1">
      <alignment horizontal="center" vertical="top"/>
    </xf>
    <xf numFmtId="166" fontId="2" fillId="3" borderId="105" xfId="0" applyNumberFormat="1" applyFont="1" applyFill="1" applyBorder="1" applyAlignment="1">
      <alignment horizontal="center" vertical="top"/>
    </xf>
    <xf numFmtId="166" fontId="18" fillId="7" borderId="94" xfId="0" applyNumberFormat="1" applyFont="1" applyFill="1" applyBorder="1" applyAlignment="1">
      <alignment vertical="top"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7" xfId="0" applyNumberFormat="1" applyFont="1" applyFill="1" applyBorder="1" applyAlignment="1">
      <alignment horizontal="left" vertical="top" wrapText="1"/>
    </xf>
    <xf numFmtId="49" fontId="3" fillId="7" borderId="11"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11" fillId="7" borderId="20" xfId="0" applyNumberFormat="1" applyFont="1" applyFill="1" applyBorder="1" applyAlignment="1">
      <alignment horizontal="center" vertical="center" wrapText="1"/>
    </xf>
    <xf numFmtId="166" fontId="18" fillId="7" borderId="35" xfId="0" applyNumberFormat="1" applyFont="1" applyFill="1" applyBorder="1" applyAlignment="1">
      <alignment horizontal="center" vertical="top"/>
    </xf>
    <xf numFmtId="49" fontId="18" fillId="0" borderId="48" xfId="0" applyNumberFormat="1" applyFont="1" applyFill="1" applyBorder="1" applyAlignment="1">
      <alignment horizontal="center" vertical="top"/>
    </xf>
    <xf numFmtId="3" fontId="18" fillId="7" borderId="92" xfId="0" applyNumberFormat="1" applyFont="1" applyFill="1" applyBorder="1" applyAlignment="1">
      <alignment horizontal="center" vertical="top"/>
    </xf>
    <xf numFmtId="3" fontId="18" fillId="7" borderId="85" xfId="0" applyNumberFormat="1" applyFont="1" applyFill="1" applyBorder="1" applyAlignment="1">
      <alignment horizontal="center" vertical="top"/>
    </xf>
    <xf numFmtId="166" fontId="2" fillId="7" borderId="11" xfId="0" applyNumberFormat="1" applyFont="1" applyFill="1" applyBorder="1" applyAlignment="1">
      <alignment horizontal="left" vertical="top" wrapText="1"/>
    </xf>
    <xf numFmtId="166" fontId="3" fillId="7" borderId="11"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2" fillId="7" borderId="48" xfId="0" applyNumberFormat="1" applyFont="1" applyFill="1" applyBorder="1" applyAlignment="1">
      <alignment vertical="top" wrapText="1"/>
    </xf>
    <xf numFmtId="166" fontId="3" fillId="7" borderId="48" xfId="0" applyNumberFormat="1" applyFont="1" applyFill="1" applyBorder="1" applyAlignment="1">
      <alignment horizontal="center" vertical="top"/>
    </xf>
    <xf numFmtId="166" fontId="8" fillId="7" borderId="11" xfId="0" applyNumberFormat="1" applyFont="1" applyFill="1" applyBorder="1" applyAlignment="1">
      <alignment horizontal="center" vertical="center" textRotation="90" wrapText="1"/>
    </xf>
    <xf numFmtId="166" fontId="3" fillId="2" borderId="48"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2" fillId="7" borderId="45" xfId="0" applyNumberFormat="1" applyFont="1" applyFill="1" applyBorder="1" applyAlignment="1">
      <alignment vertical="top" wrapText="1"/>
    </xf>
    <xf numFmtId="3" fontId="2" fillId="7" borderId="20" xfId="0" applyNumberFormat="1" applyFont="1" applyFill="1" applyBorder="1" applyAlignment="1">
      <alignment horizontal="center" vertical="top" wrapText="1"/>
    </xf>
    <xf numFmtId="3" fontId="2" fillId="7" borderId="28" xfId="0" applyNumberFormat="1" applyFont="1" applyFill="1" applyBorder="1" applyAlignment="1">
      <alignment horizontal="center" vertical="top" wrapText="1"/>
    </xf>
    <xf numFmtId="166" fontId="2" fillId="7" borderId="18" xfId="0" applyNumberFormat="1" applyFont="1" applyFill="1" applyBorder="1" applyAlignment="1">
      <alignment horizontal="center" vertical="top" wrapText="1"/>
    </xf>
    <xf numFmtId="166" fontId="3" fillId="8" borderId="11"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166" fontId="2" fillId="7" borderId="36" xfId="0" applyNumberFormat="1" applyFont="1" applyFill="1" applyBorder="1" applyAlignment="1">
      <alignment vertical="top" wrapText="1"/>
    </xf>
    <xf numFmtId="3" fontId="2" fillId="7" borderId="20"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2" fillId="7" borderId="11" xfId="0" applyNumberFormat="1" applyFont="1" applyFill="1" applyBorder="1" applyAlignment="1">
      <alignment horizontal="left" vertical="top" wrapText="1"/>
    </xf>
    <xf numFmtId="166" fontId="2" fillId="7" borderId="7" xfId="0" applyNumberFormat="1" applyFont="1" applyFill="1" applyBorder="1" applyAlignment="1">
      <alignment vertical="top" wrapText="1"/>
    </xf>
    <xf numFmtId="166" fontId="2" fillId="7" borderId="46" xfId="0" applyNumberFormat="1" applyFont="1" applyFill="1" applyBorder="1" applyAlignment="1">
      <alignment vertical="top" wrapText="1"/>
    </xf>
    <xf numFmtId="166" fontId="8" fillId="7" borderId="11" xfId="0" applyNumberFormat="1" applyFont="1" applyFill="1" applyBorder="1" applyAlignment="1">
      <alignment horizontal="center" vertical="center" textRotation="90" wrapText="1"/>
    </xf>
    <xf numFmtId="166" fontId="2" fillId="7" borderId="11" xfId="0" applyNumberFormat="1" applyFont="1" applyFill="1" applyBorder="1" applyAlignment="1">
      <alignment horizontal="center" vertical="center" textRotation="90" wrapText="1"/>
    </xf>
    <xf numFmtId="3" fontId="2" fillId="7" borderId="59"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3" fontId="2" fillId="7" borderId="21" xfId="0" applyNumberFormat="1" applyFont="1" applyFill="1" applyBorder="1" applyAlignment="1">
      <alignment horizontal="center" vertical="top"/>
    </xf>
    <xf numFmtId="166" fontId="2" fillId="7" borderId="21" xfId="0" applyNumberFormat="1" applyFont="1" applyFill="1" applyBorder="1" applyAlignment="1">
      <alignment horizontal="center" vertical="top" wrapText="1"/>
    </xf>
    <xf numFmtId="3" fontId="2" fillId="7" borderId="11" xfId="0" applyNumberFormat="1" applyFont="1" applyFill="1" applyBorder="1" applyAlignment="1">
      <alignment horizontal="center" vertical="top"/>
    </xf>
    <xf numFmtId="166" fontId="2" fillId="7" borderId="8" xfId="0" applyNumberFormat="1" applyFont="1" applyFill="1" applyBorder="1" applyAlignment="1">
      <alignment horizontal="center" vertical="top"/>
    </xf>
    <xf numFmtId="0" fontId="27" fillId="7" borderId="77" xfId="0" applyFont="1" applyFill="1" applyBorder="1" applyAlignment="1">
      <alignment vertical="top" wrapText="1"/>
    </xf>
    <xf numFmtId="3" fontId="2" fillId="7" borderId="20" xfId="0" applyNumberFormat="1" applyFont="1" applyFill="1" applyBorder="1" applyAlignment="1">
      <alignment vertical="top"/>
    </xf>
    <xf numFmtId="3" fontId="2" fillId="7" borderId="114" xfId="0" applyNumberFormat="1" applyFont="1" applyFill="1" applyBorder="1" applyAlignment="1">
      <alignment horizontal="center" vertical="center"/>
    </xf>
    <xf numFmtId="3" fontId="2" fillId="7" borderId="78" xfId="0" applyNumberFormat="1" applyFont="1" applyFill="1" applyBorder="1" applyAlignment="1">
      <alignment horizontal="center" vertical="center"/>
    </xf>
    <xf numFmtId="3" fontId="2" fillId="7" borderId="110" xfId="0" applyNumberFormat="1" applyFont="1" applyFill="1" applyBorder="1" applyAlignment="1">
      <alignment vertical="top"/>
    </xf>
    <xf numFmtId="166" fontId="2" fillId="7" borderId="23" xfId="0" applyNumberFormat="1" applyFont="1" applyFill="1" applyBorder="1" applyAlignment="1">
      <alignment horizontal="center" vertical="top"/>
    </xf>
    <xf numFmtId="3" fontId="2" fillId="7" borderId="89" xfId="0" applyNumberFormat="1" applyFont="1" applyFill="1" applyBorder="1" applyAlignment="1">
      <alignment vertical="top"/>
    </xf>
    <xf numFmtId="3" fontId="2" fillId="7" borderId="28" xfId="0" applyNumberFormat="1" applyFont="1" applyFill="1" applyBorder="1" applyAlignment="1">
      <alignment horizontal="center" vertical="center"/>
    </xf>
    <xf numFmtId="3" fontId="2" fillId="7" borderId="89" xfId="0" applyNumberFormat="1" applyFont="1" applyFill="1" applyBorder="1" applyAlignment="1">
      <alignment horizontal="center" vertical="center"/>
    </xf>
    <xf numFmtId="3" fontId="2" fillId="7" borderId="27" xfId="0" applyNumberFormat="1" applyFont="1" applyFill="1" applyBorder="1" applyAlignment="1">
      <alignment vertical="top"/>
    </xf>
    <xf numFmtId="3" fontId="2" fillId="7" borderId="98" xfId="0" applyNumberFormat="1" applyFont="1" applyFill="1" applyBorder="1" applyAlignment="1">
      <alignment horizontal="center" vertical="top"/>
    </xf>
    <xf numFmtId="166" fontId="18" fillId="7" borderId="96" xfId="0" applyNumberFormat="1" applyFont="1" applyFill="1" applyBorder="1" applyAlignment="1">
      <alignment horizontal="center" vertical="top"/>
    </xf>
    <xf numFmtId="166" fontId="18" fillId="7" borderId="79" xfId="0" applyNumberFormat="1" applyFont="1" applyFill="1" applyBorder="1" applyAlignment="1">
      <alignment horizontal="center" vertical="top"/>
    </xf>
    <xf numFmtId="3" fontId="18" fillId="0" borderId="11" xfId="0" applyNumberFormat="1" applyFont="1" applyFill="1" applyBorder="1" applyAlignment="1">
      <alignment horizontal="center" vertical="top"/>
    </xf>
    <xf numFmtId="0" fontId="2" fillId="7" borderId="20" xfId="0" applyFont="1" applyFill="1" applyBorder="1" applyAlignment="1">
      <alignment horizontal="center" vertical="top"/>
    </xf>
    <xf numFmtId="0" fontId="2" fillId="7" borderId="20" xfId="0" applyFont="1" applyFill="1" applyBorder="1" applyAlignment="1">
      <alignment horizontal="right" vertical="top"/>
    </xf>
    <xf numFmtId="166" fontId="2" fillId="7" borderId="0" xfId="0" applyNumberFormat="1" applyFont="1" applyFill="1" applyBorder="1" applyAlignment="1">
      <alignment vertical="top" wrapText="1"/>
    </xf>
    <xf numFmtId="166" fontId="18" fillId="7" borderId="79" xfId="0" applyNumberFormat="1" applyFont="1" applyFill="1" applyBorder="1" applyAlignment="1">
      <alignment vertical="top" wrapText="1"/>
    </xf>
    <xf numFmtId="3" fontId="18" fillId="7" borderId="95" xfId="0" applyNumberFormat="1" applyFont="1" applyFill="1" applyBorder="1" applyAlignment="1">
      <alignment horizontal="center" vertical="top"/>
    </xf>
    <xf numFmtId="3" fontId="6" fillId="0" borderId="97" xfId="0" applyNumberFormat="1" applyFont="1" applyFill="1" applyBorder="1" applyAlignment="1">
      <alignment horizontal="center" vertical="top"/>
    </xf>
    <xf numFmtId="3" fontId="6" fillId="0" borderId="81" xfId="0" applyNumberFormat="1" applyFont="1" applyFill="1" applyBorder="1" applyAlignment="1">
      <alignment horizontal="center" vertical="top"/>
    </xf>
    <xf numFmtId="166" fontId="2" fillId="7" borderId="119" xfId="0" applyNumberFormat="1" applyFont="1" applyFill="1" applyBorder="1" applyAlignment="1">
      <alignment vertical="top" wrapText="1"/>
    </xf>
    <xf numFmtId="0" fontId="2" fillId="0" borderId="80" xfId="0" applyFont="1" applyBorder="1" applyAlignment="1">
      <alignment vertical="top"/>
    </xf>
    <xf numFmtId="3" fontId="18" fillId="7" borderId="80" xfId="0" applyNumberFormat="1" applyFont="1" applyFill="1" applyBorder="1" applyAlignment="1">
      <alignment horizontal="center" vertical="top"/>
    </xf>
    <xf numFmtId="3" fontId="18" fillId="7" borderId="11" xfId="0" applyNumberFormat="1" applyFont="1" applyFill="1" applyBorder="1" applyAlignment="1">
      <alignment horizontal="center" vertical="top"/>
    </xf>
    <xf numFmtId="3" fontId="6" fillId="7" borderId="92" xfId="0" applyNumberFormat="1" applyFont="1" applyFill="1" applyBorder="1" applyAlignment="1">
      <alignment horizontal="center" vertical="top"/>
    </xf>
    <xf numFmtId="3" fontId="6" fillId="7" borderId="86" xfId="0" applyNumberFormat="1" applyFont="1" applyFill="1" applyBorder="1" applyAlignment="1">
      <alignment horizontal="center" vertical="top"/>
    </xf>
    <xf numFmtId="166" fontId="8" fillId="7" borderId="47" xfId="0" applyNumberFormat="1" applyFont="1" applyFill="1" applyBorder="1" applyAlignment="1">
      <alignment horizontal="center" vertical="center" textRotation="90" wrapText="1"/>
    </xf>
    <xf numFmtId="0" fontId="18" fillId="7" borderId="88" xfId="0" applyFont="1" applyFill="1" applyBorder="1" applyAlignment="1">
      <alignment horizontal="left" vertical="top" wrapText="1"/>
    </xf>
    <xf numFmtId="166" fontId="18" fillId="7" borderId="106" xfId="0" applyNumberFormat="1" applyFont="1" applyFill="1" applyBorder="1" applyAlignment="1">
      <alignment horizontal="center" vertical="top" wrapText="1"/>
    </xf>
    <xf numFmtId="166" fontId="2" fillId="7" borderId="62"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166" fontId="2" fillId="7" borderId="28" xfId="0" applyNumberFormat="1" applyFont="1" applyFill="1" applyBorder="1" applyAlignment="1">
      <alignment vertical="top" wrapText="1"/>
    </xf>
    <xf numFmtId="166" fontId="2" fillId="7" borderId="7" xfId="0" applyNumberFormat="1" applyFont="1" applyFill="1" applyBorder="1" applyAlignment="1">
      <alignment horizontal="left" vertical="top" wrapText="1"/>
    </xf>
    <xf numFmtId="166" fontId="2" fillId="7" borderId="48" xfId="0" applyNumberFormat="1" applyFont="1" applyFill="1" applyBorder="1" applyAlignment="1">
      <alignment vertical="top" wrapText="1"/>
    </xf>
    <xf numFmtId="166" fontId="2" fillId="7" borderId="20" xfId="0" applyNumberFormat="1" applyFont="1" applyFill="1" applyBorder="1" applyAlignment="1">
      <alignment horizontal="center" vertical="center" textRotation="90" wrapText="1"/>
    </xf>
    <xf numFmtId="49" fontId="3" fillId="7" borderId="48" xfId="0" applyNumberFormat="1" applyFont="1" applyFill="1" applyBorder="1" applyAlignment="1">
      <alignment horizontal="center" vertical="top"/>
    </xf>
    <xf numFmtId="166" fontId="2" fillId="7" borderId="11" xfId="0" applyNumberFormat="1" applyFont="1" applyFill="1" applyBorder="1" applyAlignment="1">
      <alignment horizontal="center" vertical="center" textRotation="90" wrapText="1"/>
    </xf>
    <xf numFmtId="166" fontId="2" fillId="7" borderId="36" xfId="0" applyNumberFormat="1" applyFont="1" applyFill="1" applyBorder="1" applyAlignment="1">
      <alignment horizontal="left" vertical="top" wrapText="1"/>
    </xf>
    <xf numFmtId="166" fontId="3" fillId="8" borderId="11"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2" fillId="0" borderId="18" xfId="0" applyNumberFormat="1" applyFont="1" applyBorder="1" applyAlignment="1">
      <alignment horizontal="center" vertical="top" wrapText="1"/>
    </xf>
    <xf numFmtId="3" fontId="2" fillId="7" borderId="11" xfId="0" applyNumberFormat="1" applyFont="1" applyFill="1" applyBorder="1" applyAlignment="1">
      <alignment horizontal="center" vertical="top"/>
    </xf>
    <xf numFmtId="166" fontId="8" fillId="7" borderId="18" xfId="0" applyNumberFormat="1" applyFont="1" applyFill="1" applyBorder="1" applyAlignment="1">
      <alignment horizontal="center" vertical="top" wrapText="1"/>
    </xf>
    <xf numFmtId="166" fontId="2" fillId="7" borderId="28" xfId="0" applyNumberFormat="1" applyFont="1" applyFill="1" applyBorder="1" applyAlignment="1">
      <alignment horizontal="center" vertical="center" textRotation="90" wrapText="1"/>
    </xf>
    <xf numFmtId="166" fontId="8" fillId="7" borderId="27" xfId="0" applyNumberFormat="1" applyFont="1" applyFill="1" applyBorder="1" applyAlignment="1">
      <alignment vertical="top" wrapText="1"/>
    </xf>
    <xf numFmtId="166" fontId="2" fillId="7" borderId="8"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93" xfId="0" applyNumberFormat="1" applyFont="1" applyFill="1" applyBorder="1" applyAlignment="1">
      <alignment horizontal="center" vertical="top"/>
    </xf>
    <xf numFmtId="166" fontId="2" fillId="7" borderId="92" xfId="0" applyNumberFormat="1" applyFont="1" applyFill="1" applyBorder="1" applyAlignment="1">
      <alignment horizontal="center" vertical="top"/>
    </xf>
    <xf numFmtId="166" fontId="2" fillId="7" borderId="86" xfId="0" applyNumberFormat="1" applyFont="1" applyFill="1" applyBorder="1" applyAlignment="1">
      <alignment horizontal="center" vertical="top"/>
    </xf>
    <xf numFmtId="3" fontId="2" fillId="0" borderId="89" xfId="0" applyNumberFormat="1" applyFont="1" applyFill="1" applyBorder="1" applyAlignment="1">
      <alignment horizontal="center" vertical="top"/>
    </xf>
    <xf numFmtId="166" fontId="37" fillId="7" borderId="85" xfId="0" applyNumberFormat="1" applyFont="1" applyFill="1" applyBorder="1" applyAlignment="1">
      <alignment vertical="top" wrapText="1"/>
    </xf>
    <xf numFmtId="0" fontId="37" fillId="7" borderId="85" xfId="0" applyFont="1" applyFill="1" applyBorder="1" applyAlignment="1">
      <alignment vertical="top" wrapText="1"/>
    </xf>
    <xf numFmtId="166" fontId="18" fillId="7" borderId="78" xfId="0" applyNumberFormat="1" applyFont="1" applyFill="1" applyBorder="1" applyAlignment="1">
      <alignment vertical="top" wrapText="1"/>
    </xf>
    <xf numFmtId="166" fontId="18" fillId="7" borderId="85" xfId="0" applyNumberFormat="1" applyFont="1" applyFill="1" applyBorder="1" applyAlignment="1">
      <alignment vertical="top" wrapText="1"/>
    </xf>
    <xf numFmtId="166" fontId="18" fillId="0" borderId="28" xfId="0" applyNumberFormat="1" applyFont="1" applyFill="1" applyBorder="1" applyAlignment="1">
      <alignment vertical="top" wrapText="1"/>
    </xf>
    <xf numFmtId="166" fontId="2" fillId="0" borderId="1" xfId="0" applyNumberFormat="1" applyFont="1" applyFill="1" applyBorder="1" applyAlignment="1">
      <alignment horizontal="center" vertical="top"/>
    </xf>
    <xf numFmtId="166" fontId="13" fillId="7" borderId="22"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49" fontId="3" fillId="8" borderId="11" xfId="0" applyNumberFormat="1" applyFont="1" applyFill="1" applyBorder="1" applyAlignment="1">
      <alignment horizontal="center" vertical="top"/>
    </xf>
    <xf numFmtId="0" fontId="2" fillId="7" borderId="28" xfId="0" applyFont="1" applyFill="1" applyBorder="1" applyAlignment="1">
      <alignment horizontal="left" vertical="top" wrapText="1"/>
    </xf>
    <xf numFmtId="166" fontId="3" fillId="2"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166" fontId="2" fillId="7" borderId="20" xfId="0" applyNumberFormat="1" applyFont="1" applyFill="1" applyBorder="1" applyAlignment="1">
      <alignment horizontal="left" vertical="top" wrapText="1"/>
    </xf>
    <xf numFmtId="49" fontId="3" fillId="9" borderId="7"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3" fillId="8" borderId="11"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2" fillId="7" borderId="6" xfId="0" applyFont="1" applyFill="1" applyBorder="1" applyAlignment="1">
      <alignment horizontal="center" vertical="top" wrapText="1"/>
    </xf>
    <xf numFmtId="0" fontId="2" fillId="7" borderId="23" xfId="0" applyFont="1" applyFill="1" applyBorder="1" applyAlignment="1">
      <alignment horizontal="center" vertical="top" wrapText="1"/>
    </xf>
    <xf numFmtId="49" fontId="2" fillId="7" borderId="18" xfId="0" applyNumberFormat="1" applyFont="1" applyFill="1" applyBorder="1" applyAlignment="1">
      <alignment horizontal="center" vertical="center" wrapText="1"/>
    </xf>
    <xf numFmtId="49" fontId="2" fillId="7" borderId="27" xfId="0" applyNumberFormat="1" applyFont="1" applyFill="1" applyBorder="1" applyAlignment="1">
      <alignment horizontal="center" vertical="center" wrapText="1"/>
    </xf>
    <xf numFmtId="166" fontId="2" fillId="7" borderId="104" xfId="0" applyNumberFormat="1" applyFont="1" applyFill="1" applyBorder="1" applyAlignment="1">
      <alignment horizontal="center" vertical="top" wrapText="1"/>
    </xf>
    <xf numFmtId="166" fontId="2" fillId="7" borderId="107" xfId="0" applyNumberFormat="1" applyFont="1" applyFill="1" applyBorder="1" applyAlignment="1">
      <alignment horizontal="center" vertical="top"/>
    </xf>
    <xf numFmtId="0" fontId="22" fillId="7" borderId="102" xfId="0" applyFont="1" applyFill="1" applyBorder="1" applyAlignment="1">
      <alignment vertical="top" wrapText="1"/>
    </xf>
    <xf numFmtId="3" fontId="2" fillId="7" borderId="103" xfId="0" applyNumberFormat="1" applyFont="1" applyFill="1" applyBorder="1" applyAlignment="1">
      <alignment vertical="top"/>
    </xf>
    <xf numFmtId="3" fontId="2" fillId="8" borderId="32" xfId="0" applyNumberFormat="1" applyFont="1" applyFill="1" applyBorder="1" applyAlignment="1">
      <alignment horizontal="center" vertical="top"/>
    </xf>
    <xf numFmtId="0" fontId="2" fillId="7" borderId="85" xfId="0" applyFont="1" applyFill="1" applyBorder="1" applyAlignment="1">
      <alignment horizontal="left" vertical="top" wrapText="1"/>
    </xf>
    <xf numFmtId="3" fontId="2" fillId="7" borderId="46"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3" fontId="2" fillId="7" borderId="21"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3" fontId="2" fillId="7" borderId="46" xfId="0" applyNumberFormat="1" applyFont="1" applyFill="1" applyBorder="1" applyAlignment="1">
      <alignment horizontal="center" vertical="top" wrapText="1"/>
    </xf>
    <xf numFmtId="166" fontId="2" fillId="7" borderId="28" xfId="0" applyNumberFormat="1" applyFont="1" applyFill="1" applyBorder="1" applyAlignment="1">
      <alignment vertical="top" wrapText="1"/>
    </xf>
    <xf numFmtId="166" fontId="3" fillId="7" borderId="28" xfId="0" applyNumberFormat="1" applyFont="1" applyFill="1" applyBorder="1" applyAlignment="1">
      <alignment horizontal="center" vertical="center" textRotation="90"/>
    </xf>
    <xf numFmtId="166" fontId="2" fillId="2" borderId="70" xfId="0" applyNumberFormat="1" applyFont="1" applyFill="1" applyBorder="1" applyAlignment="1">
      <alignment horizontal="center" vertical="top" wrapText="1"/>
    </xf>
    <xf numFmtId="166" fontId="2" fillId="7" borderId="18" xfId="0" applyNumberFormat="1" applyFont="1" applyFill="1" applyBorder="1" applyAlignment="1">
      <alignment horizontal="center" vertical="top" wrapText="1"/>
    </xf>
    <xf numFmtId="166" fontId="8" fillId="7" borderId="18" xfId="0" applyNumberFormat="1" applyFont="1" applyFill="1" applyBorder="1" applyAlignment="1">
      <alignment horizontal="center" vertical="top" wrapText="1"/>
    </xf>
    <xf numFmtId="166" fontId="3" fillId="2" borderId="70"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7" borderId="20"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3" fillId="9" borderId="9"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3" fillId="7" borderId="28" xfId="0" applyNumberFormat="1" applyFont="1" applyFill="1" applyBorder="1" applyAlignment="1">
      <alignment horizontal="center" vertical="top" wrapText="1"/>
    </xf>
    <xf numFmtId="49" fontId="3" fillId="9" borderId="5" xfId="0" applyNumberFormat="1" applyFont="1" applyFill="1" applyBorder="1" applyAlignment="1">
      <alignment horizontal="center" vertical="top"/>
    </xf>
    <xf numFmtId="49" fontId="3" fillId="2" borderId="41" xfId="0" applyNumberFormat="1" applyFont="1" applyFill="1" applyBorder="1" applyAlignment="1">
      <alignment horizontal="center" vertical="top"/>
    </xf>
    <xf numFmtId="49" fontId="3" fillId="2" borderId="48"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2" fillId="7" borderId="27" xfId="0" applyNumberFormat="1" applyFont="1" applyFill="1" applyBorder="1" applyAlignment="1">
      <alignment horizontal="center" vertical="top" wrapText="1"/>
    </xf>
    <xf numFmtId="166" fontId="3" fillId="7" borderId="35" xfId="0" applyNumberFormat="1" applyFont="1" applyFill="1" applyBorder="1" applyAlignment="1">
      <alignment horizontal="center" vertical="top"/>
    </xf>
    <xf numFmtId="49" fontId="3" fillId="8" borderId="48" xfId="0" applyNumberFormat="1" applyFont="1" applyFill="1" applyBorder="1" applyAlignment="1">
      <alignment horizontal="center" vertical="top"/>
    </xf>
    <xf numFmtId="166" fontId="8" fillId="8" borderId="59" xfId="0" applyNumberFormat="1" applyFont="1" applyFill="1" applyBorder="1" applyAlignment="1">
      <alignment vertical="top" wrapText="1"/>
    </xf>
    <xf numFmtId="166" fontId="4" fillId="7" borderId="13" xfId="0" applyNumberFormat="1" applyFont="1" applyFill="1" applyBorder="1" applyAlignment="1">
      <alignment horizontal="center" vertical="top" wrapText="1"/>
    </xf>
    <xf numFmtId="166" fontId="3" fillId="8" borderId="59" xfId="0" applyNumberFormat="1" applyFont="1" applyFill="1" applyBorder="1" applyAlignment="1">
      <alignment horizontal="center" vertical="top"/>
    </xf>
    <xf numFmtId="166" fontId="3" fillId="8" borderId="6" xfId="0" applyNumberFormat="1" applyFont="1" applyFill="1" applyBorder="1" applyAlignment="1">
      <alignment horizontal="center" vertical="top"/>
    </xf>
    <xf numFmtId="166" fontId="3" fillId="8" borderId="34" xfId="0" applyNumberFormat="1" applyFont="1" applyFill="1" applyBorder="1" applyAlignment="1">
      <alignment horizontal="center" vertical="top"/>
    </xf>
    <xf numFmtId="166" fontId="3" fillId="7" borderId="14" xfId="0" applyNumberFormat="1" applyFont="1" applyFill="1" applyBorder="1" applyAlignment="1">
      <alignment horizontal="center" vertical="top"/>
    </xf>
    <xf numFmtId="166" fontId="2" fillId="7" borderId="73" xfId="0" applyNumberFormat="1" applyFont="1" applyFill="1" applyBorder="1" applyAlignment="1">
      <alignment horizontal="center" vertical="top"/>
    </xf>
    <xf numFmtId="166" fontId="2" fillId="3" borderId="73" xfId="0" applyNumberFormat="1" applyFont="1" applyFill="1" applyBorder="1" applyAlignment="1">
      <alignment horizontal="center" vertical="top"/>
    </xf>
    <xf numFmtId="166" fontId="2" fillId="7" borderId="60" xfId="0" applyNumberFormat="1" applyFont="1" applyFill="1" applyBorder="1" applyAlignment="1">
      <alignment horizontal="left" vertical="top" wrapText="1"/>
    </xf>
    <xf numFmtId="49" fontId="2" fillId="7" borderId="13" xfId="0" applyNumberFormat="1" applyFont="1" applyFill="1" applyBorder="1" applyAlignment="1">
      <alignment horizontal="center" vertical="top"/>
    </xf>
    <xf numFmtId="49" fontId="2" fillId="7" borderId="73" xfId="0" applyNumberFormat="1" applyFont="1" applyFill="1" applyBorder="1" applyAlignment="1">
      <alignment horizontal="center" vertical="top"/>
    </xf>
    <xf numFmtId="49" fontId="2" fillId="7" borderId="14" xfId="0" applyNumberFormat="1" applyFont="1" applyFill="1" applyBorder="1" applyAlignment="1">
      <alignment horizontal="center" vertical="top"/>
    </xf>
    <xf numFmtId="49" fontId="2" fillId="7" borderId="15" xfId="0" applyNumberFormat="1" applyFont="1" applyFill="1" applyBorder="1" applyAlignment="1">
      <alignment horizontal="center" vertical="top"/>
    </xf>
    <xf numFmtId="166" fontId="3" fillId="7" borderId="13" xfId="0" applyNumberFormat="1" applyFont="1" applyFill="1" applyBorder="1" applyAlignment="1">
      <alignment vertical="top" wrapText="1"/>
    </xf>
    <xf numFmtId="3" fontId="6" fillId="8" borderId="32" xfId="0" applyNumberFormat="1" applyFont="1" applyFill="1" applyBorder="1" applyAlignment="1">
      <alignment horizontal="center" vertical="top" wrapText="1"/>
    </xf>
    <xf numFmtId="3" fontId="6" fillId="8" borderId="33" xfId="0" applyNumberFormat="1" applyFont="1" applyFill="1" applyBorder="1" applyAlignment="1">
      <alignment horizontal="center" vertical="top" wrapText="1"/>
    </xf>
    <xf numFmtId="166" fontId="11" fillId="8" borderId="0" xfId="0" applyNumberFormat="1" applyFont="1" applyFill="1" applyBorder="1" applyAlignment="1">
      <alignment horizontal="center" vertical="center" textRotation="90" wrapText="1"/>
    </xf>
    <xf numFmtId="0" fontId="2" fillId="7" borderId="80" xfId="0" applyFont="1" applyFill="1" applyBorder="1" applyAlignment="1">
      <alignment vertical="top" wrapText="1"/>
    </xf>
    <xf numFmtId="166" fontId="2" fillId="7" borderId="8"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0" fontId="2" fillId="7" borderId="7" xfId="0" applyFont="1" applyFill="1" applyBorder="1" applyAlignment="1">
      <alignment vertical="top" wrapText="1"/>
    </xf>
    <xf numFmtId="166" fontId="2" fillId="7" borderId="6" xfId="0" applyNumberFormat="1" applyFont="1" applyFill="1" applyBorder="1" applyAlignment="1">
      <alignment horizontal="center" vertical="center"/>
    </xf>
    <xf numFmtId="166" fontId="3" fillId="9" borderId="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3" borderId="28" xfId="0" applyNumberFormat="1" applyFont="1" applyFill="1" applyBorder="1" applyAlignment="1">
      <alignment horizontal="center" vertical="top" wrapText="1"/>
    </xf>
    <xf numFmtId="3" fontId="2" fillId="7" borderId="18"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166" fontId="2" fillId="7" borderId="102" xfId="0" applyNumberFormat="1" applyFont="1" applyFill="1" applyBorder="1" applyAlignment="1">
      <alignment vertical="top" wrapText="1"/>
    </xf>
    <xf numFmtId="3" fontId="2" fillId="7" borderId="21" xfId="0" applyNumberFormat="1" applyFont="1" applyFill="1" applyBorder="1" applyAlignment="1">
      <alignment horizontal="center" vertical="top"/>
    </xf>
    <xf numFmtId="166" fontId="18" fillId="7" borderId="0" xfId="0" applyNumberFormat="1" applyFont="1" applyFill="1" applyBorder="1" applyAlignment="1">
      <alignment horizontal="center" vertical="top"/>
    </xf>
    <xf numFmtId="166" fontId="2" fillId="7" borderId="98"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top"/>
    </xf>
    <xf numFmtId="166" fontId="8" fillId="7" borderId="18"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49" fontId="2" fillId="7" borderId="107" xfId="0" applyNumberFormat="1" applyFont="1" applyFill="1" applyBorder="1" applyAlignment="1">
      <alignment horizontal="center" vertical="top"/>
    </xf>
    <xf numFmtId="49" fontId="2" fillId="0" borderId="89" xfId="0" applyNumberFormat="1" applyFont="1" applyFill="1" applyBorder="1" applyAlignment="1">
      <alignment horizontal="center" vertical="top"/>
    </xf>
    <xf numFmtId="49" fontId="2" fillId="0" borderId="112" xfId="0" applyNumberFormat="1" applyFont="1" applyFill="1" applyBorder="1" applyAlignment="1">
      <alignment horizontal="center" vertical="top"/>
    </xf>
    <xf numFmtId="49" fontId="2" fillId="0" borderId="98"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0" fontId="8" fillId="7" borderId="7" xfId="0" applyFont="1" applyFill="1" applyBorder="1" applyAlignment="1">
      <alignment horizontal="left" vertical="top" wrapText="1"/>
    </xf>
    <xf numFmtId="49" fontId="3" fillId="7" borderId="11" xfId="0" applyNumberFormat="1" applyFont="1" applyFill="1" applyBorder="1" applyAlignment="1">
      <alignment horizontal="center" vertical="top"/>
    </xf>
    <xf numFmtId="3" fontId="2" fillId="7" borderId="28" xfId="0" applyNumberFormat="1" applyFont="1" applyFill="1" applyBorder="1" applyAlignment="1">
      <alignment horizontal="center" vertical="top" wrapText="1"/>
    </xf>
    <xf numFmtId="3" fontId="2" fillId="7" borderId="18"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0" fontId="8" fillId="7" borderId="29" xfId="0" applyFont="1" applyFill="1" applyBorder="1" applyAlignment="1">
      <alignment horizontal="left" vertical="top" wrapText="1"/>
    </xf>
    <xf numFmtId="166" fontId="3" fillId="8" borderId="11"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0" fillId="7" borderId="48" xfId="0" applyFill="1" applyBorder="1" applyAlignment="1">
      <alignment vertical="top" wrapText="1"/>
    </xf>
    <xf numFmtId="49" fontId="3" fillId="7" borderId="28" xfId="0" applyNumberFormat="1" applyFont="1" applyFill="1" applyBorder="1" applyAlignment="1">
      <alignment horizontal="center" vertical="top"/>
    </xf>
    <xf numFmtId="166" fontId="3" fillId="7" borderId="28" xfId="0" applyNumberFormat="1" applyFont="1" applyFill="1" applyBorder="1" applyAlignment="1">
      <alignment horizontal="center" vertical="top" wrapText="1"/>
    </xf>
    <xf numFmtId="166" fontId="3" fillId="7" borderId="20" xfId="0" applyNumberFormat="1" applyFont="1" applyFill="1" applyBorder="1" applyAlignment="1">
      <alignment horizontal="center" vertical="top" wrapText="1"/>
    </xf>
    <xf numFmtId="0" fontId="8" fillId="7" borderId="27" xfId="0" applyFont="1" applyFill="1" applyBorder="1" applyAlignment="1">
      <alignment horizontal="center" wrapText="1"/>
    </xf>
    <xf numFmtId="166" fontId="3" fillId="7" borderId="59" xfId="0" applyNumberFormat="1" applyFont="1" applyFill="1" applyBorder="1" applyAlignment="1">
      <alignment horizontal="center" vertical="top" wrapText="1"/>
    </xf>
    <xf numFmtId="3" fontId="2" fillId="7" borderId="89" xfId="0" applyNumberFormat="1" applyFont="1" applyFill="1" applyBorder="1" applyAlignment="1">
      <alignment horizontal="center" vertical="top"/>
    </xf>
    <xf numFmtId="166" fontId="3" fillId="7" borderId="20" xfId="0" applyNumberFormat="1" applyFont="1" applyFill="1" applyBorder="1" applyAlignment="1">
      <alignment horizontal="center" vertical="top" wrapText="1"/>
    </xf>
    <xf numFmtId="3" fontId="2" fillId="7" borderId="20" xfId="0" applyNumberFormat="1" applyFont="1" applyFill="1" applyBorder="1" applyAlignment="1">
      <alignment horizontal="center" vertical="top"/>
    </xf>
    <xf numFmtId="166" fontId="2" fillId="7" borderId="36" xfId="0" applyNumberFormat="1" applyFont="1" applyFill="1" applyBorder="1" applyAlignment="1">
      <alignment horizontal="left" vertical="top" wrapText="1"/>
    </xf>
    <xf numFmtId="3" fontId="2" fillId="7" borderId="59"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3" fontId="2" fillId="7" borderId="21"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166" fontId="2" fillId="7" borderId="7" xfId="0" applyNumberFormat="1" applyFont="1" applyFill="1" applyBorder="1" applyAlignment="1">
      <alignment vertical="top" wrapText="1"/>
    </xf>
    <xf numFmtId="3" fontId="2" fillId="7" borderId="18"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18" fillId="7" borderId="100" xfId="0" applyNumberFormat="1" applyFont="1" applyFill="1" applyBorder="1" applyAlignment="1">
      <alignment vertical="top" wrapText="1"/>
    </xf>
    <xf numFmtId="166" fontId="38" fillId="7" borderId="80" xfId="0" applyNumberFormat="1" applyFont="1" applyFill="1" applyBorder="1" applyAlignment="1">
      <alignment horizontal="center" vertical="top"/>
    </xf>
    <xf numFmtId="3" fontId="2" fillId="7" borderId="46"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9" borderId="34"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3" fillId="2" borderId="48" xfId="0" applyNumberFormat="1" applyFont="1" applyFill="1" applyBorder="1" applyAlignment="1">
      <alignment horizontal="center" vertical="top"/>
    </xf>
    <xf numFmtId="166" fontId="2" fillId="7" borderId="7" xfId="0" applyNumberFormat="1" applyFont="1" applyFill="1" applyBorder="1" applyAlignment="1">
      <alignment horizontal="left" vertical="top" wrapText="1"/>
    </xf>
    <xf numFmtId="166" fontId="2" fillId="7" borderId="7" xfId="0" applyNumberFormat="1" applyFont="1" applyFill="1" applyBorder="1" applyAlignment="1">
      <alignment vertical="top" wrapText="1"/>
    </xf>
    <xf numFmtId="49" fontId="3" fillId="9" borderId="7"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166" fontId="2" fillId="7" borderId="47" xfId="0" applyNumberFormat="1" applyFont="1" applyFill="1" applyBorder="1" applyAlignment="1">
      <alignment vertical="top" wrapText="1"/>
    </xf>
    <xf numFmtId="166" fontId="2" fillId="7" borderId="36" xfId="0" applyNumberFormat="1" applyFont="1" applyFill="1" applyBorder="1" applyAlignment="1">
      <alignment horizontal="left" vertical="top" wrapText="1"/>
    </xf>
    <xf numFmtId="0" fontId="2" fillId="7" borderId="36" xfId="0" applyFont="1" applyFill="1" applyBorder="1" applyAlignment="1">
      <alignment vertical="top" wrapText="1"/>
    </xf>
    <xf numFmtId="3" fontId="2" fillId="7" borderId="20" xfId="0" applyNumberFormat="1" applyFont="1" applyFill="1" applyBorder="1" applyAlignment="1">
      <alignment horizontal="center" vertical="top" wrapText="1"/>
    </xf>
    <xf numFmtId="3" fontId="13" fillId="7" borderId="20" xfId="0" applyNumberFormat="1" applyFont="1" applyFill="1" applyBorder="1" applyAlignment="1">
      <alignment horizontal="center" vertical="top" wrapText="1"/>
    </xf>
    <xf numFmtId="3" fontId="2" fillId="7" borderId="28" xfId="0" applyNumberFormat="1" applyFont="1" applyFill="1" applyBorder="1" applyAlignment="1">
      <alignment horizontal="center" vertical="top" wrapText="1"/>
    </xf>
    <xf numFmtId="3" fontId="2" fillId="7" borderId="59"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166" fontId="2" fillId="7" borderId="102" xfId="0" applyNumberFormat="1" applyFont="1" applyFill="1" applyBorder="1" applyAlignment="1">
      <alignment vertical="top" wrapText="1"/>
    </xf>
    <xf numFmtId="3" fontId="2" fillId="7" borderId="21"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23" fillId="3" borderId="35" xfId="0" applyNumberFormat="1" applyFont="1" applyFill="1" applyBorder="1" applyAlignment="1">
      <alignment horizontal="center" vertical="top" wrapText="1"/>
    </xf>
    <xf numFmtId="166" fontId="3" fillId="7" borderId="35"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2" fillId="7" borderId="8" xfId="0" applyNumberFormat="1" applyFont="1" applyFill="1" applyBorder="1" applyAlignment="1">
      <alignment horizontal="center" vertical="top" wrapText="1"/>
    </xf>
    <xf numFmtId="166" fontId="2" fillId="7" borderId="23" xfId="0" applyNumberFormat="1" applyFont="1" applyFill="1" applyBorder="1" applyAlignment="1">
      <alignment horizontal="center" vertical="top" wrapText="1"/>
    </xf>
    <xf numFmtId="166" fontId="2" fillId="7" borderId="8"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166" fontId="2" fillId="7" borderId="79" xfId="0" applyNumberFormat="1" applyFont="1" applyFill="1" applyBorder="1" applyAlignment="1">
      <alignment horizontal="left" vertical="top" wrapText="1"/>
    </xf>
    <xf numFmtId="3" fontId="2" fillId="7" borderId="48"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3" fontId="2" fillId="7" borderId="21" xfId="0" applyNumberFormat="1" applyFont="1" applyFill="1" applyBorder="1" applyAlignment="1">
      <alignment horizontal="center" vertical="top" wrapText="1"/>
    </xf>
    <xf numFmtId="3" fontId="2" fillId="7" borderId="46" xfId="0" applyNumberFormat="1" applyFont="1" applyFill="1" applyBorder="1" applyAlignment="1">
      <alignment horizontal="center" vertical="top" wrapText="1"/>
    </xf>
    <xf numFmtId="166" fontId="3" fillId="9" borderId="7"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0" fontId="0" fillId="7" borderId="7" xfId="0" applyFill="1" applyBorder="1" applyAlignment="1">
      <alignment vertical="top" wrapText="1"/>
    </xf>
    <xf numFmtId="165" fontId="2" fillId="0" borderId="22" xfId="0" applyNumberFormat="1" applyFont="1" applyBorder="1" applyAlignment="1">
      <alignment horizontal="center"/>
    </xf>
    <xf numFmtId="0" fontId="2" fillId="0" borderId="6" xfId="0" applyFont="1" applyBorder="1" applyAlignment="1">
      <alignment vertical="top"/>
    </xf>
    <xf numFmtId="3" fontId="2" fillId="7" borderId="103" xfId="0" applyNumberFormat="1" applyFont="1" applyFill="1" applyBorder="1" applyAlignment="1">
      <alignment horizontal="center" vertical="top" wrapText="1"/>
    </xf>
    <xf numFmtId="3" fontId="2" fillId="7" borderId="107" xfId="0" applyNumberFormat="1" applyFont="1" applyFill="1" applyBorder="1" applyAlignment="1">
      <alignment horizontal="center" vertical="top" wrapText="1"/>
    </xf>
    <xf numFmtId="3" fontId="2" fillId="7" borderId="106" xfId="0" applyNumberFormat="1" applyFont="1" applyFill="1" applyBorder="1" applyAlignment="1">
      <alignment horizontal="center" vertical="top" wrapText="1"/>
    </xf>
    <xf numFmtId="166" fontId="2" fillId="7" borderId="23" xfId="0" applyNumberFormat="1" applyFont="1" applyFill="1" applyBorder="1" applyAlignment="1">
      <alignment horizontal="right" vertical="top" wrapText="1"/>
    </xf>
    <xf numFmtId="0" fontId="8" fillId="7" borderId="18" xfId="0" applyFont="1" applyFill="1" applyBorder="1" applyAlignment="1">
      <alignment horizontal="center" vertical="top" wrapText="1"/>
    </xf>
    <xf numFmtId="0" fontId="8" fillId="0" borderId="18" xfId="0" applyFont="1" applyBorder="1" applyAlignment="1">
      <alignment horizontal="center" vertical="top" wrapText="1"/>
    </xf>
    <xf numFmtId="166" fontId="2" fillId="7" borderId="88" xfId="0" applyNumberFormat="1" applyFont="1" applyFill="1" applyBorder="1" applyAlignment="1">
      <alignment horizontal="left" vertical="top" wrapText="1"/>
    </xf>
    <xf numFmtId="3" fontId="28" fillId="7" borderId="89" xfId="0" applyNumberFormat="1" applyFont="1" applyFill="1" applyBorder="1" applyAlignment="1">
      <alignment horizontal="center" vertical="center" wrapText="1"/>
    </xf>
    <xf numFmtId="3" fontId="6" fillId="7" borderId="90" xfId="0" applyNumberFormat="1" applyFont="1" applyFill="1" applyBorder="1" applyAlignment="1">
      <alignment horizontal="center" vertical="center" wrapText="1"/>
    </xf>
    <xf numFmtId="3" fontId="6" fillId="7" borderId="98" xfId="0" applyNumberFormat="1" applyFont="1" applyFill="1" applyBorder="1" applyAlignment="1">
      <alignment horizontal="center" vertical="center" wrapText="1"/>
    </xf>
    <xf numFmtId="166" fontId="2" fillId="7" borderId="116" xfId="0" applyNumberFormat="1" applyFont="1" applyFill="1" applyBorder="1" applyAlignment="1">
      <alignment horizontal="center" vertical="top"/>
    </xf>
    <xf numFmtId="3" fontId="18" fillId="0" borderId="78" xfId="0" applyNumberFormat="1" applyFont="1" applyFill="1" applyBorder="1" applyAlignment="1">
      <alignment horizontal="center" vertical="top"/>
    </xf>
    <xf numFmtId="3" fontId="2" fillId="7" borderId="107" xfId="0" applyNumberFormat="1" applyFont="1" applyFill="1" applyBorder="1" applyAlignment="1">
      <alignment horizontal="center" vertical="top"/>
    </xf>
    <xf numFmtId="166" fontId="18" fillId="7" borderId="43" xfId="0" applyNumberFormat="1" applyFont="1" applyFill="1" applyBorder="1" applyAlignment="1">
      <alignment horizontal="center" vertical="top"/>
    </xf>
    <xf numFmtId="166" fontId="18" fillId="7" borderId="36" xfId="0" applyNumberFormat="1" applyFont="1" applyFill="1" applyBorder="1" applyAlignment="1">
      <alignment vertical="top" wrapText="1"/>
    </xf>
    <xf numFmtId="166" fontId="23" fillId="3" borderId="48" xfId="0" applyNumberFormat="1" applyFont="1" applyFill="1" applyBorder="1" applyAlignment="1">
      <alignment horizontal="center" vertical="top" wrapText="1"/>
    </xf>
    <xf numFmtId="166" fontId="23" fillId="7" borderId="35" xfId="0" applyNumberFormat="1" applyFont="1" applyFill="1" applyBorder="1" applyAlignment="1">
      <alignment horizontal="center" vertical="top"/>
    </xf>
    <xf numFmtId="166" fontId="2" fillId="0" borderId="22" xfId="0" applyNumberFormat="1" applyFont="1" applyBorder="1" applyAlignment="1">
      <alignment horizontal="center" vertical="top" wrapText="1"/>
    </xf>
    <xf numFmtId="166" fontId="3" fillId="8" borderId="22" xfId="0" applyNumberFormat="1" applyFont="1" applyFill="1" applyBorder="1" applyAlignment="1">
      <alignment horizontal="center" vertical="top" wrapText="1"/>
    </xf>
    <xf numFmtId="166" fontId="3" fillId="5" borderId="10" xfId="0" applyNumberFormat="1" applyFont="1" applyFill="1" applyBorder="1" applyAlignment="1">
      <alignment horizontal="center" vertical="top" wrapText="1"/>
    </xf>
    <xf numFmtId="49" fontId="3" fillId="7"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3" fontId="18" fillId="7" borderId="108" xfId="0" applyNumberFormat="1" applyFont="1" applyFill="1" applyBorder="1" applyAlignment="1">
      <alignment horizontal="center" vertical="top"/>
    </xf>
    <xf numFmtId="49" fontId="18" fillId="0" borderId="35" xfId="0" applyNumberFormat="1" applyFont="1" applyFill="1" applyBorder="1" applyAlignment="1">
      <alignment horizontal="center" vertical="top"/>
    </xf>
    <xf numFmtId="3" fontId="18" fillId="7" borderId="48" xfId="0" applyNumberFormat="1" applyFont="1" applyFill="1" applyBorder="1" applyAlignment="1">
      <alignment horizontal="center" vertical="top"/>
    </xf>
    <xf numFmtId="166" fontId="2" fillId="7" borderId="8" xfId="0" applyNumberFormat="1" applyFont="1" applyFill="1" applyBorder="1" applyAlignment="1">
      <alignment horizontal="center" vertical="top" wrapText="1"/>
    </xf>
    <xf numFmtId="166" fontId="2" fillId="7" borderId="23" xfId="0" applyNumberFormat="1" applyFont="1" applyFill="1" applyBorder="1" applyAlignment="1">
      <alignment horizontal="center" vertical="top" wrapText="1"/>
    </xf>
    <xf numFmtId="3" fontId="2" fillId="7" borderId="18"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2" fillId="7" borderId="8"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0" fontId="2" fillId="7" borderId="8" xfId="0" applyFont="1" applyFill="1" applyBorder="1" applyAlignment="1">
      <alignment horizontal="center" vertical="top"/>
    </xf>
    <xf numFmtId="0" fontId="2" fillId="7" borderId="23" xfId="0" applyFont="1" applyFill="1" applyBorder="1" applyAlignment="1">
      <alignment horizontal="center" vertical="top"/>
    </xf>
    <xf numFmtId="3" fontId="18" fillId="7" borderId="35"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2" fillId="7" borderId="48" xfId="0" applyNumberFormat="1" applyFont="1" applyFill="1" applyBorder="1" applyAlignment="1">
      <alignment vertical="top" wrapText="1"/>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2" fillId="7" borderId="18" xfId="0" applyNumberFormat="1" applyFont="1" applyFill="1" applyBorder="1" applyAlignment="1">
      <alignment horizontal="center" vertical="top" wrapText="1"/>
    </xf>
    <xf numFmtId="166" fontId="3" fillId="8" borderId="11" xfId="0" applyNumberFormat="1" applyFont="1" applyFill="1" applyBorder="1" applyAlignment="1">
      <alignment horizontal="center" vertical="top"/>
    </xf>
    <xf numFmtId="3" fontId="2" fillId="0" borderId="103" xfId="0" applyNumberFormat="1" applyFont="1" applyFill="1" applyBorder="1" applyAlignment="1">
      <alignment horizontal="center" vertical="top"/>
    </xf>
    <xf numFmtId="3" fontId="2" fillId="0" borderId="107" xfId="0" applyNumberFormat="1" applyFont="1" applyFill="1" applyBorder="1" applyAlignment="1">
      <alignment horizontal="center" vertical="top"/>
    </xf>
    <xf numFmtId="3" fontId="2" fillId="0" borderId="108" xfId="0" applyNumberFormat="1" applyFont="1" applyFill="1" applyBorder="1" applyAlignment="1">
      <alignment horizontal="center" vertical="top"/>
    </xf>
    <xf numFmtId="3" fontId="2" fillId="0" borderId="106"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3" borderId="11" xfId="0" applyNumberFormat="1" applyFont="1" applyFill="1" applyBorder="1" applyAlignment="1">
      <alignment horizontal="center" vertical="top" wrapText="1"/>
    </xf>
    <xf numFmtId="166" fontId="3" fillId="9" borderId="34"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8" fillId="7" borderId="18" xfId="0" applyNumberFormat="1" applyFont="1" applyFill="1" applyBorder="1" applyAlignment="1">
      <alignment vertical="top" wrapText="1"/>
    </xf>
    <xf numFmtId="166" fontId="3" fillId="7" borderId="35" xfId="0" applyNumberFormat="1" applyFont="1" applyFill="1" applyBorder="1" applyAlignment="1">
      <alignment horizontal="center" vertical="top"/>
    </xf>
    <xf numFmtId="49" fontId="2" fillId="7" borderId="89" xfId="0" applyNumberFormat="1" applyFont="1" applyFill="1" applyBorder="1" applyAlignment="1">
      <alignment horizontal="center" vertical="top"/>
    </xf>
    <xf numFmtId="0" fontId="2" fillId="7" borderId="102" xfId="0" applyFont="1" applyFill="1" applyBorder="1" applyAlignment="1">
      <alignment horizontal="left" vertical="top" wrapText="1"/>
    </xf>
    <xf numFmtId="166" fontId="2" fillId="7" borderId="7" xfId="0" applyNumberFormat="1" applyFont="1" applyFill="1" applyBorder="1" applyAlignment="1">
      <alignment horizontal="left" vertical="top" wrapText="1"/>
    </xf>
    <xf numFmtId="3" fontId="2" fillId="7" borderId="11" xfId="0" applyNumberFormat="1" applyFont="1" applyFill="1" applyBorder="1" applyAlignment="1">
      <alignment horizontal="center" vertical="top"/>
    </xf>
    <xf numFmtId="0" fontId="2" fillId="7" borderId="102" xfId="0" applyFont="1" applyFill="1" applyBorder="1" applyAlignment="1">
      <alignment vertical="top" wrapText="1"/>
    </xf>
    <xf numFmtId="0" fontId="18" fillId="7" borderId="29" xfId="0" applyFont="1" applyFill="1" applyBorder="1" applyAlignment="1">
      <alignment vertical="top" wrapText="1"/>
    </xf>
    <xf numFmtId="0" fontId="2" fillId="7" borderId="7" xfId="0" applyFont="1" applyFill="1" applyBorder="1" applyAlignment="1">
      <alignment vertical="top" wrapText="1"/>
    </xf>
    <xf numFmtId="3" fontId="2" fillId="7" borderId="46"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3" fontId="2" fillId="0" borderId="0" xfId="0" applyNumberFormat="1" applyFont="1" applyAlignment="1">
      <alignment horizontal="left" vertical="top"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35" xfId="0" applyNumberFormat="1" applyFont="1" applyFill="1" applyBorder="1" applyAlignment="1">
      <alignment horizontal="left" vertical="top" wrapText="1"/>
    </xf>
    <xf numFmtId="0" fontId="2" fillId="7" borderId="102" xfId="0" applyFont="1" applyFill="1" applyBorder="1" applyAlignment="1">
      <alignment horizontal="left" vertical="top" wrapText="1"/>
    </xf>
    <xf numFmtId="166" fontId="3" fillId="9" borderId="34" xfId="0" applyNumberFormat="1" applyFont="1" applyFill="1" applyBorder="1" applyAlignment="1">
      <alignment horizontal="center" vertical="top"/>
    </xf>
    <xf numFmtId="166" fontId="2" fillId="7" borderId="11" xfId="0" applyNumberFormat="1" applyFont="1" applyFill="1" applyBorder="1" applyAlignment="1">
      <alignment vertical="top" wrapText="1"/>
    </xf>
    <xf numFmtId="166" fontId="3" fillId="7" borderId="11" xfId="0" applyNumberFormat="1" applyFont="1" applyFill="1" applyBorder="1" applyAlignment="1">
      <alignment horizontal="center" vertical="top" wrapText="1"/>
    </xf>
    <xf numFmtId="166" fontId="3" fillId="7" borderId="28" xfId="0" applyNumberFormat="1" applyFont="1" applyFill="1" applyBorder="1" applyAlignment="1">
      <alignment horizontal="center" vertical="top" wrapText="1"/>
    </xf>
    <xf numFmtId="166" fontId="3" fillId="3"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2" fillId="7" borderId="7" xfId="0" applyNumberFormat="1" applyFont="1" applyFill="1" applyBorder="1" applyAlignment="1">
      <alignment horizontal="left" vertical="top" wrapText="1"/>
    </xf>
    <xf numFmtId="166" fontId="2" fillId="7" borderId="7" xfId="0" applyNumberFormat="1" applyFont="1" applyFill="1" applyBorder="1" applyAlignment="1">
      <alignment vertical="top" wrapText="1"/>
    </xf>
    <xf numFmtId="166" fontId="2" fillId="7" borderId="48" xfId="0" applyNumberFormat="1" applyFont="1" applyFill="1" applyBorder="1" applyAlignment="1">
      <alignment vertical="top" wrapText="1"/>
    </xf>
    <xf numFmtId="166" fontId="3" fillId="7" borderId="20" xfId="0" applyNumberFormat="1" applyFont="1" applyFill="1" applyBorder="1" applyAlignment="1">
      <alignment horizontal="center" vertical="top" wrapText="1"/>
    </xf>
    <xf numFmtId="49" fontId="3" fillId="9" borderId="5"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41" xfId="0" applyNumberFormat="1" applyFont="1" applyFill="1" applyBorder="1" applyAlignment="1">
      <alignment horizontal="center" vertical="top"/>
    </xf>
    <xf numFmtId="49" fontId="3" fillId="2" borderId="48"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166" fontId="3" fillId="9" borderId="5"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8" fillId="7" borderId="11" xfId="0" applyNumberFormat="1" applyFont="1" applyFill="1" applyBorder="1" applyAlignment="1">
      <alignment horizontal="center" vertical="center" textRotation="90" wrapText="1"/>
    </xf>
    <xf numFmtId="166" fontId="2" fillId="2" borderId="70" xfId="0" applyNumberFormat="1" applyFont="1" applyFill="1" applyBorder="1" applyAlignment="1">
      <alignment horizontal="center" vertical="top" wrapText="1"/>
    </xf>
    <xf numFmtId="166" fontId="2" fillId="2" borderId="71" xfId="0" applyNumberFormat="1" applyFont="1" applyFill="1" applyBorder="1" applyAlignment="1">
      <alignment horizontal="center" vertical="top" wrapText="1"/>
    </xf>
    <xf numFmtId="3" fontId="2" fillId="0" borderId="21"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166" fontId="2" fillId="7" borderId="11" xfId="0" applyNumberFormat="1" applyFont="1" applyFill="1" applyBorder="1" applyAlignment="1">
      <alignment horizontal="center" vertical="center" textRotation="90" wrapText="1"/>
    </xf>
    <xf numFmtId="166" fontId="2" fillId="7" borderId="102" xfId="0" applyNumberFormat="1" applyFont="1" applyFill="1" applyBorder="1" applyAlignment="1">
      <alignment horizontal="left" vertical="top" wrapText="1"/>
    </xf>
    <xf numFmtId="166" fontId="2" fillId="7" borderId="47" xfId="0" applyNumberFormat="1" applyFont="1" applyFill="1" applyBorder="1" applyAlignment="1">
      <alignment vertical="top" wrapText="1"/>
    </xf>
    <xf numFmtId="0" fontId="0" fillId="7" borderId="52" xfId="0" applyFill="1" applyBorder="1" applyAlignment="1">
      <alignment vertical="top" wrapText="1"/>
    </xf>
    <xf numFmtId="166" fontId="2" fillId="7" borderId="36" xfId="0" applyNumberFormat="1" applyFont="1" applyFill="1" applyBorder="1" applyAlignment="1">
      <alignment horizontal="left" vertical="top" wrapText="1"/>
    </xf>
    <xf numFmtId="0" fontId="2" fillId="7" borderId="36" xfId="0" applyFont="1" applyFill="1" applyBorder="1" applyAlignment="1">
      <alignment vertical="top" wrapText="1"/>
    </xf>
    <xf numFmtId="3" fontId="2" fillId="0" borderId="18" xfId="0" applyNumberFormat="1" applyFont="1" applyFill="1" applyBorder="1" applyAlignment="1">
      <alignment horizontal="center" vertical="top"/>
    </xf>
    <xf numFmtId="166" fontId="3" fillId="3" borderId="28" xfId="0" applyNumberFormat="1" applyFont="1" applyFill="1" applyBorder="1" applyAlignment="1">
      <alignment horizontal="center" vertical="top" wrapText="1"/>
    </xf>
    <xf numFmtId="166" fontId="3" fillId="3" borderId="46" xfId="0" applyNumberFormat="1" applyFont="1" applyFill="1" applyBorder="1" applyAlignment="1">
      <alignment horizontal="center" vertical="top" wrapText="1"/>
    </xf>
    <xf numFmtId="3" fontId="2" fillId="7" borderId="20" xfId="0" applyNumberFormat="1" applyFont="1" applyFill="1" applyBorder="1" applyAlignment="1">
      <alignment horizontal="center" vertical="top" wrapText="1"/>
    </xf>
    <xf numFmtId="3" fontId="2" fillId="7" borderId="28" xfId="0" applyNumberFormat="1" applyFont="1" applyFill="1" applyBorder="1" applyAlignment="1">
      <alignment horizontal="center" vertical="top" wrapText="1"/>
    </xf>
    <xf numFmtId="3" fontId="2" fillId="7" borderId="59"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2" fillId="7" borderId="45" xfId="0" applyNumberFormat="1" applyFont="1" applyFill="1" applyBorder="1" applyAlignment="1">
      <alignment vertical="top" wrapText="1"/>
    </xf>
    <xf numFmtId="3" fontId="2" fillId="7" borderId="48" xfId="0" applyNumberFormat="1" applyFont="1" applyFill="1" applyBorder="1" applyAlignment="1">
      <alignment horizontal="center" vertical="top"/>
    </xf>
    <xf numFmtId="166" fontId="14" fillId="7" borderId="11" xfId="0" applyNumberFormat="1" applyFont="1" applyFill="1" applyBorder="1" applyAlignment="1">
      <alignment horizontal="center" vertical="center" textRotation="90" wrapText="1"/>
    </xf>
    <xf numFmtId="166" fontId="2" fillId="7" borderId="102" xfId="0" applyNumberFormat="1" applyFont="1" applyFill="1" applyBorder="1" applyAlignment="1">
      <alignment vertical="top" wrapText="1"/>
    </xf>
    <xf numFmtId="0" fontId="8" fillId="7" borderId="29" xfId="0" applyFont="1" applyFill="1" applyBorder="1" applyAlignment="1">
      <alignment horizontal="left" vertical="top" wrapText="1"/>
    </xf>
    <xf numFmtId="0" fontId="2" fillId="7" borderId="7" xfId="0" applyFont="1" applyFill="1" applyBorder="1" applyAlignment="1">
      <alignment vertical="top" wrapText="1"/>
    </xf>
    <xf numFmtId="166" fontId="3" fillId="7" borderId="20"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0" fontId="18" fillId="7" borderId="29" xfId="0" applyFont="1" applyFill="1" applyBorder="1" applyAlignment="1">
      <alignment vertical="top" wrapText="1"/>
    </xf>
    <xf numFmtId="166" fontId="3" fillId="7" borderId="35" xfId="0" applyNumberFormat="1" applyFont="1" applyFill="1" applyBorder="1" applyAlignment="1">
      <alignment horizontal="center" vertical="top"/>
    </xf>
    <xf numFmtId="0" fontId="2" fillId="7" borderId="36" xfId="0" applyFont="1" applyFill="1" applyBorder="1" applyAlignment="1">
      <alignment horizontal="left" vertical="top" wrapText="1"/>
    </xf>
    <xf numFmtId="166" fontId="2" fillId="7" borderId="29" xfId="0" applyNumberFormat="1" applyFont="1" applyFill="1" applyBorder="1" applyAlignment="1">
      <alignment horizontal="left" vertical="top" wrapText="1"/>
    </xf>
    <xf numFmtId="166" fontId="3" fillId="0" borderId="48" xfId="0" applyNumberFormat="1" applyFont="1" applyBorder="1" applyAlignment="1">
      <alignment horizontal="center" vertical="top"/>
    </xf>
    <xf numFmtId="166" fontId="2" fillId="2" borderId="32" xfId="0" applyNumberFormat="1" applyFont="1" applyFill="1" applyBorder="1" applyAlignment="1">
      <alignment horizontal="center" vertical="top" wrapText="1"/>
    </xf>
    <xf numFmtId="166" fontId="2" fillId="7" borderId="28" xfId="0" applyNumberFormat="1" applyFont="1" applyFill="1" applyBorder="1" applyAlignment="1">
      <alignment horizontal="center" vertical="center" textRotation="90" wrapText="1"/>
    </xf>
    <xf numFmtId="3" fontId="2" fillId="7" borderId="21" xfId="0" applyNumberFormat="1" applyFont="1" applyFill="1" applyBorder="1" applyAlignment="1">
      <alignment horizontal="center" vertical="top"/>
    </xf>
    <xf numFmtId="166" fontId="3" fillId="7" borderId="25" xfId="0" applyNumberFormat="1" applyFont="1" applyFill="1" applyBorder="1" applyAlignment="1">
      <alignment horizontal="center" vertical="top"/>
    </xf>
    <xf numFmtId="3" fontId="2" fillId="7" borderId="46" xfId="0" applyNumberFormat="1" applyFont="1" applyFill="1" applyBorder="1" applyAlignment="1">
      <alignment horizontal="center" vertical="top" wrapText="1"/>
    </xf>
    <xf numFmtId="166" fontId="2" fillId="7" borderId="79" xfId="0" applyNumberFormat="1" applyFont="1" applyFill="1" applyBorder="1" applyAlignment="1">
      <alignment horizontal="left" vertical="top" wrapText="1"/>
    </xf>
    <xf numFmtId="3" fontId="2" fillId="7" borderId="11" xfId="0" applyNumberFormat="1" applyFont="1" applyFill="1" applyBorder="1" applyAlignment="1">
      <alignment horizontal="center" vertical="top"/>
    </xf>
    <xf numFmtId="3" fontId="2" fillId="7" borderId="21" xfId="0" applyNumberFormat="1" applyFont="1" applyFill="1" applyBorder="1" applyAlignment="1">
      <alignment horizontal="center" vertical="top" wrapText="1"/>
    </xf>
    <xf numFmtId="0" fontId="2" fillId="7" borderId="80" xfId="0" applyFont="1" applyFill="1" applyBorder="1" applyAlignment="1">
      <alignment vertical="top"/>
    </xf>
    <xf numFmtId="49" fontId="3" fillId="9"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166" fontId="2" fillId="7" borderId="11" xfId="0" applyNumberFormat="1" applyFont="1" applyFill="1" applyBorder="1" applyAlignment="1">
      <alignment horizontal="left" vertical="top" wrapText="1"/>
    </xf>
    <xf numFmtId="166" fontId="2" fillId="7" borderId="36" xfId="0" applyNumberFormat="1" applyFont="1" applyFill="1" applyBorder="1" applyAlignment="1">
      <alignment horizontal="left" vertical="top" wrapText="1"/>
    </xf>
    <xf numFmtId="166" fontId="3"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2" fillId="7" borderId="11" xfId="0" applyNumberFormat="1" applyFont="1" applyFill="1" applyBorder="1" applyAlignment="1">
      <alignment horizontal="center" vertical="center" textRotation="90" wrapText="1"/>
    </xf>
    <xf numFmtId="166" fontId="3" fillId="9" borderId="7" xfId="0" applyNumberFormat="1" applyFont="1" applyFill="1" applyBorder="1" applyAlignment="1">
      <alignment horizontal="center" vertical="top"/>
    </xf>
    <xf numFmtId="166" fontId="2" fillId="7" borderId="28" xfId="0" applyNumberFormat="1" applyFont="1" applyFill="1" applyBorder="1" applyAlignment="1">
      <alignment horizontal="left" vertical="top" wrapText="1"/>
    </xf>
    <xf numFmtId="49" fontId="3" fillId="7" borderId="48" xfId="0" applyNumberFormat="1" applyFont="1" applyFill="1" applyBorder="1" applyAlignment="1">
      <alignment horizontal="center" vertical="top"/>
    </xf>
    <xf numFmtId="0" fontId="0" fillId="7" borderId="28" xfId="0" applyFill="1" applyBorder="1" applyAlignment="1">
      <alignment vertical="top" wrapText="1"/>
    </xf>
    <xf numFmtId="166" fontId="2" fillId="7" borderId="46" xfId="0" applyNumberFormat="1" applyFont="1" applyFill="1" applyBorder="1" applyAlignment="1">
      <alignment vertical="top" wrapText="1"/>
    </xf>
    <xf numFmtId="166" fontId="2" fillId="7" borderId="20" xfId="0" applyNumberFormat="1" applyFont="1" applyFill="1" applyBorder="1" applyAlignment="1">
      <alignment horizontal="center" vertical="center" textRotation="90" wrapText="1"/>
    </xf>
    <xf numFmtId="166" fontId="2" fillId="7" borderId="48" xfId="0" applyNumberFormat="1" applyFont="1" applyFill="1" applyBorder="1" applyAlignment="1">
      <alignment vertical="top" wrapText="1"/>
    </xf>
    <xf numFmtId="166" fontId="2" fillId="7" borderId="7" xfId="0" applyNumberFormat="1" applyFont="1" applyFill="1" applyBorder="1" applyAlignment="1">
      <alignment horizontal="left" vertical="top" wrapText="1"/>
    </xf>
    <xf numFmtId="3" fontId="2" fillId="0" borderId="20" xfId="0" applyNumberFormat="1" applyFont="1" applyFill="1" applyBorder="1" applyAlignment="1">
      <alignment horizontal="center" vertical="top"/>
    </xf>
    <xf numFmtId="166" fontId="3" fillId="9" borderId="5"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8" fillId="7" borderId="29" xfId="0" applyNumberFormat="1" applyFont="1" applyFill="1" applyBorder="1" applyAlignment="1">
      <alignment vertical="top" wrapText="1"/>
    </xf>
    <xf numFmtId="166" fontId="2" fillId="7" borderId="20" xfId="0" applyNumberFormat="1" applyFont="1" applyFill="1" applyBorder="1" applyAlignment="1">
      <alignment horizontal="left" vertical="top" wrapText="1"/>
    </xf>
    <xf numFmtId="3" fontId="2" fillId="0" borderId="21"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7" borderId="18" xfId="0" applyNumberFormat="1" applyFont="1" applyFill="1" applyBorder="1" applyAlignment="1">
      <alignment horizontal="center" vertical="top"/>
    </xf>
    <xf numFmtId="166" fontId="3" fillId="3" borderId="11" xfId="0" applyNumberFormat="1" applyFont="1" applyFill="1" applyBorder="1" applyAlignment="1">
      <alignment horizontal="center" vertical="top" wrapText="1"/>
    </xf>
    <xf numFmtId="166" fontId="3" fillId="9" borderId="34" xfId="0" applyNumberFormat="1" applyFont="1" applyFill="1" applyBorder="1" applyAlignment="1">
      <alignment horizontal="center" vertical="top"/>
    </xf>
    <xf numFmtId="0" fontId="2" fillId="7" borderId="28" xfId="0" applyFont="1" applyFill="1" applyBorder="1" applyAlignment="1">
      <alignment horizontal="left" vertical="top" wrapText="1"/>
    </xf>
    <xf numFmtId="166" fontId="2" fillId="7" borderId="36" xfId="0" applyNumberFormat="1" applyFont="1" applyFill="1" applyBorder="1" applyAlignment="1">
      <alignment vertical="top" wrapText="1"/>
    </xf>
    <xf numFmtId="3" fontId="2" fillId="7" borderId="46"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2" fillId="7" borderId="47" xfId="0" applyNumberFormat="1" applyFont="1" applyFill="1" applyBorder="1" applyAlignment="1">
      <alignment horizontal="left" vertical="top" wrapText="1"/>
    </xf>
    <xf numFmtId="3" fontId="2" fillId="7" borderId="59" xfId="0" applyNumberFormat="1" applyFont="1" applyFill="1" applyBorder="1" applyAlignment="1">
      <alignment horizontal="center" vertical="top"/>
    </xf>
    <xf numFmtId="0" fontId="2" fillId="7" borderId="36" xfId="0" applyFont="1" applyFill="1" applyBorder="1" applyAlignment="1">
      <alignment vertical="top" wrapText="1"/>
    </xf>
    <xf numFmtId="3" fontId="2" fillId="0" borderId="18" xfId="0" applyNumberFormat="1" applyFont="1" applyFill="1" applyBorder="1" applyAlignment="1">
      <alignment horizontal="center" vertical="top"/>
    </xf>
    <xf numFmtId="166" fontId="3" fillId="7" borderId="25" xfId="0" applyNumberFormat="1" applyFont="1" applyFill="1" applyBorder="1" applyAlignment="1">
      <alignment horizontal="center" vertical="top"/>
    </xf>
    <xf numFmtId="3" fontId="2" fillId="7" borderId="46" xfId="0" applyNumberFormat="1" applyFont="1" applyFill="1" applyBorder="1" applyAlignment="1">
      <alignment horizontal="center" vertical="top" wrapText="1"/>
    </xf>
    <xf numFmtId="166" fontId="2" fillId="7" borderId="79" xfId="0" applyNumberFormat="1" applyFont="1" applyFill="1" applyBorder="1" applyAlignment="1">
      <alignment horizontal="left" vertical="top" wrapText="1"/>
    </xf>
    <xf numFmtId="166" fontId="2" fillId="7" borderId="34" xfId="0" applyNumberFormat="1" applyFont="1" applyFill="1" applyBorder="1" applyAlignment="1">
      <alignment vertical="top" wrapText="1"/>
    </xf>
    <xf numFmtId="3" fontId="2" fillId="7" borderId="11" xfId="0" applyNumberFormat="1" applyFont="1" applyFill="1" applyBorder="1" applyAlignment="1">
      <alignment horizontal="center" vertical="top"/>
    </xf>
    <xf numFmtId="3" fontId="2" fillId="7" borderId="21" xfId="0" applyNumberFormat="1" applyFont="1" applyFill="1" applyBorder="1" applyAlignment="1">
      <alignment horizontal="center" vertical="top"/>
    </xf>
    <xf numFmtId="166" fontId="2" fillId="7" borderId="28" xfId="0" applyNumberFormat="1" applyFont="1" applyFill="1" applyBorder="1" applyAlignment="1">
      <alignment horizontal="center" vertical="center" textRotation="90" wrapText="1"/>
    </xf>
    <xf numFmtId="166" fontId="2" fillId="7" borderId="29" xfId="0" applyNumberFormat="1" applyFont="1" applyFill="1" applyBorder="1" applyAlignment="1">
      <alignment horizontal="left" vertical="top" wrapText="1"/>
    </xf>
    <xf numFmtId="3" fontId="2" fillId="0" borderId="51" xfId="0" applyNumberFormat="1" applyFont="1" applyFill="1" applyBorder="1" applyAlignment="1">
      <alignment horizontal="left" vertical="top" wrapText="1"/>
    </xf>
    <xf numFmtId="0" fontId="0" fillId="0" borderId="51" xfId="0" applyFill="1" applyBorder="1" applyAlignment="1">
      <alignment horizontal="left" vertical="top" wrapText="1"/>
    </xf>
    <xf numFmtId="166" fontId="3" fillId="7" borderId="35" xfId="0" applyNumberFormat="1" applyFont="1" applyFill="1" applyBorder="1" applyAlignment="1">
      <alignment horizontal="center" vertical="top"/>
    </xf>
    <xf numFmtId="0" fontId="2" fillId="7" borderId="7" xfId="0" applyFont="1" applyFill="1" applyBorder="1" applyAlignment="1">
      <alignment vertical="top" wrapText="1"/>
    </xf>
    <xf numFmtId="3" fontId="2" fillId="7" borderId="48" xfId="0" applyNumberFormat="1" applyFont="1" applyFill="1" applyBorder="1" applyAlignment="1">
      <alignment horizontal="center" vertical="top"/>
    </xf>
    <xf numFmtId="3" fontId="2" fillId="0" borderId="80" xfId="0" applyNumberFormat="1" applyFont="1" applyFill="1" applyBorder="1" applyAlignment="1">
      <alignment horizontal="center" vertical="top"/>
    </xf>
    <xf numFmtId="3" fontId="2" fillId="0" borderId="105" xfId="0" applyNumberFormat="1" applyFont="1" applyFill="1" applyBorder="1" applyAlignment="1">
      <alignment horizontal="center" vertical="top"/>
    </xf>
    <xf numFmtId="3" fontId="2" fillId="0" borderId="97" xfId="0" applyNumberFormat="1" applyFont="1" applyFill="1" applyBorder="1" applyAlignment="1">
      <alignment horizontal="center" vertical="top"/>
    </xf>
    <xf numFmtId="0" fontId="2" fillId="7" borderId="28" xfId="0" applyFont="1" applyFill="1" applyBorder="1" applyAlignment="1">
      <alignment horizontal="center" vertical="top"/>
    </xf>
    <xf numFmtId="0" fontId="2" fillId="7" borderId="35" xfId="0" applyFont="1" applyFill="1" applyBorder="1" applyAlignment="1">
      <alignment horizontal="center" vertical="top"/>
    </xf>
    <xf numFmtId="0" fontId="2" fillId="0" borderId="34" xfId="0" applyFont="1" applyBorder="1" applyAlignment="1">
      <alignment vertical="top"/>
    </xf>
    <xf numFmtId="0" fontId="4" fillId="7" borderId="11" xfId="0" applyFont="1" applyFill="1" applyBorder="1" applyAlignment="1">
      <alignment horizontal="center" vertical="center" textRotation="90" wrapText="1"/>
    </xf>
    <xf numFmtId="166" fontId="7" fillId="7" borderId="48" xfId="0" applyNumberFormat="1" applyFont="1" applyFill="1" applyBorder="1" applyAlignment="1">
      <alignment horizontal="left" vertical="top" wrapText="1"/>
    </xf>
    <xf numFmtId="166" fontId="2" fillId="3" borderId="5" xfId="0" applyNumberFormat="1" applyFont="1" applyFill="1" applyBorder="1" applyAlignment="1">
      <alignment vertical="top" wrapText="1"/>
    </xf>
    <xf numFmtId="3" fontId="2" fillId="7" borderId="11" xfId="0" applyNumberFormat="1" applyFont="1" applyFill="1" applyBorder="1" applyAlignment="1">
      <alignment horizontal="center" vertical="top" wrapText="1"/>
    </xf>
    <xf numFmtId="0" fontId="2" fillId="7" borderId="44" xfId="0" applyFont="1" applyFill="1" applyBorder="1" applyAlignment="1">
      <alignment horizontal="center" vertical="center"/>
    </xf>
    <xf numFmtId="166" fontId="2" fillId="7" borderId="44" xfId="0" applyNumberFormat="1" applyFont="1" applyFill="1" applyBorder="1" applyAlignment="1">
      <alignment vertical="top"/>
    </xf>
    <xf numFmtId="166" fontId="2" fillId="7" borderId="8" xfId="0" applyNumberFormat="1" applyFont="1" applyFill="1" applyBorder="1" applyAlignment="1">
      <alignment vertical="top"/>
    </xf>
    <xf numFmtId="166" fontId="2" fillId="7" borderId="7" xfId="0" applyNumberFormat="1" applyFont="1" applyFill="1" applyBorder="1" applyAlignment="1">
      <alignment vertical="top"/>
    </xf>
    <xf numFmtId="166" fontId="2" fillId="7" borderId="25" xfId="0" applyNumberFormat="1" applyFont="1" applyFill="1" applyBorder="1" applyAlignment="1">
      <alignment vertical="top"/>
    </xf>
    <xf numFmtId="166" fontId="2" fillId="7" borderId="51" xfId="0" applyNumberFormat="1" applyFont="1" applyFill="1" applyBorder="1" applyAlignment="1">
      <alignment vertical="top"/>
    </xf>
    <xf numFmtId="166" fontId="2" fillId="7" borderId="26" xfId="0" applyNumberFormat="1" applyFont="1" applyFill="1" applyBorder="1" applyAlignment="1">
      <alignment vertical="top"/>
    </xf>
    <xf numFmtId="166" fontId="2" fillId="7" borderId="27" xfId="0" applyNumberFormat="1" applyFont="1" applyFill="1" applyBorder="1" applyAlignment="1">
      <alignment vertical="top"/>
    </xf>
    <xf numFmtId="166" fontId="2" fillId="0" borderId="6" xfId="0" applyNumberFormat="1" applyFont="1" applyBorder="1" applyAlignment="1">
      <alignment horizontal="center" vertical="top"/>
    </xf>
    <xf numFmtId="166" fontId="2" fillId="0" borderId="34" xfId="0" applyNumberFormat="1" applyFont="1" applyBorder="1" applyAlignment="1">
      <alignment horizontal="center" vertical="top"/>
    </xf>
    <xf numFmtId="3" fontId="2" fillId="0" borderId="18" xfId="0" applyNumberFormat="1" applyFont="1" applyFill="1" applyBorder="1" applyAlignment="1">
      <alignment horizontal="center" vertical="top"/>
    </xf>
    <xf numFmtId="166" fontId="2" fillId="7" borderId="7" xfId="0" applyNumberFormat="1" applyFont="1" applyFill="1" applyBorder="1" applyAlignment="1">
      <alignment vertical="top" wrapText="1"/>
    </xf>
    <xf numFmtId="3" fontId="2" fillId="7" borderId="18" xfId="0" applyNumberFormat="1" applyFont="1" applyFill="1" applyBorder="1" applyAlignment="1">
      <alignment horizontal="center" vertical="top"/>
    </xf>
    <xf numFmtId="166" fontId="2" fillId="7" borderId="7" xfId="0" applyNumberFormat="1" applyFont="1" applyFill="1" applyBorder="1" applyAlignment="1">
      <alignment horizontal="left" vertical="top" wrapText="1"/>
    </xf>
    <xf numFmtId="3" fontId="2" fillId="7" borderId="11"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2" fillId="7" borderId="79" xfId="0" applyNumberFormat="1" applyFont="1" applyFill="1" applyBorder="1" applyAlignment="1">
      <alignment horizontal="left" vertical="top" wrapText="1"/>
    </xf>
    <xf numFmtId="166" fontId="2" fillId="7" borderId="99" xfId="0" applyNumberFormat="1" applyFont="1" applyFill="1" applyBorder="1" applyAlignment="1">
      <alignment vertical="top" wrapText="1"/>
    </xf>
    <xf numFmtId="166" fontId="3" fillId="3" borderId="1" xfId="0" applyNumberFormat="1" applyFont="1" applyFill="1" applyBorder="1" applyAlignment="1">
      <alignment horizontal="center" vertical="top" wrapText="1"/>
    </xf>
    <xf numFmtId="3" fontId="2" fillId="0" borderId="27" xfId="0" applyNumberFormat="1" applyFont="1" applyFill="1" applyBorder="1" applyAlignment="1">
      <alignment horizontal="center" vertical="top" wrapText="1"/>
    </xf>
    <xf numFmtId="166" fontId="2" fillId="3" borderId="30" xfId="0" applyNumberFormat="1" applyFont="1" applyFill="1" applyBorder="1" applyAlignment="1">
      <alignment horizontal="center" vertical="top" wrapText="1"/>
    </xf>
    <xf numFmtId="166" fontId="2" fillId="3" borderId="11" xfId="0" applyNumberFormat="1" applyFont="1" applyFill="1" applyBorder="1" applyAlignment="1">
      <alignment horizontal="center" vertical="top" wrapText="1"/>
    </xf>
    <xf numFmtId="166" fontId="8" fillId="7" borderId="7" xfId="0" applyNumberFormat="1" applyFont="1" applyFill="1" applyBorder="1" applyAlignment="1">
      <alignment vertical="top" wrapText="1"/>
    </xf>
    <xf numFmtId="0" fontId="0" fillId="0" borderId="11" xfId="0" applyBorder="1" applyAlignment="1">
      <alignment wrapText="1"/>
    </xf>
    <xf numFmtId="0" fontId="0" fillId="7" borderId="11" xfId="0" applyFill="1" applyBorder="1" applyAlignment="1">
      <alignment wrapText="1"/>
    </xf>
    <xf numFmtId="0" fontId="2" fillId="7" borderId="79" xfId="0" applyFont="1" applyFill="1" applyBorder="1" applyAlignment="1">
      <alignment vertical="top" wrapText="1"/>
    </xf>
    <xf numFmtId="0" fontId="2" fillId="7" borderId="88" xfId="0" applyFont="1" applyFill="1" applyBorder="1" applyAlignment="1">
      <alignment vertical="top" wrapText="1"/>
    </xf>
    <xf numFmtId="3" fontId="2" fillId="0" borderId="98" xfId="0" applyNumberFormat="1" applyFont="1" applyFill="1" applyBorder="1" applyAlignment="1">
      <alignment horizontal="center" vertical="top"/>
    </xf>
    <xf numFmtId="49" fontId="3" fillId="7" borderId="0" xfId="0" applyNumberFormat="1" applyFont="1" applyFill="1" applyBorder="1" applyAlignment="1">
      <alignment horizontal="center" vertical="top"/>
    </xf>
    <xf numFmtId="0" fontId="8" fillId="7" borderId="30" xfId="0" applyFont="1" applyFill="1" applyBorder="1" applyAlignment="1">
      <alignment vertical="top" wrapText="1"/>
    </xf>
    <xf numFmtId="0" fontId="0" fillId="0" borderId="30" xfId="0" applyBorder="1" applyAlignment="1">
      <alignment horizontal="center" vertical="center" wrapText="1"/>
    </xf>
    <xf numFmtId="166" fontId="13" fillId="7" borderId="64" xfId="0" applyNumberFormat="1" applyFont="1" applyFill="1" applyBorder="1" applyAlignment="1">
      <alignment horizontal="center" vertical="top"/>
    </xf>
    <xf numFmtId="0" fontId="2" fillId="7" borderId="85" xfId="0" applyFont="1" applyFill="1" applyBorder="1" applyAlignment="1">
      <alignment vertical="top" wrapText="1"/>
    </xf>
    <xf numFmtId="3" fontId="2" fillId="7" borderId="11" xfId="0" applyNumberFormat="1" applyFont="1" applyFill="1" applyBorder="1" applyAlignment="1">
      <alignment horizontal="center" vertical="center"/>
    </xf>
    <xf numFmtId="3" fontId="2" fillId="7" borderId="18" xfId="0" applyNumberFormat="1" applyFont="1" applyFill="1" applyBorder="1" applyAlignment="1">
      <alignment vertical="top"/>
    </xf>
    <xf numFmtId="3" fontId="2" fillId="7" borderId="18"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0" fontId="2" fillId="7" borderId="18" xfId="0" applyNumberFormat="1" applyFont="1" applyFill="1" applyBorder="1" applyAlignment="1">
      <alignment horizontal="center" vertical="top" wrapText="1"/>
    </xf>
    <xf numFmtId="166" fontId="2" fillId="7" borderId="102" xfId="0" applyNumberFormat="1" applyFont="1" applyFill="1" applyBorder="1" applyAlignment="1">
      <alignment horizontal="left" vertical="top" wrapText="1"/>
    </xf>
    <xf numFmtId="166" fontId="2" fillId="7" borderId="11" xfId="0" applyNumberFormat="1" applyFont="1" applyFill="1" applyBorder="1" applyAlignment="1">
      <alignment horizontal="center" vertical="center" textRotation="90" wrapText="1"/>
    </xf>
    <xf numFmtId="49" fontId="3" fillId="7" borderId="48" xfId="0" applyNumberFormat="1" applyFont="1" applyFill="1" applyBorder="1" applyAlignment="1">
      <alignment horizontal="center" vertical="top"/>
    </xf>
    <xf numFmtId="166" fontId="2" fillId="7" borderId="11" xfId="0" applyNumberFormat="1" applyFont="1" applyFill="1" applyBorder="1" applyAlignment="1">
      <alignment vertical="top" wrapText="1"/>
    </xf>
    <xf numFmtId="166" fontId="2" fillId="7" borderId="28" xfId="0" applyNumberFormat="1" applyFont="1" applyFill="1" applyBorder="1" applyAlignment="1">
      <alignment vertical="top" wrapText="1"/>
    </xf>
    <xf numFmtId="49" fontId="3" fillId="7" borderId="35"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xf>
    <xf numFmtId="166" fontId="2" fillId="7" borderId="7" xfId="0" applyNumberFormat="1" applyFont="1" applyFill="1" applyBorder="1" applyAlignment="1">
      <alignment horizontal="left" vertical="top" wrapText="1"/>
    </xf>
    <xf numFmtId="166" fontId="2" fillId="7" borderId="29" xfId="0" applyNumberFormat="1" applyFont="1" applyFill="1" applyBorder="1" applyAlignment="1">
      <alignment horizontal="left" vertical="top" wrapText="1"/>
    </xf>
    <xf numFmtId="166" fontId="2" fillId="7" borderId="28" xfId="0" applyNumberFormat="1" applyFont="1" applyFill="1" applyBorder="1" applyAlignment="1">
      <alignment horizontal="center" vertical="center" textRotation="90" wrapText="1"/>
    </xf>
    <xf numFmtId="166" fontId="2" fillId="0" borderId="7" xfId="0" applyNumberFormat="1" applyFont="1" applyFill="1" applyBorder="1" applyAlignment="1">
      <alignment horizontal="left" vertical="top" wrapText="1"/>
    </xf>
    <xf numFmtId="0" fontId="2" fillId="7" borderId="85" xfId="0" applyFont="1" applyFill="1" applyBorder="1" applyAlignment="1">
      <alignment vertical="top"/>
    </xf>
    <xf numFmtId="166" fontId="2" fillId="7" borderId="103" xfId="0" applyNumberFormat="1" applyFont="1" applyFill="1" applyBorder="1" applyAlignment="1">
      <alignment horizontal="center" vertical="center" textRotation="90" wrapText="1"/>
    </xf>
    <xf numFmtId="49" fontId="3" fillId="7" borderId="108" xfId="0" applyNumberFormat="1" applyFont="1" applyFill="1" applyBorder="1" applyAlignment="1">
      <alignment horizontal="center" vertical="top"/>
    </xf>
    <xf numFmtId="166" fontId="2" fillId="7" borderId="106" xfId="0" applyNumberFormat="1" applyFont="1" applyFill="1" applyBorder="1" applyAlignment="1">
      <alignment horizontal="center" vertical="top"/>
    </xf>
    <xf numFmtId="166" fontId="3" fillId="7" borderId="114" xfId="0" applyNumberFormat="1" applyFont="1" applyFill="1" applyBorder="1" applyAlignment="1">
      <alignment vertical="top"/>
    </xf>
    <xf numFmtId="166" fontId="2" fillId="7" borderId="80" xfId="0" applyNumberFormat="1" applyFont="1" applyFill="1" applyBorder="1" applyAlignment="1">
      <alignment horizontal="center" vertical="center" textRotation="90" wrapText="1"/>
    </xf>
    <xf numFmtId="49" fontId="3" fillId="7" borderId="97" xfId="0" applyNumberFormat="1" applyFont="1" applyFill="1" applyBorder="1" applyAlignment="1">
      <alignment horizontal="center" vertical="top"/>
    </xf>
    <xf numFmtId="166" fontId="2" fillId="7" borderId="78" xfId="0" applyNumberFormat="1" applyFont="1" applyFill="1" applyBorder="1" applyAlignment="1">
      <alignment horizontal="center" vertical="top"/>
    </xf>
    <xf numFmtId="166" fontId="2" fillId="7" borderId="111" xfId="0" applyNumberFormat="1" applyFont="1" applyFill="1" applyBorder="1" applyAlignment="1">
      <alignment horizontal="center" vertical="top"/>
    </xf>
    <xf numFmtId="166" fontId="2" fillId="7" borderId="110"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166" fontId="8" fillId="7" borderId="7" xfId="0" applyNumberFormat="1" applyFont="1" applyFill="1" applyBorder="1" applyAlignment="1">
      <alignment vertical="top" wrapText="1"/>
    </xf>
    <xf numFmtId="166" fontId="40" fillId="7" borderId="34"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xf>
    <xf numFmtId="3" fontId="2" fillId="7" borderId="20" xfId="0" applyNumberFormat="1" applyFont="1" applyFill="1" applyBorder="1" applyAlignment="1">
      <alignment horizontal="center" vertical="top" wrapText="1"/>
    </xf>
    <xf numFmtId="166" fontId="2" fillId="7" borderId="48" xfId="0" applyNumberFormat="1" applyFont="1" applyFill="1" applyBorder="1" applyAlignment="1">
      <alignment vertical="top" wrapText="1"/>
    </xf>
    <xf numFmtId="166" fontId="3" fillId="9" borderId="7" xfId="0" applyNumberFormat="1" applyFont="1" applyFill="1" applyBorder="1" applyAlignment="1">
      <alignment horizontal="center" vertical="top"/>
    </xf>
    <xf numFmtId="49" fontId="3" fillId="7" borderId="48"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45" xfId="0" applyNumberFormat="1" applyFont="1" applyFill="1" applyBorder="1" applyAlignment="1">
      <alignment vertical="top" wrapText="1"/>
    </xf>
    <xf numFmtId="166" fontId="3" fillId="2" borderId="48" xfId="0" applyNumberFormat="1" applyFont="1" applyFill="1" applyBorder="1" applyAlignment="1">
      <alignment horizontal="center" vertical="top"/>
    </xf>
    <xf numFmtId="166" fontId="2" fillId="7" borderId="29" xfId="0" applyNumberFormat="1" applyFont="1" applyFill="1" applyBorder="1" applyAlignment="1">
      <alignment horizontal="left" vertical="top" wrapText="1"/>
    </xf>
    <xf numFmtId="166" fontId="2" fillId="7" borderId="18" xfId="0" applyNumberFormat="1" applyFont="1" applyFill="1" applyBorder="1" applyAlignment="1">
      <alignment horizontal="center" vertical="top" wrapText="1"/>
    </xf>
    <xf numFmtId="3" fontId="2" fillId="7" borderId="48" xfId="0" applyNumberFormat="1" applyFont="1" applyFill="1" applyBorder="1" applyAlignment="1">
      <alignment horizontal="center" vertical="top"/>
    </xf>
    <xf numFmtId="166" fontId="3" fillId="8" borderId="11"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166" fontId="2" fillId="7" borderId="45" xfId="0" applyNumberFormat="1" applyFont="1" applyFill="1" applyBorder="1" applyAlignment="1">
      <alignment vertical="top" wrapText="1"/>
    </xf>
    <xf numFmtId="3" fontId="2" fillId="7" borderId="20" xfId="0" applyNumberFormat="1" applyFont="1" applyFill="1" applyBorder="1" applyAlignment="1">
      <alignment horizontal="center" vertical="top" wrapText="1"/>
    </xf>
    <xf numFmtId="166" fontId="2" fillId="7" borderId="102" xfId="0" applyNumberFormat="1" applyFont="1" applyFill="1" applyBorder="1" applyAlignment="1">
      <alignment horizontal="left" vertical="top" wrapText="1"/>
    </xf>
    <xf numFmtId="0" fontId="2" fillId="7" borderId="36" xfId="0" applyFont="1" applyFill="1" applyBorder="1" applyAlignment="1">
      <alignment vertical="top" wrapText="1"/>
    </xf>
    <xf numFmtId="3" fontId="2" fillId="7" borderId="11" xfId="0" applyNumberFormat="1" applyFont="1" applyFill="1" applyBorder="1" applyAlignment="1">
      <alignment horizontal="center" vertical="top" wrapText="1"/>
    </xf>
    <xf numFmtId="166" fontId="2" fillId="7" borderId="7" xfId="0" applyNumberFormat="1" applyFont="1" applyFill="1" applyBorder="1" applyAlignment="1">
      <alignment horizontal="left" vertical="top" wrapText="1"/>
    </xf>
    <xf numFmtId="166" fontId="2" fillId="7" borderId="29" xfId="0" applyNumberFormat="1" applyFont="1" applyFill="1" applyBorder="1" applyAlignment="1">
      <alignment horizontal="left" vertical="top" wrapText="1"/>
    </xf>
    <xf numFmtId="166" fontId="2" fillId="7" borderId="79" xfId="0" applyNumberFormat="1" applyFont="1" applyFill="1" applyBorder="1" applyAlignment="1">
      <alignment horizontal="left" vertical="top" wrapText="1"/>
    </xf>
    <xf numFmtId="3" fontId="2" fillId="7" borderId="21" xfId="0" applyNumberFormat="1" applyFont="1" applyFill="1" applyBorder="1" applyAlignment="1">
      <alignment horizontal="center" vertical="top" wrapText="1"/>
    </xf>
    <xf numFmtId="3" fontId="30" fillId="7" borderId="0" xfId="0" applyNumberFormat="1" applyFont="1" applyFill="1" applyAlignment="1">
      <alignment horizontal="left" vertical="top" wrapText="1"/>
    </xf>
    <xf numFmtId="166" fontId="2" fillId="7" borderId="36" xfId="0" applyNumberFormat="1" applyFont="1" applyFill="1" applyBorder="1" applyAlignment="1">
      <alignment vertical="top" wrapText="1"/>
    </xf>
    <xf numFmtId="0" fontId="2" fillId="7" borderId="36" xfId="0" applyFont="1" applyFill="1" applyBorder="1" applyAlignment="1">
      <alignment vertical="top" wrapText="1"/>
    </xf>
    <xf numFmtId="3" fontId="2" fillId="0" borderId="20" xfId="0" applyNumberFormat="1" applyFont="1" applyFill="1" applyBorder="1" applyAlignment="1">
      <alignment horizontal="center" vertical="top"/>
    </xf>
    <xf numFmtId="3" fontId="2" fillId="0" borderId="18" xfId="0" applyNumberFormat="1" applyFont="1" applyFill="1" applyBorder="1" applyAlignment="1">
      <alignment horizontal="center" vertical="top"/>
    </xf>
    <xf numFmtId="166" fontId="2" fillId="7" borderId="47" xfId="0" applyNumberFormat="1" applyFont="1" applyFill="1" applyBorder="1" applyAlignment="1">
      <alignment horizontal="left" vertical="top" wrapText="1"/>
    </xf>
    <xf numFmtId="166" fontId="3" fillId="7" borderId="11" xfId="0" applyNumberFormat="1" applyFont="1" applyFill="1" applyBorder="1" applyAlignment="1">
      <alignment horizontal="center" vertical="top" wrapText="1"/>
    </xf>
    <xf numFmtId="166" fontId="3" fillId="7" borderId="18" xfId="0" applyNumberFormat="1" applyFont="1" applyFill="1" applyBorder="1" applyAlignment="1">
      <alignment horizontal="center" vertical="top"/>
    </xf>
    <xf numFmtId="166" fontId="2" fillId="7" borderId="102" xfId="0" applyNumberFormat="1" applyFont="1" applyFill="1" applyBorder="1" applyAlignment="1">
      <alignment horizontal="left" vertical="top" wrapText="1"/>
    </xf>
    <xf numFmtId="166" fontId="3" fillId="3" borderId="11" xfId="0" applyNumberFormat="1" applyFont="1" applyFill="1" applyBorder="1" applyAlignment="1">
      <alignment horizontal="center" vertical="top" wrapText="1"/>
    </xf>
    <xf numFmtId="166" fontId="3" fillId="3" borderId="48" xfId="0" applyNumberFormat="1" applyFont="1" applyFill="1" applyBorder="1" applyAlignment="1">
      <alignment horizontal="center" vertical="top"/>
    </xf>
    <xf numFmtId="166" fontId="2" fillId="7" borderId="20" xfId="0" applyNumberFormat="1" applyFont="1" applyFill="1" applyBorder="1" applyAlignment="1">
      <alignment horizontal="left" vertical="top" wrapText="1"/>
    </xf>
    <xf numFmtId="166" fontId="2" fillId="7" borderId="35" xfId="0" applyNumberFormat="1" applyFont="1" applyFill="1" applyBorder="1" applyAlignment="1">
      <alignment horizontal="left" vertical="top" wrapText="1"/>
    </xf>
    <xf numFmtId="166" fontId="3" fillId="3" borderId="28" xfId="0" applyNumberFormat="1" applyFont="1" applyFill="1" applyBorder="1" applyAlignment="1">
      <alignment horizontal="center" vertical="top" wrapText="1"/>
    </xf>
    <xf numFmtId="166" fontId="3" fillId="3" borderId="46" xfId="0" applyNumberFormat="1" applyFont="1" applyFill="1" applyBorder="1" applyAlignment="1">
      <alignment horizontal="center" vertical="top" wrapText="1"/>
    </xf>
    <xf numFmtId="3" fontId="2" fillId="7" borderId="20" xfId="0" applyNumberFormat="1" applyFont="1" applyFill="1" applyBorder="1" applyAlignment="1">
      <alignment horizontal="center" vertical="top" wrapText="1"/>
    </xf>
    <xf numFmtId="166" fontId="2" fillId="7" borderId="11" xfId="0" applyNumberFormat="1" applyFont="1" applyFill="1" applyBorder="1" applyAlignment="1">
      <alignment horizontal="left" vertical="top" wrapText="1"/>
    </xf>
    <xf numFmtId="3" fontId="2" fillId="7" borderId="28" xfId="0" applyNumberFormat="1" applyFont="1" applyFill="1" applyBorder="1" applyAlignment="1">
      <alignment horizontal="center" vertical="top" wrapText="1"/>
    </xf>
    <xf numFmtId="3" fontId="2" fillId="0" borderId="46" xfId="0" applyNumberFormat="1" applyFont="1" applyFill="1" applyBorder="1" applyAlignment="1">
      <alignment horizontal="center" vertical="top"/>
    </xf>
    <xf numFmtId="3" fontId="2" fillId="7" borderId="59" xfId="0" applyNumberFormat="1" applyFont="1" applyFill="1" applyBorder="1" applyAlignment="1">
      <alignment horizontal="center" vertical="top"/>
    </xf>
    <xf numFmtId="166" fontId="2" fillId="2" borderId="70" xfId="0" applyNumberFormat="1" applyFont="1" applyFill="1" applyBorder="1" applyAlignment="1">
      <alignment horizontal="center" vertical="top" wrapText="1"/>
    </xf>
    <xf numFmtId="166" fontId="2" fillId="2" borderId="71" xfId="0" applyNumberFormat="1" applyFont="1" applyFill="1" applyBorder="1" applyAlignment="1">
      <alignment horizontal="center" vertical="top" wrapText="1"/>
    </xf>
    <xf numFmtId="166" fontId="2" fillId="7" borderId="48" xfId="0" applyNumberFormat="1" applyFont="1" applyFill="1" applyBorder="1" applyAlignment="1">
      <alignment vertical="top" wrapText="1"/>
    </xf>
    <xf numFmtId="166" fontId="2" fillId="7" borderId="7" xfId="0" applyNumberFormat="1" applyFont="1" applyFill="1" applyBorder="1" applyAlignment="1">
      <alignment vertical="top"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2" fillId="7" borderId="11" xfId="0" applyNumberFormat="1" applyFont="1" applyFill="1" applyBorder="1" applyAlignment="1">
      <alignment horizontal="center" vertical="center" textRotation="90" wrapText="1"/>
    </xf>
    <xf numFmtId="166" fontId="2" fillId="7" borderId="28" xfId="0" applyNumberFormat="1" applyFont="1" applyFill="1" applyBorder="1" applyAlignment="1">
      <alignment horizontal="left" vertical="top" wrapText="1"/>
    </xf>
    <xf numFmtId="49" fontId="3" fillId="7" borderId="48"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166" fontId="2" fillId="7" borderId="11" xfId="0" applyNumberFormat="1" applyFont="1" applyFill="1" applyBorder="1" applyAlignment="1">
      <alignment vertical="top" wrapText="1"/>
    </xf>
    <xf numFmtId="166" fontId="2" fillId="7" borderId="46" xfId="0" applyNumberFormat="1" applyFont="1" applyFill="1" applyBorder="1" applyAlignment="1">
      <alignment vertical="top" wrapText="1"/>
    </xf>
    <xf numFmtId="166" fontId="2" fillId="7" borderId="20" xfId="0" applyNumberFormat="1" applyFont="1" applyFill="1" applyBorder="1" applyAlignment="1">
      <alignment horizontal="center" vertical="center" textRotation="90" wrapText="1"/>
    </xf>
    <xf numFmtId="3" fontId="2" fillId="7" borderId="18" xfId="0" applyNumberFormat="1" applyFont="1" applyFill="1" applyBorder="1" applyAlignment="1">
      <alignment horizontal="center" vertical="top"/>
    </xf>
    <xf numFmtId="166" fontId="2" fillId="7" borderId="47" xfId="0" applyNumberFormat="1" applyFont="1" applyFill="1" applyBorder="1" applyAlignment="1">
      <alignment vertical="top" wrapText="1"/>
    </xf>
    <xf numFmtId="166" fontId="3" fillId="9" borderId="5"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8" fillId="7" borderId="11" xfId="0" applyNumberFormat="1" applyFont="1" applyFill="1" applyBorder="1" applyAlignment="1">
      <alignment horizontal="center" vertical="center" textRotation="90" wrapText="1"/>
    </xf>
    <xf numFmtId="166" fontId="2" fillId="7" borderId="45" xfId="0" applyNumberFormat="1" applyFont="1" applyFill="1" applyBorder="1" applyAlignment="1">
      <alignment vertical="top" wrapText="1"/>
    </xf>
    <xf numFmtId="3" fontId="2" fillId="7" borderId="46"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49" fontId="3" fillId="9" borderId="5" xfId="0" applyNumberFormat="1" applyFont="1" applyFill="1" applyBorder="1" applyAlignment="1">
      <alignment horizontal="center" vertical="top"/>
    </xf>
    <xf numFmtId="49" fontId="3" fillId="2" borderId="41" xfId="0" applyNumberFormat="1" applyFont="1" applyFill="1" applyBorder="1" applyAlignment="1">
      <alignment horizontal="center" vertical="top"/>
    </xf>
    <xf numFmtId="49" fontId="3" fillId="2" borderId="48"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2" fillId="7" borderId="28" xfId="0" applyNumberFormat="1" applyFont="1" applyFill="1" applyBorder="1" applyAlignment="1">
      <alignment vertical="top" wrapText="1"/>
    </xf>
    <xf numFmtId="166" fontId="3" fillId="7" borderId="20" xfId="0" applyNumberFormat="1" applyFont="1" applyFill="1" applyBorder="1" applyAlignment="1">
      <alignment horizontal="center" vertical="top" wrapText="1"/>
    </xf>
    <xf numFmtId="166" fontId="3" fillId="7" borderId="28" xfId="0" applyNumberFormat="1" applyFont="1" applyFill="1" applyBorder="1" applyAlignment="1">
      <alignment horizontal="center" vertical="top" wrapText="1"/>
    </xf>
    <xf numFmtId="166" fontId="3" fillId="9" borderId="34" xfId="0" applyNumberFormat="1" applyFont="1" applyFill="1" applyBorder="1" applyAlignment="1">
      <alignment horizontal="center" vertical="top"/>
    </xf>
    <xf numFmtId="49" fontId="3" fillId="7" borderId="35" xfId="0" applyNumberFormat="1" applyFont="1" applyFill="1" applyBorder="1" applyAlignment="1">
      <alignment horizontal="center" vertical="top"/>
    </xf>
    <xf numFmtId="49" fontId="3" fillId="7" borderId="18"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xf>
    <xf numFmtId="166" fontId="3" fillId="0" borderId="48" xfId="0" applyNumberFormat="1" applyFont="1" applyBorder="1" applyAlignment="1">
      <alignment horizontal="center" vertical="top"/>
    </xf>
    <xf numFmtId="0" fontId="4" fillId="7" borderId="11" xfId="0" applyFont="1" applyFill="1" applyBorder="1" applyAlignment="1">
      <alignment horizontal="center" vertical="center" textRotation="90" wrapText="1"/>
    </xf>
    <xf numFmtId="166" fontId="2" fillId="7" borderId="7" xfId="0" applyNumberFormat="1" applyFont="1" applyFill="1" applyBorder="1" applyAlignment="1">
      <alignment horizontal="left" vertical="top" wrapText="1"/>
    </xf>
    <xf numFmtId="166" fontId="2" fillId="2" borderId="32" xfId="0" applyNumberFormat="1" applyFont="1" applyFill="1" applyBorder="1" applyAlignment="1">
      <alignment horizontal="center" vertical="top" wrapText="1"/>
    </xf>
    <xf numFmtId="166" fontId="2" fillId="7" borderId="36" xfId="0" applyNumberFormat="1" applyFont="1" applyFill="1" applyBorder="1" applyAlignment="1">
      <alignment horizontal="left" vertical="top" wrapText="1"/>
    </xf>
    <xf numFmtId="166" fontId="2" fillId="7" borderId="29" xfId="0" applyNumberFormat="1" applyFont="1" applyFill="1" applyBorder="1" applyAlignment="1">
      <alignment horizontal="left" vertical="top" wrapText="1"/>
    </xf>
    <xf numFmtId="166" fontId="2" fillId="7" borderId="119" xfId="0" applyNumberFormat="1" applyFont="1" applyFill="1" applyBorder="1" applyAlignment="1">
      <alignment vertical="top" wrapText="1"/>
    </xf>
    <xf numFmtId="166" fontId="2" fillId="7" borderId="34" xfId="0" applyNumberFormat="1" applyFont="1" applyFill="1" applyBorder="1" applyAlignment="1">
      <alignment vertical="top" wrapText="1"/>
    </xf>
    <xf numFmtId="0" fontId="2" fillId="7" borderId="28" xfId="0" applyFont="1" applyFill="1" applyBorder="1" applyAlignment="1">
      <alignment horizontal="left" vertical="top" wrapText="1"/>
    </xf>
    <xf numFmtId="166" fontId="8" fillId="7" borderId="7" xfId="0" applyNumberFormat="1" applyFont="1" applyFill="1" applyBorder="1" applyAlignment="1">
      <alignment vertical="top" wrapText="1"/>
    </xf>
    <xf numFmtId="0" fontId="0" fillId="0" borderId="11" xfId="0" applyBorder="1" applyAlignment="1">
      <alignment wrapText="1"/>
    </xf>
    <xf numFmtId="3" fontId="2" fillId="7" borderId="11" xfId="0" applyNumberFormat="1" applyFont="1" applyFill="1" applyBorder="1" applyAlignment="1">
      <alignment horizontal="center" vertical="top" wrapText="1"/>
    </xf>
    <xf numFmtId="166" fontId="3" fillId="7" borderId="20"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0" fontId="2" fillId="7" borderId="36" xfId="0" applyFont="1" applyFill="1" applyBorder="1" applyAlignment="1">
      <alignment horizontal="left" vertical="top" wrapText="1"/>
    </xf>
    <xf numFmtId="3" fontId="2" fillId="7" borderId="48" xfId="0" applyNumberFormat="1" applyFont="1" applyFill="1" applyBorder="1" applyAlignment="1">
      <alignment horizontal="center" vertical="top"/>
    </xf>
    <xf numFmtId="166" fontId="14" fillId="7" borderId="11" xfId="0" applyNumberFormat="1" applyFont="1" applyFill="1" applyBorder="1" applyAlignment="1">
      <alignment horizontal="center" vertical="center" textRotation="90" wrapText="1"/>
    </xf>
    <xf numFmtId="166" fontId="2" fillId="7" borderId="102" xfId="0" applyNumberFormat="1" applyFont="1" applyFill="1" applyBorder="1" applyAlignment="1">
      <alignment vertical="top" wrapText="1"/>
    </xf>
    <xf numFmtId="0" fontId="8" fillId="7" borderId="29" xfId="0" applyFont="1" applyFill="1" applyBorder="1" applyAlignment="1">
      <alignment horizontal="left" vertical="top" wrapText="1"/>
    </xf>
    <xf numFmtId="0" fontId="2" fillId="7" borderId="7" xfId="0" applyFont="1" applyFill="1" applyBorder="1" applyAlignment="1">
      <alignment vertical="top" wrapText="1"/>
    </xf>
    <xf numFmtId="166" fontId="3" fillId="7" borderId="35" xfId="0" applyNumberFormat="1" applyFont="1" applyFill="1" applyBorder="1" applyAlignment="1">
      <alignment horizontal="center" vertical="top"/>
    </xf>
    <xf numFmtId="0" fontId="18" fillId="7" borderId="29" xfId="0" applyFont="1" applyFill="1" applyBorder="1" applyAlignment="1">
      <alignment vertical="top" wrapText="1"/>
    </xf>
    <xf numFmtId="3" fontId="2" fillId="0" borderId="51" xfId="0" applyNumberFormat="1" applyFont="1" applyFill="1" applyBorder="1" applyAlignment="1">
      <alignment horizontal="left" vertical="top" wrapText="1"/>
    </xf>
    <xf numFmtId="0" fontId="0" fillId="0" borderId="51" xfId="0" applyFill="1" applyBorder="1" applyAlignment="1">
      <alignment horizontal="left" vertical="top" wrapText="1"/>
    </xf>
    <xf numFmtId="166" fontId="2" fillId="7" borderId="28" xfId="0" applyNumberFormat="1" applyFont="1" applyFill="1" applyBorder="1" applyAlignment="1">
      <alignment horizontal="center" vertical="center" textRotation="90" wrapText="1"/>
    </xf>
    <xf numFmtId="166" fontId="8" fillId="7" borderId="29" xfId="0" applyNumberFormat="1" applyFont="1" applyFill="1" applyBorder="1" applyAlignment="1">
      <alignment vertical="top" wrapText="1"/>
    </xf>
    <xf numFmtId="166" fontId="3" fillId="7" borderId="25" xfId="0" applyNumberFormat="1" applyFont="1" applyFill="1" applyBorder="1" applyAlignment="1">
      <alignment horizontal="center" vertical="top"/>
    </xf>
    <xf numFmtId="3" fontId="2" fillId="7" borderId="46" xfId="0" applyNumberFormat="1" applyFont="1" applyFill="1" applyBorder="1" applyAlignment="1">
      <alignment horizontal="center" vertical="top" wrapText="1"/>
    </xf>
    <xf numFmtId="166" fontId="2" fillId="7" borderId="79" xfId="0" applyNumberFormat="1" applyFont="1" applyFill="1" applyBorder="1" applyAlignment="1">
      <alignment horizontal="left" vertical="top" wrapText="1"/>
    </xf>
    <xf numFmtId="3" fontId="2" fillId="7" borderId="97" xfId="0" applyNumberFormat="1" applyFont="1" applyFill="1" applyBorder="1" applyAlignment="1">
      <alignment horizontal="center" vertical="top" wrapText="1"/>
    </xf>
    <xf numFmtId="3" fontId="2" fillId="7" borderId="11" xfId="0" applyNumberFormat="1" applyFont="1" applyFill="1" applyBorder="1" applyAlignment="1">
      <alignment horizontal="center" vertical="top"/>
    </xf>
    <xf numFmtId="166" fontId="18" fillId="7" borderId="34" xfId="0" applyNumberFormat="1" applyFont="1" applyFill="1" applyBorder="1" applyAlignment="1">
      <alignment horizontal="center" vertical="top"/>
    </xf>
    <xf numFmtId="166" fontId="18" fillId="7" borderId="100" xfId="0" applyNumberFormat="1" applyFont="1" applyFill="1" applyBorder="1" applyAlignment="1">
      <alignment horizontal="center" vertical="top"/>
    </xf>
    <xf numFmtId="3" fontId="31" fillId="7" borderId="18" xfId="0" applyNumberFormat="1" applyFont="1" applyFill="1" applyBorder="1" applyAlignment="1">
      <alignment horizontal="center" vertical="top"/>
    </xf>
    <xf numFmtId="0" fontId="2" fillId="0" borderId="0" xfId="0" applyNumberFormat="1" applyFont="1" applyAlignment="1">
      <alignment vertical="top"/>
    </xf>
    <xf numFmtId="0" fontId="31" fillId="0" borderId="0" xfId="0" applyFont="1" applyAlignment="1">
      <alignment horizontal="right" vertical="top"/>
    </xf>
    <xf numFmtId="0" fontId="2" fillId="10" borderId="64" xfId="0" applyFont="1" applyFill="1" applyBorder="1" applyAlignment="1">
      <alignment horizontal="center" vertical="center"/>
    </xf>
    <xf numFmtId="166" fontId="3" fillId="3" borderId="64" xfId="0" applyNumberFormat="1" applyFont="1" applyFill="1" applyBorder="1" applyAlignment="1">
      <alignment horizontal="center" vertical="top"/>
    </xf>
    <xf numFmtId="166" fontId="2" fillId="0" borderId="68" xfId="0" applyNumberFormat="1" applyFont="1" applyBorder="1" applyAlignment="1">
      <alignment horizontal="center" vertical="top"/>
    </xf>
    <xf numFmtId="0" fontId="2" fillId="10" borderId="53" xfId="0" applyFont="1" applyFill="1" applyBorder="1" applyAlignment="1">
      <alignment horizontal="center" vertical="center"/>
    </xf>
    <xf numFmtId="166" fontId="2" fillId="0" borderId="69" xfId="0" applyNumberFormat="1" applyFont="1" applyBorder="1" applyAlignment="1">
      <alignment horizontal="center" vertical="top"/>
    </xf>
    <xf numFmtId="166" fontId="3" fillId="2" borderId="71" xfId="0" applyNumberFormat="1" applyFont="1" applyFill="1" applyBorder="1" applyAlignment="1">
      <alignment horizontal="center" vertical="top"/>
    </xf>
    <xf numFmtId="0" fontId="2" fillId="10" borderId="28" xfId="0" applyFont="1" applyFill="1" applyBorder="1" applyAlignment="1">
      <alignment horizontal="center" vertical="center"/>
    </xf>
    <xf numFmtId="166" fontId="2" fillId="0" borderId="13" xfId="0" applyNumberFormat="1" applyFont="1" applyBorder="1" applyAlignment="1">
      <alignment horizontal="center" vertical="top"/>
    </xf>
    <xf numFmtId="0" fontId="2" fillId="7" borderId="46" xfId="0" applyFont="1" applyFill="1" applyBorder="1" applyAlignment="1">
      <alignment vertical="top"/>
    </xf>
    <xf numFmtId="3" fontId="2" fillId="7" borderId="108" xfId="0" applyNumberFormat="1" applyFont="1" applyFill="1" applyBorder="1" applyAlignment="1">
      <alignment horizontal="center" vertical="top" wrapText="1"/>
    </xf>
    <xf numFmtId="3" fontId="2" fillId="7" borderId="92" xfId="0" applyNumberFormat="1" applyFont="1" applyFill="1" applyBorder="1" applyAlignment="1">
      <alignment horizontal="center" vertical="top" wrapText="1"/>
    </xf>
    <xf numFmtId="3" fontId="22" fillId="7" borderId="46" xfId="0" applyNumberFormat="1" applyFont="1" applyFill="1" applyBorder="1" applyAlignment="1">
      <alignment horizontal="center" vertical="top"/>
    </xf>
    <xf numFmtId="3" fontId="2" fillId="0" borderId="41" xfId="0" applyNumberFormat="1" applyFont="1" applyFill="1" applyBorder="1" applyAlignment="1">
      <alignment horizontal="center" vertical="top"/>
    </xf>
    <xf numFmtId="3" fontId="2" fillId="3" borderId="46" xfId="0" applyNumberFormat="1" applyFont="1" applyFill="1" applyBorder="1" applyAlignment="1">
      <alignment horizontal="center" vertical="top" wrapText="1"/>
    </xf>
    <xf numFmtId="3" fontId="2" fillId="0" borderId="37" xfId="0" applyNumberFormat="1" applyFont="1" applyFill="1" applyBorder="1" applyAlignment="1">
      <alignment horizontal="center" vertical="top"/>
    </xf>
    <xf numFmtId="3" fontId="22" fillId="7" borderId="48" xfId="1" applyNumberFormat="1" applyFont="1" applyFill="1" applyBorder="1" applyAlignment="1">
      <alignment horizontal="center" vertical="top" wrapText="1"/>
    </xf>
    <xf numFmtId="3" fontId="2" fillId="3" borderId="18"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wrapText="1"/>
    </xf>
    <xf numFmtId="166" fontId="2" fillId="0" borderId="43" xfId="0" applyNumberFormat="1" applyFont="1" applyBorder="1" applyAlignment="1">
      <alignment horizontal="center" vertical="top"/>
    </xf>
    <xf numFmtId="166" fontId="2" fillId="7" borderId="38" xfId="0" applyNumberFormat="1" applyFont="1" applyFill="1" applyBorder="1" applyAlignment="1">
      <alignment vertical="top"/>
    </xf>
    <xf numFmtId="166" fontId="2" fillId="7" borderId="69" xfId="0" applyNumberFormat="1" applyFont="1" applyFill="1" applyBorder="1" applyAlignment="1">
      <alignment horizontal="center" vertical="top"/>
    </xf>
    <xf numFmtId="166" fontId="2" fillId="0" borderId="11" xfId="0" applyNumberFormat="1" applyFont="1" applyBorder="1" applyAlignment="1">
      <alignment horizontal="center" vertical="top"/>
    </xf>
    <xf numFmtId="166" fontId="2" fillId="0" borderId="0" xfId="0" applyNumberFormat="1" applyFont="1" applyBorder="1" applyAlignment="1">
      <alignment horizontal="center" vertical="top"/>
    </xf>
    <xf numFmtId="166" fontId="2" fillId="3" borderId="13" xfId="0" applyNumberFormat="1" applyFont="1" applyFill="1" applyBorder="1" applyAlignment="1">
      <alignment horizontal="center" vertical="top"/>
    </xf>
    <xf numFmtId="166" fontId="2" fillId="3" borderId="69" xfId="0" applyNumberFormat="1" applyFont="1" applyFill="1" applyBorder="1" applyAlignment="1">
      <alignment horizontal="center" vertical="top"/>
    </xf>
    <xf numFmtId="166" fontId="18" fillId="7" borderId="47" xfId="0" applyNumberFormat="1" applyFont="1" applyFill="1" applyBorder="1" applyAlignment="1">
      <alignment horizontal="center" vertical="top"/>
    </xf>
    <xf numFmtId="166" fontId="18" fillId="7" borderId="94" xfId="0" applyNumberFormat="1" applyFont="1" applyFill="1" applyBorder="1" applyAlignment="1">
      <alignment horizontal="center" vertical="top"/>
    </xf>
    <xf numFmtId="166" fontId="2" fillId="7" borderId="121" xfId="0" applyNumberFormat="1" applyFont="1" applyFill="1" applyBorder="1" applyAlignment="1">
      <alignment horizontal="center" vertical="top"/>
    </xf>
    <xf numFmtId="166" fontId="3" fillId="2" borderId="52" xfId="0" applyNumberFormat="1" applyFont="1" applyFill="1" applyBorder="1" applyAlignment="1">
      <alignment horizontal="center" vertical="top"/>
    </xf>
    <xf numFmtId="166" fontId="18" fillId="7" borderId="80" xfId="0" applyNumberFormat="1" applyFont="1" applyFill="1" applyBorder="1" applyAlignment="1">
      <alignment horizontal="center" vertical="top"/>
    </xf>
    <xf numFmtId="166" fontId="18" fillId="7" borderId="101" xfId="0" applyNumberFormat="1" applyFont="1" applyFill="1" applyBorder="1" applyAlignment="1">
      <alignment horizontal="center" vertical="top"/>
    </xf>
    <xf numFmtId="166" fontId="3" fillId="7" borderId="53" xfId="0" applyNumberFormat="1" applyFont="1" applyFill="1" applyBorder="1" applyAlignment="1">
      <alignment horizontal="center" vertical="top"/>
    </xf>
    <xf numFmtId="166" fontId="13" fillId="0" borderId="53" xfId="0" applyNumberFormat="1" applyFont="1" applyBorder="1" applyAlignment="1">
      <alignment horizontal="center" vertical="top"/>
    </xf>
    <xf numFmtId="166" fontId="13" fillId="0" borderId="64" xfId="0" applyNumberFormat="1" applyFont="1" applyBorder="1" applyAlignment="1">
      <alignment horizontal="center" vertical="top"/>
    </xf>
    <xf numFmtId="166" fontId="13" fillId="0" borderId="28" xfId="0" applyNumberFormat="1" applyFont="1" applyBorder="1" applyAlignment="1">
      <alignment horizontal="center" vertical="top"/>
    </xf>
    <xf numFmtId="166" fontId="2" fillId="7" borderId="41" xfId="0" applyNumberFormat="1" applyFont="1" applyFill="1" applyBorder="1" applyAlignment="1">
      <alignment vertical="top"/>
    </xf>
    <xf numFmtId="166" fontId="2" fillId="7" borderId="35" xfId="0" applyNumberFormat="1" applyFont="1" applyFill="1" applyBorder="1" applyAlignment="1">
      <alignment vertical="top"/>
    </xf>
    <xf numFmtId="166" fontId="2" fillId="0" borderId="92" xfId="0" applyNumberFormat="1" applyFont="1" applyFill="1" applyBorder="1" applyAlignment="1">
      <alignment horizontal="center" vertical="top"/>
    </xf>
    <xf numFmtId="0" fontId="2" fillId="7" borderId="18" xfId="0" applyFont="1" applyFill="1" applyBorder="1" applyAlignment="1">
      <alignment horizontal="right" vertical="center"/>
    </xf>
    <xf numFmtId="0" fontId="22" fillId="0" borderId="5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68" xfId="0" applyFont="1" applyBorder="1" applyAlignment="1">
      <alignment horizontal="center" vertical="center" wrapText="1"/>
    </xf>
    <xf numFmtId="3" fontId="6" fillId="0" borderId="18" xfId="0" applyNumberFormat="1" applyFont="1" applyFill="1" applyBorder="1" applyAlignment="1">
      <alignment horizontal="center" vertical="top"/>
    </xf>
    <xf numFmtId="166" fontId="2" fillId="7" borderId="114" xfId="0" applyNumberFormat="1" applyFont="1" applyFill="1" applyBorder="1" applyAlignment="1">
      <alignment horizontal="center" vertical="top"/>
    </xf>
    <xf numFmtId="166" fontId="2" fillId="7" borderId="108"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 fillId="0" borderId="92" xfId="0" applyNumberFormat="1" applyFont="1" applyFill="1" applyBorder="1" applyAlignment="1">
      <alignment horizontal="center" vertical="top"/>
    </xf>
    <xf numFmtId="3" fontId="2" fillId="7" borderId="90" xfId="0" applyNumberFormat="1" applyFont="1" applyFill="1" applyBorder="1" applyAlignment="1">
      <alignment horizontal="center" vertical="top"/>
    </xf>
    <xf numFmtId="3" fontId="2" fillId="7" borderId="114" xfId="0" applyNumberFormat="1" applyFont="1" applyFill="1" applyBorder="1" applyAlignment="1">
      <alignment vertical="top"/>
    </xf>
    <xf numFmtId="3" fontId="2" fillId="7" borderId="48" xfId="0" applyNumberFormat="1" applyFont="1" applyFill="1" applyBorder="1" applyAlignment="1">
      <alignment vertical="top"/>
    </xf>
    <xf numFmtId="166" fontId="6" fillId="7" borderId="56" xfId="0" applyNumberFormat="1" applyFont="1" applyFill="1" applyBorder="1" applyAlignment="1">
      <alignment horizontal="center" vertical="top" wrapText="1"/>
    </xf>
    <xf numFmtId="166" fontId="2" fillId="7" borderId="53" xfId="0" applyNumberFormat="1" applyFont="1" applyFill="1" applyBorder="1" applyAlignment="1">
      <alignment horizontal="center" vertical="center"/>
    </xf>
    <xf numFmtId="166" fontId="3" fillId="2" borderId="33" xfId="0" applyNumberFormat="1" applyFont="1" applyFill="1" applyBorder="1" applyAlignment="1">
      <alignment horizontal="center" vertical="top"/>
    </xf>
    <xf numFmtId="166" fontId="3" fillId="9" borderId="33" xfId="0" applyNumberFormat="1" applyFont="1" applyFill="1" applyBorder="1" applyAlignment="1">
      <alignment horizontal="center" vertical="top"/>
    </xf>
    <xf numFmtId="166" fontId="3" fillId="5" borderId="71" xfId="0" applyNumberFormat="1" applyFont="1" applyFill="1" applyBorder="1" applyAlignment="1">
      <alignment horizontal="center" vertical="top"/>
    </xf>
    <xf numFmtId="166" fontId="2" fillId="7" borderId="64" xfId="0" applyNumberFormat="1" applyFont="1" applyFill="1" applyBorder="1" applyAlignment="1">
      <alignment horizontal="center" vertical="center"/>
    </xf>
    <xf numFmtId="166" fontId="2" fillId="7" borderId="28" xfId="0" applyNumberFormat="1" applyFont="1" applyFill="1" applyBorder="1" applyAlignment="1">
      <alignment horizontal="center" vertical="center"/>
    </xf>
    <xf numFmtId="166" fontId="2" fillId="8" borderId="64" xfId="0" applyNumberFormat="1" applyFont="1" applyFill="1" applyBorder="1" applyAlignment="1">
      <alignment horizontal="center" vertical="top"/>
    </xf>
    <xf numFmtId="166" fontId="3" fillId="4" borderId="72" xfId="0" applyNumberFormat="1" applyFont="1" applyFill="1" applyBorder="1" applyAlignment="1">
      <alignment horizontal="center" vertical="top"/>
    </xf>
    <xf numFmtId="166" fontId="3" fillId="5" borderId="73" xfId="0" applyNumberFormat="1" applyFont="1" applyFill="1" applyBorder="1" applyAlignment="1">
      <alignment horizontal="center" vertical="top" wrapText="1"/>
    </xf>
    <xf numFmtId="166" fontId="3" fillId="8" borderId="62" xfId="0" applyNumberFormat="1" applyFont="1" applyFill="1" applyBorder="1" applyAlignment="1">
      <alignment horizontal="center" vertical="top" wrapText="1"/>
    </xf>
    <xf numFmtId="166" fontId="2" fillId="8" borderId="53" xfId="0" applyNumberFormat="1" applyFont="1" applyFill="1" applyBorder="1" applyAlignment="1">
      <alignment horizontal="center" vertical="top"/>
    </xf>
    <xf numFmtId="166" fontId="2" fillId="0" borderId="62" xfId="0" applyNumberFormat="1" applyFont="1" applyBorder="1" applyAlignment="1">
      <alignment horizontal="center" vertical="top" wrapText="1"/>
    </xf>
    <xf numFmtId="166" fontId="3" fillId="4" borderId="33" xfId="0" applyNumberFormat="1" applyFont="1" applyFill="1" applyBorder="1" applyAlignment="1">
      <alignment horizontal="center" vertical="top"/>
    </xf>
    <xf numFmtId="166" fontId="3" fillId="5" borderId="69" xfId="0" applyNumberFormat="1" applyFont="1" applyFill="1" applyBorder="1" applyAlignment="1">
      <alignment horizontal="center" vertical="top" wrapText="1"/>
    </xf>
    <xf numFmtId="166" fontId="3" fillId="8" borderId="42" xfId="0" applyNumberFormat="1" applyFont="1" applyFill="1" applyBorder="1" applyAlignment="1">
      <alignment horizontal="center" vertical="top" wrapText="1"/>
    </xf>
    <xf numFmtId="166" fontId="2" fillId="0" borderId="42" xfId="0" applyNumberFormat="1" applyFont="1" applyBorder="1" applyAlignment="1">
      <alignment horizontal="center" vertical="top" wrapText="1"/>
    </xf>
    <xf numFmtId="166" fontId="3" fillId="5" borderId="13" xfId="0" applyNumberFormat="1" applyFont="1" applyFill="1" applyBorder="1" applyAlignment="1">
      <alignment horizontal="center" vertical="top" wrapText="1"/>
    </xf>
    <xf numFmtId="166" fontId="2" fillId="8" borderId="28" xfId="0" applyNumberFormat="1" applyFont="1" applyFill="1" applyBorder="1" applyAlignment="1">
      <alignment horizontal="center" vertical="top"/>
    </xf>
    <xf numFmtId="166" fontId="2" fillId="0" borderId="1" xfId="0" applyNumberFormat="1" applyFont="1" applyBorder="1" applyAlignment="1">
      <alignment horizontal="center" vertical="top" wrapText="1"/>
    </xf>
    <xf numFmtId="166" fontId="3" fillId="4" borderId="30" xfId="0" applyNumberFormat="1" applyFont="1" applyFill="1" applyBorder="1" applyAlignment="1">
      <alignment horizontal="center" vertical="top"/>
    </xf>
    <xf numFmtId="166" fontId="3" fillId="7" borderId="48" xfId="0" applyNumberFormat="1" applyFont="1" applyFill="1" applyBorder="1" applyAlignment="1">
      <alignment horizontal="center" vertical="top"/>
    </xf>
    <xf numFmtId="166" fontId="2" fillId="7" borderId="102" xfId="0" applyNumberFormat="1" applyFont="1" applyFill="1" applyBorder="1" applyAlignment="1">
      <alignment horizontal="left" vertical="top"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0" fontId="0" fillId="7" borderId="11" xfId="0" applyFill="1" applyBorder="1" applyAlignment="1">
      <alignment vertical="top" wrapText="1"/>
    </xf>
    <xf numFmtId="166" fontId="2" fillId="7" borderId="29" xfId="0" applyNumberFormat="1" applyFont="1" applyFill="1" applyBorder="1" applyAlignment="1">
      <alignment horizontal="left" vertical="top" wrapText="1"/>
    </xf>
    <xf numFmtId="166" fontId="2" fillId="7" borderId="79" xfId="0" applyNumberFormat="1" applyFont="1" applyFill="1" applyBorder="1" applyAlignment="1">
      <alignment horizontal="left" vertical="top" wrapText="1"/>
    </xf>
    <xf numFmtId="166" fontId="2" fillId="7" borderId="28" xfId="0" applyNumberFormat="1" applyFont="1" applyFill="1" applyBorder="1" applyAlignment="1">
      <alignment horizontal="center" vertical="center" textRotation="90" wrapText="1"/>
    </xf>
    <xf numFmtId="0" fontId="0" fillId="7" borderId="28" xfId="0" applyFill="1" applyBorder="1" applyAlignment="1">
      <alignment vertical="top" wrapText="1"/>
    </xf>
    <xf numFmtId="166" fontId="13" fillId="7" borderId="29" xfId="0" applyNumberFormat="1" applyFont="1" applyFill="1" applyBorder="1" applyAlignment="1">
      <alignment horizontal="left" vertical="top" wrapText="1"/>
    </xf>
    <xf numFmtId="49" fontId="13" fillId="7" borderId="28" xfId="0" applyNumberFormat="1" applyFont="1" applyFill="1" applyBorder="1" applyAlignment="1">
      <alignment horizontal="center" vertical="top"/>
    </xf>
    <xf numFmtId="49" fontId="2" fillId="7" borderId="27" xfId="0" applyNumberFormat="1" applyFont="1" applyFill="1" applyBorder="1" applyAlignment="1">
      <alignment horizontal="left" vertical="top" wrapText="1"/>
    </xf>
    <xf numFmtId="49" fontId="2" fillId="7" borderId="95" xfId="0" applyNumberFormat="1" applyFont="1" applyFill="1" applyBorder="1" applyAlignment="1">
      <alignment horizontal="center" vertical="top"/>
    </xf>
    <xf numFmtId="49" fontId="2" fillId="7" borderId="86" xfId="0" applyNumberFormat="1" applyFont="1" applyFill="1" applyBorder="1" applyAlignment="1">
      <alignment horizontal="center" vertical="top"/>
    </xf>
    <xf numFmtId="166" fontId="2" fillId="0" borderId="67" xfId="0" applyNumberFormat="1" applyFont="1" applyBorder="1" applyAlignment="1">
      <alignment horizontal="left" vertical="top" wrapText="1"/>
    </xf>
    <xf numFmtId="166" fontId="2" fillId="0" borderId="62" xfId="0" applyNumberFormat="1" applyFont="1" applyBorder="1" applyAlignment="1">
      <alignment horizontal="left" vertical="top" wrapText="1"/>
    </xf>
    <xf numFmtId="166" fontId="2" fillId="0" borderId="42" xfId="0" applyNumberFormat="1" applyFont="1" applyBorder="1" applyAlignment="1">
      <alignment horizontal="left" vertical="top" wrapText="1"/>
    </xf>
    <xf numFmtId="166" fontId="3" fillId="8" borderId="67" xfId="0" applyNumberFormat="1" applyFont="1" applyFill="1" applyBorder="1" applyAlignment="1">
      <alignment horizontal="right" vertical="top" wrapText="1"/>
    </xf>
    <xf numFmtId="166" fontId="8" fillId="8" borderId="62" xfId="0" applyNumberFormat="1" applyFont="1" applyFill="1" applyBorder="1" applyAlignment="1">
      <alignment horizontal="right" vertical="top" wrapText="1"/>
    </xf>
    <xf numFmtId="166" fontId="8" fillId="8" borderId="42" xfId="0" applyNumberFormat="1" applyFont="1" applyFill="1" applyBorder="1" applyAlignment="1">
      <alignment horizontal="right" vertical="top" wrapText="1"/>
    </xf>
    <xf numFmtId="166" fontId="2" fillId="7" borderId="64" xfId="0" applyNumberFormat="1" applyFont="1" applyFill="1" applyBorder="1" applyAlignment="1">
      <alignment horizontal="left" vertical="top" wrapText="1"/>
    </xf>
    <xf numFmtId="166" fontId="2" fillId="7" borderId="75" xfId="0" applyNumberFormat="1" applyFont="1" applyFill="1" applyBorder="1" applyAlignment="1">
      <alignment horizontal="left" vertical="top" wrapText="1"/>
    </xf>
    <xf numFmtId="166" fontId="2" fillId="7" borderId="53" xfId="0" applyNumberFormat="1" applyFont="1" applyFill="1" applyBorder="1" applyAlignment="1">
      <alignment horizontal="left" vertical="top" wrapText="1"/>
    </xf>
    <xf numFmtId="166" fontId="2" fillId="7" borderId="20" xfId="0" applyNumberFormat="1" applyFont="1" applyFill="1" applyBorder="1" applyAlignment="1">
      <alignment horizontal="left" vertical="top" wrapText="1"/>
    </xf>
    <xf numFmtId="166" fontId="2" fillId="7" borderId="28" xfId="0" applyNumberFormat="1" applyFont="1" applyFill="1" applyBorder="1" applyAlignment="1">
      <alignment horizontal="left" vertical="top" wrapText="1"/>
    </xf>
    <xf numFmtId="0" fontId="4" fillId="7" borderId="47" xfId="0" applyFont="1" applyFill="1" applyBorder="1" applyAlignment="1">
      <alignment horizontal="center" vertical="center" textRotation="90" wrapText="1"/>
    </xf>
    <xf numFmtId="0" fontId="4" fillId="7" borderId="19" xfId="0" applyFont="1" applyFill="1" applyBorder="1" applyAlignment="1">
      <alignment horizontal="center" vertical="center" textRotation="90" wrapText="1"/>
    </xf>
    <xf numFmtId="49" fontId="3" fillId="7" borderId="48" xfId="0" applyNumberFormat="1" applyFont="1" applyFill="1" applyBorder="1" applyAlignment="1">
      <alignment horizontal="center" vertical="top"/>
    </xf>
    <xf numFmtId="49" fontId="3" fillId="7" borderId="35" xfId="0" applyNumberFormat="1" applyFont="1" applyFill="1" applyBorder="1" applyAlignment="1">
      <alignment horizontal="center" vertical="top"/>
    </xf>
    <xf numFmtId="166" fontId="2" fillId="7" borderId="11" xfId="0" applyNumberFormat="1" applyFont="1" applyFill="1" applyBorder="1" applyAlignment="1">
      <alignment horizontal="left" vertical="top" wrapText="1"/>
    </xf>
    <xf numFmtId="166" fontId="3" fillId="9" borderId="7" xfId="0" applyNumberFormat="1" applyFont="1" applyFill="1" applyBorder="1" applyAlignment="1">
      <alignment horizontal="center" vertical="top"/>
    </xf>
    <xf numFmtId="166" fontId="3"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2" fillId="7" borderId="67" xfId="0" applyNumberFormat="1" applyFont="1" applyFill="1" applyBorder="1" applyAlignment="1">
      <alignment horizontal="left" vertical="top" wrapText="1"/>
    </xf>
    <xf numFmtId="166" fontId="2" fillId="7" borderId="62" xfId="0" applyNumberFormat="1" applyFont="1" applyFill="1" applyBorder="1" applyAlignment="1">
      <alignment horizontal="left" vertical="top" wrapText="1"/>
    </xf>
    <xf numFmtId="166" fontId="2" fillId="7" borderId="42" xfId="0" applyNumberFormat="1" applyFont="1" applyFill="1" applyBorder="1" applyAlignment="1">
      <alignment horizontal="left" vertical="top" wrapText="1"/>
    </xf>
    <xf numFmtId="166" fontId="2" fillId="8" borderId="67" xfId="0" applyNumberFormat="1" applyFont="1" applyFill="1" applyBorder="1" applyAlignment="1">
      <alignment horizontal="left" vertical="top" wrapText="1"/>
    </xf>
    <xf numFmtId="166" fontId="2" fillId="8" borderId="62" xfId="0" applyNumberFormat="1" applyFont="1" applyFill="1" applyBorder="1" applyAlignment="1">
      <alignment horizontal="left" vertical="top" wrapText="1"/>
    </xf>
    <xf numFmtId="166" fontId="2" fillId="8" borderId="42" xfId="0" applyNumberFormat="1" applyFont="1" applyFill="1" applyBorder="1" applyAlignment="1">
      <alignment horizontal="left" vertical="top" wrapText="1"/>
    </xf>
    <xf numFmtId="166" fontId="3" fillId="8" borderId="67" xfId="0" applyNumberFormat="1" applyFont="1" applyFill="1" applyBorder="1" applyAlignment="1">
      <alignment horizontal="left" vertical="top" wrapText="1"/>
    </xf>
    <xf numFmtId="166" fontId="3" fillId="8" borderId="62" xfId="0" applyNumberFormat="1" applyFont="1" applyFill="1" applyBorder="1" applyAlignment="1">
      <alignment horizontal="left" vertical="top" wrapText="1"/>
    </xf>
    <xf numFmtId="166" fontId="3" fillId="8" borderId="42" xfId="0" applyNumberFormat="1" applyFont="1" applyFill="1" applyBorder="1" applyAlignment="1">
      <alignment horizontal="left" vertical="top" wrapText="1"/>
    </xf>
    <xf numFmtId="166" fontId="3" fillId="0" borderId="32" xfId="0" applyNumberFormat="1" applyFont="1" applyFill="1" applyBorder="1" applyAlignment="1">
      <alignment horizontal="center" vertical="top" wrapText="1"/>
    </xf>
    <xf numFmtId="3" fontId="3" fillId="0" borderId="55"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71" xfId="0" applyNumberFormat="1" applyFont="1" applyBorder="1" applyAlignment="1">
      <alignment horizontal="center" vertical="center" wrapText="1"/>
    </xf>
    <xf numFmtId="166" fontId="3" fillId="5" borderId="68" xfId="0" applyNumberFormat="1" applyFont="1" applyFill="1" applyBorder="1" applyAlignment="1">
      <alignment horizontal="right" vertical="top" wrapText="1"/>
    </xf>
    <xf numFmtId="166" fontId="3" fillId="5" borderId="73" xfId="0" applyNumberFormat="1" applyFont="1" applyFill="1" applyBorder="1" applyAlignment="1">
      <alignment horizontal="right" vertical="top" wrapText="1"/>
    </xf>
    <xf numFmtId="166" fontId="3" fillId="5" borderId="69" xfId="0" applyNumberFormat="1" applyFont="1" applyFill="1" applyBorder="1" applyAlignment="1">
      <alignment horizontal="right" vertical="top" wrapText="1"/>
    </xf>
    <xf numFmtId="49" fontId="3" fillId="9" borderId="7" xfId="0" applyNumberFormat="1" applyFont="1" applyFill="1" applyBorder="1" applyAlignment="1">
      <alignment horizontal="center" vertical="top"/>
    </xf>
    <xf numFmtId="166" fontId="3" fillId="5" borderId="74" xfId="0" applyNumberFormat="1" applyFont="1" applyFill="1" applyBorder="1" applyAlignment="1">
      <alignment horizontal="right" vertical="top"/>
    </xf>
    <xf numFmtId="166" fontId="3" fillId="5" borderId="70" xfId="0" applyNumberFormat="1" applyFont="1" applyFill="1" applyBorder="1" applyAlignment="1">
      <alignment horizontal="right" vertical="top"/>
    </xf>
    <xf numFmtId="166" fontId="3" fillId="5" borderId="71" xfId="0" applyNumberFormat="1" applyFont="1" applyFill="1" applyBorder="1" applyAlignment="1">
      <alignment horizontal="right" vertical="top"/>
    </xf>
    <xf numFmtId="166" fontId="2" fillId="7" borderId="48" xfId="0" applyNumberFormat="1" applyFont="1" applyFill="1" applyBorder="1" applyAlignment="1">
      <alignment horizontal="left" vertical="top" wrapText="1"/>
    </xf>
    <xf numFmtId="166" fontId="2" fillId="7" borderId="35" xfId="0" applyNumberFormat="1" applyFont="1" applyFill="1" applyBorder="1" applyAlignment="1">
      <alignment horizontal="left" vertical="top" wrapText="1"/>
    </xf>
    <xf numFmtId="49" fontId="3" fillId="7" borderId="18"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xf>
    <xf numFmtId="166" fontId="3" fillId="7" borderId="103" xfId="0" applyNumberFormat="1" applyFont="1" applyFill="1" applyBorder="1" applyAlignment="1">
      <alignment horizontal="center" vertical="center" textRotation="90"/>
    </xf>
    <xf numFmtId="166" fontId="3" fillId="7" borderId="28" xfId="0" applyNumberFormat="1" applyFont="1" applyFill="1" applyBorder="1" applyAlignment="1">
      <alignment horizontal="center" vertical="center" textRotation="90"/>
    </xf>
    <xf numFmtId="166" fontId="3" fillId="9" borderId="5" xfId="0" applyNumberFormat="1" applyFont="1" applyFill="1" applyBorder="1" applyAlignment="1">
      <alignment horizontal="center" vertical="top"/>
    </xf>
    <xf numFmtId="166" fontId="3" fillId="9" borderId="9" xfId="0" applyNumberFormat="1" applyFont="1" applyFill="1" applyBorder="1" applyAlignment="1">
      <alignment horizontal="center" vertical="top"/>
    </xf>
    <xf numFmtId="166" fontId="3" fillId="2" borderId="25" xfId="0" applyNumberFormat="1" applyFont="1" applyFill="1" applyBorder="1" applyAlignment="1">
      <alignment horizontal="center" vertical="top"/>
    </xf>
    <xf numFmtId="166" fontId="3" fillId="2" borderId="30"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3" fillId="7" borderId="30" xfId="0" applyNumberFormat="1" applyFont="1" applyFill="1" applyBorder="1" applyAlignment="1">
      <alignment horizontal="center" vertical="top"/>
    </xf>
    <xf numFmtId="166" fontId="2" fillId="7" borderId="41" xfId="0" applyNumberFormat="1" applyFont="1" applyFill="1" applyBorder="1" applyAlignment="1">
      <alignment vertical="top" wrapText="1"/>
    </xf>
    <xf numFmtId="166" fontId="2" fillId="7" borderId="48" xfId="0" applyNumberFormat="1" applyFont="1" applyFill="1" applyBorder="1" applyAlignment="1">
      <alignment vertical="top" wrapText="1"/>
    </xf>
    <xf numFmtId="166" fontId="2" fillId="7" borderId="56" xfId="0" applyNumberFormat="1" applyFont="1" applyFill="1" applyBorder="1" applyAlignment="1">
      <alignment vertical="top" wrapText="1"/>
    </xf>
    <xf numFmtId="166" fontId="4" fillId="0" borderId="25" xfId="0" applyNumberFormat="1" applyFont="1" applyFill="1" applyBorder="1" applyAlignment="1">
      <alignment horizontal="center" vertical="top" wrapText="1"/>
    </xf>
    <xf numFmtId="166" fontId="4" fillId="0" borderId="11" xfId="0" applyNumberFormat="1" applyFont="1" applyFill="1" applyBorder="1" applyAlignment="1">
      <alignment horizontal="center" vertical="top" wrapText="1"/>
    </xf>
    <xf numFmtId="166" fontId="4" fillId="0" borderId="30" xfId="0" applyNumberFormat="1" applyFont="1" applyFill="1" applyBorder="1" applyAlignment="1">
      <alignment horizontal="center" vertical="top" wrapText="1"/>
    </xf>
    <xf numFmtId="166" fontId="2" fillId="5" borderId="70" xfId="0" applyNumberFormat="1" applyFont="1" applyFill="1" applyBorder="1" applyAlignment="1">
      <alignment horizontal="center" vertical="top"/>
    </xf>
    <xf numFmtId="166" fontId="2" fillId="5" borderId="71" xfId="0" applyNumberFormat="1" applyFont="1" applyFill="1" applyBorder="1" applyAlignment="1">
      <alignment horizontal="center" vertical="top"/>
    </xf>
    <xf numFmtId="0" fontId="0" fillId="0" borderId="30" xfId="0" applyFont="1" applyBorder="1" applyAlignment="1">
      <alignment vertical="top"/>
    </xf>
    <xf numFmtId="166" fontId="3" fillId="0" borderId="11" xfId="0" applyNumberFormat="1" applyFont="1" applyFill="1" applyBorder="1" applyAlignment="1">
      <alignment horizontal="center" vertical="top" wrapText="1"/>
    </xf>
    <xf numFmtId="166" fontId="3" fillId="0" borderId="30" xfId="0" applyNumberFormat="1" applyFont="1" applyFill="1" applyBorder="1" applyAlignment="1">
      <alignment horizontal="center" vertical="top" wrapText="1"/>
    </xf>
    <xf numFmtId="166" fontId="3" fillId="0" borderId="35" xfId="0" applyNumberFormat="1" applyFont="1" applyBorder="1" applyAlignment="1">
      <alignment horizontal="center" vertical="top"/>
    </xf>
    <xf numFmtId="166" fontId="3" fillId="0" borderId="48" xfId="0" applyNumberFormat="1" applyFont="1" applyBorder="1" applyAlignment="1">
      <alignment horizontal="center" vertical="top"/>
    </xf>
    <xf numFmtId="166" fontId="3" fillId="0" borderId="63" xfId="0" applyNumberFormat="1" applyFont="1" applyBorder="1" applyAlignment="1">
      <alignment horizontal="center" vertical="top"/>
    </xf>
    <xf numFmtId="166" fontId="3" fillId="2" borderId="32" xfId="0" applyNumberFormat="1" applyFont="1" applyFill="1" applyBorder="1" applyAlignment="1">
      <alignment horizontal="right" vertical="top"/>
    </xf>
    <xf numFmtId="166" fontId="3" fillId="2" borderId="33" xfId="0" applyNumberFormat="1" applyFont="1" applyFill="1" applyBorder="1" applyAlignment="1">
      <alignment horizontal="right" vertical="top"/>
    </xf>
    <xf numFmtId="0" fontId="2" fillId="3" borderId="64" xfId="0" applyFont="1" applyFill="1" applyBorder="1" applyAlignment="1">
      <alignment horizontal="left" vertical="top" wrapText="1"/>
    </xf>
    <xf numFmtId="0" fontId="2" fillId="3" borderId="75" xfId="0" applyFont="1" applyFill="1" applyBorder="1" applyAlignment="1">
      <alignment horizontal="left" vertical="top" wrapText="1"/>
    </xf>
    <xf numFmtId="0" fontId="2" fillId="3" borderId="53" xfId="0" applyFont="1" applyFill="1" applyBorder="1" applyAlignment="1">
      <alignment horizontal="left" vertical="top" wrapText="1"/>
    </xf>
    <xf numFmtId="166" fontId="3" fillId="4" borderId="72" xfId="0" applyNumberFormat="1" applyFont="1" applyFill="1" applyBorder="1" applyAlignment="1">
      <alignment horizontal="right" vertical="top" wrapText="1"/>
    </xf>
    <xf numFmtId="166" fontId="3" fillId="4" borderId="32" xfId="0" applyNumberFormat="1" applyFont="1" applyFill="1" applyBorder="1" applyAlignment="1">
      <alignment horizontal="right" vertical="top" wrapText="1"/>
    </xf>
    <xf numFmtId="166" fontId="3" fillId="4" borderId="33" xfId="0" applyNumberFormat="1" applyFont="1" applyFill="1" applyBorder="1" applyAlignment="1">
      <alignment horizontal="right" vertical="top" wrapText="1"/>
    </xf>
    <xf numFmtId="3" fontId="30" fillId="7" borderId="0" xfId="0" applyNumberFormat="1" applyFont="1" applyFill="1" applyAlignment="1">
      <alignment horizontal="left" vertical="top" wrapText="1"/>
    </xf>
    <xf numFmtId="3" fontId="19" fillId="0" borderId="0" xfId="0" applyNumberFormat="1" applyFont="1" applyAlignment="1">
      <alignment horizontal="center" vertical="top" wrapText="1"/>
    </xf>
    <xf numFmtId="0" fontId="20" fillId="0" borderId="0" xfId="0" applyFont="1" applyBorder="1" applyAlignment="1">
      <alignment horizontal="center" vertical="top" wrapText="1"/>
    </xf>
    <xf numFmtId="0" fontId="19" fillId="0" borderId="0" xfId="0" applyFont="1" applyBorder="1" applyAlignment="1">
      <alignment horizontal="center" vertical="top"/>
    </xf>
    <xf numFmtId="0" fontId="2" fillId="0" borderId="32" xfId="0" applyFont="1" applyBorder="1" applyAlignment="1">
      <alignment horizontal="right" vertical="top"/>
    </xf>
    <xf numFmtId="0" fontId="0" fillId="0" borderId="32" xfId="0" applyFont="1" applyBorder="1" applyAlignment="1">
      <alignment vertical="top"/>
    </xf>
    <xf numFmtId="0" fontId="7" fillId="7" borderId="20" xfId="0" applyFont="1" applyFill="1" applyBorder="1" applyAlignment="1">
      <alignment vertical="top" wrapText="1"/>
    </xf>
    <xf numFmtId="0" fontId="7" fillId="7" borderId="11" xfId="0" applyFont="1" applyFill="1" applyBorder="1" applyAlignment="1">
      <alignment vertical="top" wrapText="1"/>
    </xf>
    <xf numFmtId="0" fontId="0" fillId="0" borderId="11" xfId="0" applyBorder="1" applyAlignment="1">
      <alignment vertical="top" wrapText="1"/>
    </xf>
    <xf numFmtId="0" fontId="4" fillId="7" borderId="20" xfId="0" applyFont="1" applyFill="1" applyBorder="1" applyAlignment="1">
      <alignment horizontal="center" vertical="center" textRotation="90" wrapText="1"/>
    </xf>
    <xf numFmtId="0" fontId="4" fillId="7" borderId="11" xfId="0" applyFont="1" applyFill="1" applyBorder="1" applyAlignment="1">
      <alignment horizontal="center" vertical="center" textRotation="90" wrapText="1"/>
    </xf>
    <xf numFmtId="0" fontId="0" fillId="7" borderId="11" xfId="0" applyFill="1" applyBorder="1" applyAlignment="1">
      <alignment horizontal="center" vertical="center" textRotation="90" wrapText="1"/>
    </xf>
    <xf numFmtId="166" fontId="2" fillId="8" borderId="67" xfId="0" applyNumberFormat="1" applyFont="1" applyFill="1" applyBorder="1" applyAlignment="1">
      <alignment vertical="top" wrapText="1"/>
    </xf>
    <xf numFmtId="166" fontId="8" fillId="8" borderId="62" xfId="0" applyNumberFormat="1" applyFont="1" applyFill="1" applyBorder="1" applyAlignment="1">
      <alignment vertical="top" wrapText="1"/>
    </xf>
    <xf numFmtId="166" fontId="8" fillId="8" borderId="42" xfId="0" applyNumberFormat="1" applyFont="1" applyFill="1" applyBorder="1" applyAlignment="1">
      <alignment vertical="top" wrapText="1"/>
    </xf>
    <xf numFmtId="166" fontId="3" fillId="5" borderId="67" xfId="0" applyNumberFormat="1" applyFont="1" applyFill="1" applyBorder="1" applyAlignment="1">
      <alignment horizontal="right" vertical="top" wrapText="1"/>
    </xf>
    <xf numFmtId="166" fontId="3" fillId="5" borderId="62" xfId="0" applyNumberFormat="1" applyFont="1" applyFill="1" applyBorder="1" applyAlignment="1">
      <alignment horizontal="right" vertical="top" wrapText="1"/>
    </xf>
    <xf numFmtId="166" fontId="3" fillId="5" borderId="42" xfId="0" applyNumberFormat="1" applyFont="1" applyFill="1" applyBorder="1" applyAlignment="1">
      <alignment horizontal="right" vertical="top" wrapText="1"/>
    </xf>
    <xf numFmtId="166" fontId="2" fillId="3" borderId="64" xfId="0" applyNumberFormat="1" applyFont="1" applyFill="1" applyBorder="1" applyAlignment="1">
      <alignment horizontal="left" vertical="top" wrapText="1"/>
    </xf>
    <xf numFmtId="166" fontId="2" fillId="3" borderId="75" xfId="0" applyNumberFormat="1" applyFont="1" applyFill="1" applyBorder="1" applyAlignment="1">
      <alignment horizontal="left" vertical="top" wrapText="1"/>
    </xf>
    <xf numFmtId="166" fontId="2" fillId="3" borderId="53" xfId="0" applyNumberFormat="1" applyFont="1" applyFill="1" applyBorder="1" applyAlignment="1">
      <alignment horizontal="left" vertical="top" wrapText="1"/>
    </xf>
    <xf numFmtId="166" fontId="2" fillId="3" borderId="67" xfId="0" applyNumberFormat="1" applyFont="1" applyFill="1" applyBorder="1" applyAlignment="1">
      <alignment horizontal="left" vertical="top" wrapText="1"/>
    </xf>
    <xf numFmtId="166" fontId="2" fillId="3" borderId="62" xfId="0" applyNumberFormat="1" applyFont="1" applyFill="1" applyBorder="1" applyAlignment="1">
      <alignment horizontal="left" vertical="top" wrapText="1"/>
    </xf>
    <xf numFmtId="166" fontId="2" fillId="3" borderId="42" xfId="0" applyNumberFormat="1" applyFont="1" applyFill="1" applyBorder="1" applyAlignment="1">
      <alignment horizontal="left" vertical="top" wrapText="1"/>
    </xf>
    <xf numFmtId="166" fontId="2" fillId="7" borderId="11" xfId="0" applyNumberFormat="1" applyFont="1" applyFill="1" applyBorder="1" applyAlignment="1">
      <alignment vertical="top" wrapText="1"/>
    </xf>
    <xf numFmtId="166" fontId="8" fillId="7" borderId="28" xfId="0" applyNumberFormat="1" applyFont="1" applyFill="1" applyBorder="1" applyAlignment="1">
      <alignment vertical="top" wrapText="1"/>
    </xf>
    <xf numFmtId="166" fontId="2" fillId="7" borderId="7" xfId="0" applyNumberFormat="1" applyFont="1" applyFill="1" applyBorder="1" applyAlignment="1">
      <alignment horizontal="left" vertical="top" wrapText="1"/>
    </xf>
    <xf numFmtId="166" fontId="8" fillId="7" borderId="29" xfId="0" applyNumberFormat="1" applyFont="1" applyFill="1" applyBorder="1" applyAlignment="1">
      <alignment horizontal="left" vertical="top" wrapText="1"/>
    </xf>
    <xf numFmtId="166" fontId="2" fillId="7" borderId="11" xfId="0" applyNumberFormat="1" applyFont="1" applyFill="1" applyBorder="1" applyAlignment="1">
      <alignment horizontal="center" vertical="center" textRotation="90" wrapText="1"/>
    </xf>
    <xf numFmtId="166" fontId="2" fillId="2" borderId="32" xfId="0" applyNumberFormat="1" applyFont="1" applyFill="1" applyBorder="1" applyAlignment="1">
      <alignment horizontal="center" vertical="top" wrapText="1"/>
    </xf>
    <xf numFmtId="166" fontId="2" fillId="2" borderId="33" xfId="0" applyNumberFormat="1" applyFont="1" applyFill="1" applyBorder="1" applyAlignment="1">
      <alignment horizontal="center" vertical="top" wrapText="1"/>
    </xf>
    <xf numFmtId="166" fontId="3" fillId="9" borderId="74" xfId="0" applyNumberFormat="1" applyFont="1" applyFill="1" applyBorder="1" applyAlignment="1">
      <alignment horizontal="right" vertical="top"/>
    </xf>
    <xf numFmtId="166" fontId="3" fillId="9" borderId="70" xfId="0" applyNumberFormat="1" applyFont="1" applyFill="1" applyBorder="1" applyAlignment="1">
      <alignment horizontal="right" vertical="top"/>
    </xf>
    <xf numFmtId="166" fontId="3" fillId="9" borderId="71" xfId="0" applyNumberFormat="1" applyFont="1" applyFill="1" applyBorder="1" applyAlignment="1">
      <alignment horizontal="right" vertical="top"/>
    </xf>
    <xf numFmtId="166" fontId="2" fillId="9" borderId="70" xfId="0" applyNumberFormat="1" applyFont="1" applyFill="1" applyBorder="1" applyAlignment="1">
      <alignment horizontal="center" vertical="top"/>
    </xf>
    <xf numFmtId="166" fontId="2" fillId="9" borderId="71" xfId="0" applyNumberFormat="1" applyFont="1" applyFill="1" applyBorder="1" applyAlignment="1">
      <alignment horizontal="center" vertical="top"/>
    </xf>
    <xf numFmtId="166" fontId="2" fillId="7" borderId="36" xfId="0" applyNumberFormat="1" applyFont="1" applyFill="1" applyBorder="1" applyAlignment="1">
      <alignment horizontal="left" vertical="top" wrapText="1"/>
    </xf>
    <xf numFmtId="166" fontId="2" fillId="7" borderId="29" xfId="0" applyNumberFormat="1" applyFont="1" applyFill="1" applyBorder="1" applyAlignment="1">
      <alignment horizontal="left" vertical="top" wrapText="1"/>
    </xf>
    <xf numFmtId="166" fontId="3" fillId="7" borderId="48" xfId="0" applyNumberFormat="1" applyFont="1" applyFill="1" applyBorder="1" applyAlignment="1">
      <alignment horizontal="center" vertical="top"/>
    </xf>
    <xf numFmtId="166" fontId="2" fillId="7" borderId="20" xfId="0" applyNumberFormat="1" applyFont="1" applyFill="1" applyBorder="1" applyAlignment="1">
      <alignment vertical="top" wrapText="1"/>
    </xf>
    <xf numFmtId="0" fontId="0" fillId="7" borderId="11" xfId="0" applyFill="1" applyBorder="1" applyAlignment="1">
      <alignment vertical="top" wrapText="1"/>
    </xf>
    <xf numFmtId="0" fontId="0" fillId="0" borderId="7" xfId="0" applyBorder="1" applyAlignment="1">
      <alignment horizontal="left" vertical="top" wrapText="1"/>
    </xf>
    <xf numFmtId="166" fontId="3" fillId="2" borderId="70" xfId="0" applyNumberFormat="1" applyFont="1" applyFill="1" applyBorder="1" applyAlignment="1">
      <alignment horizontal="right" vertical="top"/>
    </xf>
    <xf numFmtId="166" fontId="3" fillId="2" borderId="71" xfId="0" applyNumberFormat="1" applyFont="1" applyFill="1" applyBorder="1" applyAlignment="1">
      <alignment horizontal="right" vertical="top"/>
    </xf>
    <xf numFmtId="166" fontId="2" fillId="2" borderId="70" xfId="0" applyNumberFormat="1" applyFont="1" applyFill="1" applyBorder="1" applyAlignment="1">
      <alignment horizontal="center" vertical="top" wrapText="1"/>
    </xf>
    <xf numFmtId="166" fontId="2" fillId="2" borderId="71" xfId="0" applyNumberFormat="1" applyFont="1" applyFill="1" applyBorder="1" applyAlignment="1">
      <alignment horizontal="center" vertical="top" wrapText="1"/>
    </xf>
    <xf numFmtId="166" fontId="3" fillId="2" borderId="74" xfId="0" applyNumberFormat="1" applyFont="1" applyFill="1" applyBorder="1" applyAlignment="1">
      <alignment horizontal="left" vertical="top"/>
    </xf>
    <xf numFmtId="166" fontId="3" fillId="2" borderId="70" xfId="0" applyNumberFormat="1" applyFont="1" applyFill="1" applyBorder="1" applyAlignment="1">
      <alignment horizontal="left" vertical="top"/>
    </xf>
    <xf numFmtId="166" fontId="3" fillId="2" borderId="71" xfId="0" applyNumberFormat="1" applyFont="1" applyFill="1" applyBorder="1" applyAlignment="1">
      <alignment horizontal="left" vertical="top"/>
    </xf>
    <xf numFmtId="0" fontId="8" fillId="7" borderId="11" xfId="0" applyFont="1" applyFill="1" applyBorder="1" applyAlignment="1">
      <alignment vertical="top" wrapText="1"/>
    </xf>
    <xf numFmtId="166" fontId="2" fillId="7" borderId="20" xfId="0" applyNumberFormat="1" applyFont="1" applyFill="1" applyBorder="1" applyAlignment="1">
      <alignment horizontal="center" vertical="center" textRotation="90" wrapText="1"/>
    </xf>
    <xf numFmtId="0" fontId="0" fillId="0" borderId="11" xfId="0" applyBorder="1" applyAlignment="1">
      <alignment horizontal="center" vertical="center" wrapText="1"/>
    </xf>
    <xf numFmtId="0" fontId="2" fillId="7" borderId="102" xfId="0" applyFont="1" applyFill="1" applyBorder="1" applyAlignment="1">
      <alignment vertical="top" wrapText="1"/>
    </xf>
    <xf numFmtId="0" fontId="0" fillId="7" borderId="29" xfId="0" applyFill="1" applyBorder="1" applyAlignment="1">
      <alignment vertical="top" wrapText="1"/>
    </xf>
    <xf numFmtId="0" fontId="8" fillId="7" borderId="28" xfId="0" applyFont="1" applyFill="1" applyBorder="1" applyAlignment="1">
      <alignment vertical="top" wrapText="1"/>
    </xf>
    <xf numFmtId="0" fontId="0" fillId="0" borderId="28" xfId="0" applyBorder="1" applyAlignment="1">
      <alignment horizontal="center" vertical="center" wrapText="1"/>
    </xf>
    <xf numFmtId="49" fontId="3" fillId="2" borderId="11" xfId="0" applyNumberFormat="1" applyFont="1" applyFill="1" applyBorder="1" applyAlignment="1">
      <alignment horizontal="center" vertical="top"/>
    </xf>
    <xf numFmtId="0" fontId="0" fillId="0" borderId="11" xfId="0" applyBorder="1" applyAlignment="1">
      <alignment horizontal="center" wrapText="1"/>
    </xf>
    <xf numFmtId="0" fontId="0" fillId="0" borderId="28" xfId="0" applyBorder="1" applyAlignment="1">
      <alignment horizontal="center" wrapText="1"/>
    </xf>
    <xf numFmtId="166" fontId="2" fillId="7" borderId="119" xfId="0" applyNumberFormat="1" applyFont="1" applyFill="1" applyBorder="1" applyAlignment="1">
      <alignment vertical="top" wrapText="1"/>
    </xf>
    <xf numFmtId="0" fontId="0" fillId="7" borderId="100" xfId="0" applyFill="1" applyBorder="1" applyAlignment="1">
      <alignment vertical="top"/>
    </xf>
    <xf numFmtId="166" fontId="2" fillId="7" borderId="34" xfId="0" applyNumberFormat="1" applyFont="1" applyFill="1" applyBorder="1" applyAlignment="1">
      <alignment vertical="top" wrapText="1"/>
    </xf>
    <xf numFmtId="0" fontId="8" fillId="7" borderId="100" xfId="0" applyFont="1" applyFill="1" applyBorder="1" applyAlignment="1">
      <alignment vertical="top" wrapText="1"/>
    </xf>
    <xf numFmtId="0" fontId="2" fillId="7" borderId="20" xfId="0" applyFont="1" applyFill="1" applyBorder="1" applyAlignment="1">
      <alignment horizontal="left" vertical="top" wrapText="1"/>
    </xf>
    <xf numFmtId="0" fontId="2" fillId="7" borderId="28" xfId="0" applyFont="1" applyFill="1" applyBorder="1" applyAlignment="1">
      <alignment horizontal="left" vertical="top" wrapText="1"/>
    </xf>
    <xf numFmtId="166" fontId="8" fillId="7" borderId="11" xfId="0" applyNumberFormat="1" applyFont="1" applyFill="1" applyBorder="1" applyAlignment="1">
      <alignment horizontal="center" vertical="center" textRotation="90" wrapText="1"/>
    </xf>
    <xf numFmtId="0" fontId="0" fillId="0" borderId="11" xfId="0" applyBorder="1" applyAlignment="1">
      <alignment horizontal="center" vertical="center" textRotation="90" wrapText="1"/>
    </xf>
    <xf numFmtId="166" fontId="2" fillId="7" borderId="36" xfId="0" applyNumberFormat="1" applyFont="1" applyFill="1" applyBorder="1" applyAlignment="1">
      <alignment vertical="top" wrapText="1"/>
    </xf>
    <xf numFmtId="0" fontId="0" fillId="0" borderId="29" xfId="0" applyBorder="1" applyAlignment="1">
      <alignment vertical="top" wrapText="1"/>
    </xf>
    <xf numFmtId="166" fontId="2" fillId="7" borderId="46" xfId="0" applyNumberFormat="1" applyFont="1" applyFill="1" applyBorder="1" applyAlignment="1">
      <alignment vertical="top" wrapText="1"/>
    </xf>
    <xf numFmtId="0" fontId="8" fillId="7" borderId="35" xfId="0" applyFont="1" applyFill="1" applyBorder="1" applyAlignment="1">
      <alignment vertical="top" wrapText="1"/>
    </xf>
    <xf numFmtId="166" fontId="2" fillId="7" borderId="7" xfId="0" applyNumberFormat="1" applyFont="1" applyFill="1" applyBorder="1" applyAlignment="1">
      <alignment vertical="top" wrapText="1"/>
    </xf>
    <xf numFmtId="166" fontId="8" fillId="7" borderId="7" xfId="0" applyNumberFormat="1" applyFont="1" applyFill="1" applyBorder="1" applyAlignment="1">
      <alignment vertical="top" wrapText="1"/>
    </xf>
    <xf numFmtId="166" fontId="3" fillId="7" borderId="41" xfId="0" applyNumberFormat="1" applyFont="1" applyFill="1" applyBorder="1" applyAlignment="1">
      <alignment horizontal="center" vertical="top"/>
    </xf>
    <xf numFmtId="166" fontId="3" fillId="7" borderId="56"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3" fillId="7" borderId="11" xfId="0" applyNumberFormat="1" applyFont="1" applyFill="1" applyBorder="1" applyAlignment="1">
      <alignment vertical="top" wrapText="1"/>
    </xf>
    <xf numFmtId="166" fontId="11" fillId="7" borderId="25" xfId="0" applyNumberFormat="1" applyFont="1" applyFill="1" applyBorder="1" applyAlignment="1">
      <alignment horizontal="center" vertical="top" wrapText="1"/>
    </xf>
    <xf numFmtId="166" fontId="11" fillId="7" borderId="11" xfId="0" applyNumberFormat="1" applyFont="1" applyFill="1" applyBorder="1" applyAlignment="1">
      <alignment horizontal="center" vertical="top" wrapText="1"/>
    </xf>
    <xf numFmtId="0" fontId="0" fillId="0" borderId="11" xfId="0" applyBorder="1" applyAlignment="1">
      <alignment wrapText="1"/>
    </xf>
    <xf numFmtId="0" fontId="2" fillId="7" borderId="40" xfId="0" applyFont="1" applyFill="1" applyBorder="1" applyAlignment="1">
      <alignment vertical="top" wrapText="1"/>
    </xf>
    <xf numFmtId="0" fontId="2" fillId="7" borderId="47" xfId="0" applyFont="1" applyFill="1" applyBorder="1" applyAlignment="1">
      <alignment vertical="top" wrapText="1"/>
    </xf>
    <xf numFmtId="0" fontId="0" fillId="7" borderId="47" xfId="0" applyFill="1" applyBorder="1" applyAlignment="1">
      <alignment vertical="top" wrapText="1"/>
    </xf>
    <xf numFmtId="166" fontId="3" fillId="2" borderId="74" xfId="0" applyNumberFormat="1" applyFont="1" applyFill="1" applyBorder="1" applyAlignment="1">
      <alignment horizontal="right" vertical="top"/>
    </xf>
    <xf numFmtId="49" fontId="3" fillId="9" borderId="5" xfId="0" applyNumberFormat="1" applyFont="1" applyFill="1" applyBorder="1" applyAlignment="1">
      <alignment horizontal="center" vertical="top"/>
    </xf>
    <xf numFmtId="49" fontId="3" fillId="9" borderId="9" xfId="0" applyNumberFormat="1" applyFont="1" applyFill="1" applyBorder="1" applyAlignment="1">
      <alignment horizontal="center" vertical="top"/>
    </xf>
    <xf numFmtId="49" fontId="3" fillId="2" borderId="41" xfId="0" applyNumberFormat="1" applyFont="1" applyFill="1" applyBorder="1" applyAlignment="1">
      <alignment horizontal="center" vertical="top"/>
    </xf>
    <xf numFmtId="49" fontId="3" fillId="2" borderId="48" xfId="0" applyNumberFormat="1" applyFont="1" applyFill="1" applyBorder="1" applyAlignment="1">
      <alignment horizontal="center" vertical="top"/>
    </xf>
    <xf numFmtId="49" fontId="3" fillId="2" borderId="56" xfId="0" applyNumberFormat="1" applyFont="1" applyFill="1" applyBorder="1" applyAlignment="1">
      <alignment horizontal="center" vertical="top"/>
    </xf>
    <xf numFmtId="166" fontId="2" fillId="7" borderId="25" xfId="0" applyNumberFormat="1" applyFont="1" applyFill="1" applyBorder="1" applyAlignment="1">
      <alignment vertical="top" wrapText="1"/>
    </xf>
    <xf numFmtId="166" fontId="3" fillId="7" borderId="20"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top" wrapText="1"/>
    </xf>
    <xf numFmtId="0" fontId="0" fillId="0" borderId="28" xfId="0" applyBorder="1" applyAlignment="1">
      <alignment vertical="top" wrapText="1"/>
    </xf>
    <xf numFmtId="166" fontId="2" fillId="7" borderId="28" xfId="0" applyNumberFormat="1" applyFont="1" applyFill="1" applyBorder="1" applyAlignment="1">
      <alignment vertical="top" wrapText="1"/>
    </xf>
    <xf numFmtId="166" fontId="3" fillId="7" borderId="28" xfId="0" applyNumberFormat="1" applyFont="1" applyFill="1" applyBorder="1" applyAlignment="1">
      <alignment horizontal="center" vertical="top" wrapText="1"/>
    </xf>
    <xf numFmtId="3" fontId="2" fillId="0" borderId="20" xfId="0" applyNumberFormat="1" applyFont="1" applyFill="1" applyBorder="1" applyAlignment="1">
      <alignment horizontal="center" vertical="top"/>
    </xf>
    <xf numFmtId="3" fontId="2" fillId="0" borderId="28" xfId="0" applyNumberFormat="1" applyFont="1" applyFill="1" applyBorder="1" applyAlignment="1">
      <alignment horizontal="center" vertical="top"/>
    </xf>
    <xf numFmtId="3" fontId="2" fillId="0" borderId="46" xfId="0" applyNumberFormat="1" applyFont="1" applyFill="1" applyBorder="1" applyAlignment="1">
      <alignment horizontal="center" vertical="top"/>
    </xf>
    <xf numFmtId="3" fontId="2" fillId="0" borderId="35" xfId="0" applyNumberFormat="1" applyFont="1" applyFill="1" applyBorder="1" applyAlignment="1">
      <alignment horizontal="center" vertical="top"/>
    </xf>
    <xf numFmtId="3" fontId="2" fillId="0" borderId="21" xfId="0" applyNumberFormat="1" applyFont="1" applyFill="1" applyBorder="1" applyAlignment="1">
      <alignment horizontal="center" vertical="top"/>
    </xf>
    <xf numFmtId="3" fontId="2" fillId="0" borderId="27" xfId="0" applyNumberFormat="1" applyFont="1" applyFill="1" applyBorder="1" applyAlignment="1">
      <alignment horizontal="center" vertical="top"/>
    </xf>
    <xf numFmtId="166" fontId="3" fillId="2" borderId="48" xfId="0" applyNumberFormat="1" applyFont="1" applyFill="1" applyBorder="1" applyAlignment="1">
      <alignment horizontal="center" vertical="top"/>
    </xf>
    <xf numFmtId="166" fontId="3" fillId="0" borderId="48" xfId="0" applyNumberFormat="1" applyFont="1" applyFill="1" applyBorder="1" applyAlignment="1">
      <alignment horizontal="center" vertical="top" wrapText="1"/>
    </xf>
    <xf numFmtId="0" fontId="2" fillId="7" borderId="103" xfId="0" applyNumberFormat="1" applyFont="1" applyFill="1" applyBorder="1" applyAlignment="1">
      <alignment horizontal="left" vertical="top" wrapText="1"/>
    </xf>
    <xf numFmtId="0" fontId="0" fillId="7" borderId="28" xfId="0" applyFill="1" applyBorder="1" applyAlignment="1">
      <alignment horizontal="left" vertical="top" wrapText="1"/>
    </xf>
    <xf numFmtId="0" fontId="2" fillId="7" borderId="7" xfId="0" applyFont="1" applyFill="1" applyBorder="1" applyAlignment="1">
      <alignment horizontal="left" vertical="top" wrapText="1"/>
    </xf>
    <xf numFmtId="0" fontId="0" fillId="0" borderId="29" xfId="0" applyBorder="1" applyAlignment="1">
      <alignment horizontal="left" vertical="top" wrapText="1"/>
    </xf>
    <xf numFmtId="166" fontId="2" fillId="0" borderId="36" xfId="0" applyNumberFormat="1" applyFont="1" applyFill="1" applyBorder="1" applyAlignment="1">
      <alignment horizontal="left" vertical="top" wrapText="1"/>
    </xf>
    <xf numFmtId="166" fontId="2" fillId="0" borderId="29" xfId="0" applyNumberFormat="1" applyFont="1" applyFill="1" applyBorder="1" applyAlignment="1">
      <alignment horizontal="left" vertical="top" wrapText="1"/>
    </xf>
    <xf numFmtId="166" fontId="3" fillId="2" borderId="4" xfId="0" applyNumberFormat="1" applyFont="1" applyFill="1" applyBorder="1" applyAlignment="1">
      <alignment horizontal="left" vertical="top"/>
    </xf>
    <xf numFmtId="166" fontId="3" fillId="2" borderId="25" xfId="0" applyNumberFormat="1" applyFont="1" applyFill="1" applyBorder="1" applyAlignment="1">
      <alignment horizontal="left" vertical="top"/>
    </xf>
    <xf numFmtId="166" fontId="3" fillId="2" borderId="76" xfId="0" applyNumberFormat="1" applyFont="1" applyFill="1" applyBorder="1" applyAlignment="1">
      <alignment horizontal="left" vertical="top"/>
    </xf>
    <xf numFmtId="166" fontId="2" fillId="7" borderId="92" xfId="0" applyNumberFormat="1" applyFont="1" applyFill="1" applyBorder="1" applyAlignment="1">
      <alignment horizontal="left" vertical="top" wrapText="1"/>
    </xf>
    <xf numFmtId="49" fontId="2" fillId="7" borderId="103" xfId="0" applyNumberFormat="1" applyFont="1" applyFill="1" applyBorder="1" applyAlignment="1">
      <alignment vertical="top" wrapText="1"/>
    </xf>
    <xf numFmtId="49" fontId="2" fillId="7" borderId="11" xfId="0" applyNumberFormat="1" applyFont="1" applyFill="1" applyBorder="1" applyAlignment="1">
      <alignment vertical="top" wrapText="1"/>
    </xf>
    <xf numFmtId="166" fontId="2" fillId="7" borderId="102" xfId="0" applyNumberFormat="1" applyFont="1" applyFill="1" applyBorder="1" applyAlignment="1">
      <alignment horizontal="left" vertical="top" wrapText="1"/>
    </xf>
    <xf numFmtId="0" fontId="8" fillId="0" borderId="29" xfId="0" applyFont="1" applyBorder="1" applyAlignment="1">
      <alignment horizontal="left" vertical="top" wrapText="1"/>
    </xf>
    <xf numFmtId="166" fontId="2" fillId="7" borderId="46" xfId="0" applyNumberFormat="1" applyFont="1" applyFill="1" applyBorder="1" applyAlignment="1">
      <alignment horizontal="left" vertical="top" wrapText="1"/>
    </xf>
    <xf numFmtId="166" fontId="3" fillId="3" borderId="20" xfId="0" applyNumberFormat="1" applyFont="1" applyFill="1" applyBorder="1" applyAlignment="1">
      <alignment horizontal="center" vertical="top" wrapText="1"/>
    </xf>
    <xf numFmtId="0" fontId="0" fillId="0" borderId="11" xfId="0" applyBorder="1" applyAlignment="1">
      <alignment horizontal="center" vertical="top" wrapText="1"/>
    </xf>
    <xf numFmtId="0" fontId="0" fillId="7" borderId="7" xfId="0" applyFill="1" applyBorder="1" applyAlignment="1">
      <alignment vertical="top" wrapText="1"/>
    </xf>
    <xf numFmtId="166" fontId="22" fillId="7" borderId="36" xfId="0" applyNumberFormat="1" applyFont="1" applyFill="1" applyBorder="1" applyAlignment="1">
      <alignment horizontal="left" vertical="top" wrapText="1"/>
    </xf>
    <xf numFmtId="166" fontId="22" fillId="7" borderId="7" xfId="0" applyNumberFormat="1" applyFont="1" applyFill="1" applyBorder="1" applyAlignment="1">
      <alignment horizontal="left" vertical="top" wrapText="1"/>
    </xf>
    <xf numFmtId="166" fontId="26" fillId="7" borderId="7" xfId="0" applyNumberFormat="1" applyFont="1" applyFill="1" applyBorder="1" applyAlignment="1">
      <alignment horizontal="left" vertical="top" wrapText="1"/>
    </xf>
    <xf numFmtId="166" fontId="6" fillId="7" borderId="25" xfId="0" applyNumberFormat="1" applyFont="1" applyFill="1" applyBorder="1" applyAlignment="1">
      <alignment horizontal="center" vertical="center" textRotation="90" wrapText="1"/>
    </xf>
    <xf numFmtId="0" fontId="0" fillId="7" borderId="28" xfId="0" applyFill="1" applyBorder="1" applyAlignment="1">
      <alignment horizontal="center" vertical="center" textRotation="90" wrapText="1"/>
    </xf>
    <xf numFmtId="166" fontId="8" fillId="7" borderId="97" xfId="0" applyNumberFormat="1" applyFont="1" applyFill="1" applyBorder="1" applyAlignment="1">
      <alignment horizontal="left" vertical="top" wrapText="1"/>
    </xf>
    <xf numFmtId="0" fontId="8" fillId="0" borderId="11" xfId="0" applyFont="1" applyBorder="1" applyAlignment="1">
      <alignment horizontal="center" vertical="top" wrapText="1"/>
    </xf>
    <xf numFmtId="166" fontId="8" fillId="7" borderId="48" xfId="0" applyNumberFormat="1" applyFont="1" applyFill="1" applyBorder="1" applyAlignment="1">
      <alignment horizontal="left" vertical="top" wrapText="1"/>
    </xf>
    <xf numFmtId="3" fontId="2" fillId="7" borderId="20" xfId="0" applyNumberFormat="1" applyFont="1" applyFill="1" applyBorder="1" applyAlignment="1">
      <alignment horizontal="center" vertical="top" wrapText="1"/>
    </xf>
    <xf numFmtId="3" fontId="2" fillId="7" borderId="11" xfId="0" applyNumberFormat="1" applyFont="1" applyFill="1" applyBorder="1" applyAlignment="1">
      <alignment horizontal="center" vertical="top" wrapText="1"/>
    </xf>
    <xf numFmtId="49" fontId="2" fillId="7" borderId="7" xfId="0" applyNumberFormat="1" applyFont="1" applyFill="1" applyBorder="1" applyAlignment="1">
      <alignment horizontal="left" vertical="top" wrapText="1"/>
    </xf>
    <xf numFmtId="0" fontId="8" fillId="7" borderId="7" xfId="0" applyFont="1" applyFill="1" applyBorder="1" applyAlignment="1">
      <alignment horizontal="left" vertical="top" wrapText="1"/>
    </xf>
    <xf numFmtId="166" fontId="8" fillId="7" borderId="35" xfId="0" applyNumberFormat="1" applyFont="1" applyFill="1" applyBorder="1" applyAlignment="1">
      <alignment horizontal="left" vertical="top" wrapText="1"/>
    </xf>
    <xf numFmtId="166" fontId="3" fillId="0" borderId="20" xfId="0" applyNumberFormat="1" applyFont="1" applyFill="1" applyBorder="1" applyAlignment="1">
      <alignment horizontal="center" vertical="top" wrapText="1"/>
    </xf>
    <xf numFmtId="49" fontId="3" fillId="0" borderId="18" xfId="0" applyNumberFormat="1" applyFont="1" applyBorder="1" applyAlignment="1">
      <alignment horizontal="center" vertical="top"/>
    </xf>
    <xf numFmtId="166" fontId="4" fillId="3" borderId="25" xfId="0" applyNumberFormat="1" applyFont="1" applyFill="1" applyBorder="1" applyAlignment="1">
      <alignment horizontal="center" vertical="center" textRotation="90" wrapText="1"/>
    </xf>
    <xf numFmtId="0" fontId="0" fillId="0" borderId="28" xfId="0" applyBorder="1" applyAlignment="1">
      <alignment horizontal="center" vertical="center" textRotation="90" wrapText="1"/>
    </xf>
    <xf numFmtId="166" fontId="3" fillId="3" borderId="11" xfId="0" applyNumberFormat="1" applyFont="1" applyFill="1" applyBorder="1" applyAlignment="1">
      <alignment horizontal="center" vertical="top" wrapText="1"/>
    </xf>
    <xf numFmtId="166" fontId="3" fillId="3" borderId="48" xfId="0" applyNumberFormat="1" applyFont="1" applyFill="1" applyBorder="1" applyAlignment="1">
      <alignment horizontal="center" vertical="top"/>
    </xf>
    <xf numFmtId="0" fontId="8" fillId="0" borderId="7" xfId="0" applyFont="1" applyBorder="1" applyAlignment="1">
      <alignment horizontal="left" vertical="top" wrapText="1"/>
    </xf>
    <xf numFmtId="166" fontId="3" fillId="7" borderId="20"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0" fontId="8" fillId="7" borderId="11" xfId="0" applyFont="1" applyFill="1" applyBorder="1" applyAlignment="1">
      <alignment horizontal="left" vertical="top" wrapText="1"/>
    </xf>
    <xf numFmtId="166" fontId="3" fillId="3" borderId="21" xfId="0" applyNumberFormat="1" applyFont="1" applyFill="1" applyBorder="1" applyAlignment="1">
      <alignment horizontal="center" vertical="top"/>
    </xf>
    <xf numFmtId="166" fontId="3" fillId="3" borderId="18" xfId="0" applyNumberFormat="1" applyFont="1" applyFill="1" applyBorder="1" applyAlignment="1">
      <alignment horizontal="center" vertical="top"/>
    </xf>
    <xf numFmtId="166" fontId="3" fillId="3" borderId="27" xfId="0" applyNumberFormat="1" applyFont="1" applyFill="1" applyBorder="1" applyAlignment="1">
      <alignment horizontal="center" vertical="top"/>
    </xf>
    <xf numFmtId="166" fontId="7" fillId="3" borderId="25" xfId="0" applyNumberFormat="1" applyFont="1" applyFill="1" applyBorder="1" applyAlignment="1">
      <alignment horizontal="left" vertical="top" wrapText="1"/>
    </xf>
    <xf numFmtId="0" fontId="0" fillId="0" borderId="11" xfId="0" applyBorder="1" applyAlignment="1">
      <alignment horizontal="left" vertical="top" wrapText="1"/>
    </xf>
    <xf numFmtId="166" fontId="3" fillId="3" borderId="25" xfId="0" applyNumberFormat="1" applyFont="1" applyFill="1" applyBorder="1" applyAlignment="1">
      <alignment horizontal="center" vertical="center" textRotation="90" wrapText="1"/>
    </xf>
    <xf numFmtId="0" fontId="8" fillId="0" borderId="11" xfId="0" applyFont="1" applyBorder="1" applyAlignment="1">
      <alignment horizontal="center" vertical="center" textRotation="90" wrapText="1"/>
    </xf>
    <xf numFmtId="0" fontId="8" fillId="0" borderId="28" xfId="0" applyFont="1" applyBorder="1" applyAlignment="1">
      <alignment horizontal="center" vertical="center" textRotation="90" wrapText="1"/>
    </xf>
    <xf numFmtId="0" fontId="2" fillId="7" borderId="36" xfId="0" applyFont="1" applyFill="1" applyBorder="1" applyAlignment="1">
      <alignment vertical="top" wrapText="1"/>
    </xf>
    <xf numFmtId="0" fontId="0" fillId="7" borderId="11" xfId="0" applyFill="1" applyBorder="1" applyAlignment="1">
      <alignment horizontal="left" vertical="top" wrapText="1"/>
    </xf>
    <xf numFmtId="166" fontId="3" fillId="3" borderId="28" xfId="0" applyNumberFormat="1" applyFont="1" applyFill="1" applyBorder="1" applyAlignment="1">
      <alignment horizontal="center" vertical="top" wrapText="1"/>
    </xf>
    <xf numFmtId="166" fontId="7" fillId="7" borderId="25" xfId="0" applyNumberFormat="1" applyFont="1" applyFill="1" applyBorder="1" applyAlignment="1">
      <alignment horizontal="left" vertical="top" wrapText="1"/>
    </xf>
    <xf numFmtId="166" fontId="4" fillId="7" borderId="25" xfId="0" applyNumberFormat="1" applyFont="1" applyFill="1" applyBorder="1" applyAlignment="1">
      <alignment horizontal="center" vertical="center" textRotation="90" wrapText="1"/>
    </xf>
    <xf numFmtId="166" fontId="3" fillId="7" borderId="18" xfId="0" applyNumberFormat="1" applyFont="1" applyFill="1" applyBorder="1" applyAlignment="1">
      <alignment horizontal="center" vertical="top"/>
    </xf>
    <xf numFmtId="0" fontId="2" fillId="7" borderId="36" xfId="0" applyFont="1" applyFill="1" applyBorder="1" applyAlignment="1">
      <alignment horizontal="left" vertical="top" wrapText="1"/>
    </xf>
    <xf numFmtId="166" fontId="3" fillId="7" borderId="20" xfId="0" applyNumberFormat="1" applyFont="1" applyFill="1" applyBorder="1" applyAlignment="1">
      <alignment horizontal="center" vertical="top" textRotation="90" wrapText="1"/>
    </xf>
    <xf numFmtId="0" fontId="0" fillId="7" borderId="28" xfId="0" applyFont="1" applyFill="1" applyBorder="1" applyAlignment="1">
      <alignment horizontal="center" vertical="top" textRotation="90" wrapText="1"/>
    </xf>
    <xf numFmtId="0" fontId="0" fillId="0" borderId="79" xfId="0" applyBorder="1" applyAlignment="1">
      <alignment horizontal="left" vertical="top" wrapText="1"/>
    </xf>
    <xf numFmtId="166" fontId="3" fillId="9" borderId="34" xfId="0" applyNumberFormat="1" applyFont="1" applyFill="1" applyBorder="1" applyAlignment="1">
      <alignment horizontal="center" vertical="top"/>
    </xf>
    <xf numFmtId="166" fontId="4" fillId="0" borderId="25" xfId="0" applyNumberFormat="1" applyFont="1" applyFill="1" applyBorder="1" applyAlignment="1">
      <alignment horizontal="center" vertical="center" textRotation="90" wrapText="1" shrinkToFit="1"/>
    </xf>
    <xf numFmtId="0" fontId="0" fillId="0" borderId="11" xfId="0" applyBorder="1" applyAlignment="1">
      <alignment horizontal="center" vertical="center" textRotation="90" wrapText="1" shrinkToFit="1"/>
    </xf>
    <xf numFmtId="0" fontId="0" fillId="0" borderId="28" xfId="0" applyBorder="1" applyAlignment="1">
      <alignment horizontal="center" vertical="center" textRotation="90" wrapText="1" shrinkToFit="1"/>
    </xf>
    <xf numFmtId="0" fontId="0" fillId="0" borderId="28" xfId="0" applyBorder="1" applyAlignment="1">
      <alignment horizontal="left" vertical="top" wrapText="1"/>
    </xf>
    <xf numFmtId="0" fontId="8" fillId="0" borderId="79" xfId="0" applyFont="1" applyBorder="1" applyAlignment="1">
      <alignment vertical="top" wrapText="1"/>
    </xf>
    <xf numFmtId="166" fontId="6" fillId="7" borderId="20" xfId="0" applyNumberFormat="1" applyFont="1" applyFill="1" applyBorder="1" applyAlignment="1">
      <alignment horizontal="center" vertical="center" textRotation="90" wrapText="1"/>
    </xf>
    <xf numFmtId="0" fontId="0" fillId="0" borderId="11" xfId="0" applyBorder="1" applyAlignment="1">
      <alignment textRotation="90" wrapText="1"/>
    </xf>
    <xf numFmtId="166" fontId="3" fillId="7" borderId="20" xfId="0" applyNumberFormat="1" applyFont="1" applyFill="1" applyBorder="1" applyAlignment="1">
      <alignment horizontal="center" vertical="center" textRotation="90" wrapText="1"/>
    </xf>
    <xf numFmtId="166" fontId="3" fillId="7" borderId="11" xfId="0" applyNumberFormat="1" applyFont="1" applyFill="1" applyBorder="1" applyAlignment="1">
      <alignment horizontal="center" vertical="center" textRotation="90" wrapText="1"/>
    </xf>
    <xf numFmtId="0" fontId="2" fillId="7" borderId="11" xfId="0" applyFont="1" applyFill="1" applyBorder="1" applyAlignment="1">
      <alignment horizontal="left" vertical="top" wrapText="1"/>
    </xf>
    <xf numFmtId="0" fontId="2" fillId="0" borderId="0" xfId="0" applyFont="1" applyAlignment="1">
      <alignment horizontal="center" vertical="center"/>
    </xf>
    <xf numFmtId="166" fontId="7" fillId="3" borderId="11" xfId="0" applyNumberFormat="1" applyFont="1" applyFill="1" applyBorder="1" applyAlignment="1">
      <alignment horizontal="left" vertical="top" wrapText="1"/>
    </xf>
    <xf numFmtId="166" fontId="7" fillId="3" borderId="28" xfId="0" applyNumberFormat="1" applyFont="1" applyFill="1" applyBorder="1" applyAlignment="1">
      <alignment horizontal="left" vertical="top" wrapText="1"/>
    </xf>
    <xf numFmtId="166" fontId="3" fillId="7" borderId="25" xfId="0" applyNumberFormat="1" applyFont="1" applyFill="1" applyBorder="1" applyAlignment="1">
      <alignment horizontal="left" vertical="top" wrapText="1"/>
    </xf>
    <xf numFmtId="166" fontId="3" fillId="7" borderId="11" xfId="0" applyNumberFormat="1" applyFont="1" applyFill="1" applyBorder="1" applyAlignment="1">
      <alignment horizontal="left" vertical="top" wrapText="1"/>
    </xf>
    <xf numFmtId="166" fontId="3" fillId="7" borderId="28" xfId="0" applyNumberFormat="1" applyFont="1" applyFill="1" applyBorder="1" applyAlignment="1">
      <alignment horizontal="left" vertical="top" wrapText="1"/>
    </xf>
    <xf numFmtId="0" fontId="2" fillId="0" borderId="39"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66" xfId="0" applyFont="1" applyBorder="1" applyAlignment="1">
      <alignment horizontal="center" vertical="center" textRotation="90" wrapText="1"/>
    </xf>
    <xf numFmtId="0" fontId="3" fillId="0" borderId="68" xfId="0" applyFont="1" applyBorder="1" applyAlignment="1">
      <alignment horizontal="center" vertical="center"/>
    </xf>
    <xf numFmtId="0" fontId="3" fillId="0" borderId="73" xfId="0" applyFont="1" applyBorder="1" applyAlignment="1">
      <alignment horizontal="center" vertical="center"/>
    </xf>
    <xf numFmtId="0" fontId="3" fillId="0" borderId="69" xfId="0" applyFont="1" applyBorder="1" applyAlignment="1">
      <alignment horizontal="center" vertical="center"/>
    </xf>
    <xf numFmtId="0" fontId="2" fillId="0" borderId="3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2" xfId="0" applyFont="1" applyBorder="1" applyAlignment="1">
      <alignment horizontal="center" vertical="center"/>
    </xf>
    <xf numFmtId="0" fontId="2" fillId="0" borderId="42" xfId="0" applyFont="1" applyBorder="1" applyAlignment="1">
      <alignment horizontal="center" vertical="center"/>
    </xf>
    <xf numFmtId="49" fontId="5" fillId="6" borderId="68" xfId="0" applyNumberFormat="1" applyFont="1" applyFill="1" applyBorder="1" applyAlignment="1">
      <alignment horizontal="left" vertical="top" wrapText="1"/>
    </xf>
    <xf numFmtId="49" fontId="5" fillId="6" borderId="73" xfId="0" applyNumberFormat="1" applyFont="1" applyFill="1" applyBorder="1" applyAlignment="1">
      <alignment horizontal="left" vertical="top" wrapText="1"/>
    </xf>
    <xf numFmtId="49" fontId="5" fillId="6" borderId="69" xfId="0" applyNumberFormat="1" applyFont="1" applyFill="1" applyBorder="1" applyAlignment="1">
      <alignment horizontal="left" vertical="top" wrapText="1"/>
    </xf>
    <xf numFmtId="3" fontId="2" fillId="0" borderId="41" xfId="0" applyNumberFormat="1" applyFont="1" applyBorder="1" applyAlignment="1">
      <alignment horizontal="center" vertical="center" textRotation="90" shrinkToFit="1"/>
    </xf>
    <xf numFmtId="3" fontId="2" fillId="0" borderId="48" xfId="0" applyNumberFormat="1" applyFont="1" applyBorder="1" applyAlignment="1">
      <alignment horizontal="center" vertical="center" textRotation="90" shrinkToFit="1"/>
    </xf>
    <xf numFmtId="3" fontId="2" fillId="0" borderId="56" xfId="0" applyNumberFormat="1" applyFont="1" applyBorder="1" applyAlignment="1">
      <alignment horizontal="center" vertical="center" textRotation="90" shrinkToFit="1"/>
    </xf>
    <xf numFmtId="3" fontId="2" fillId="0" borderId="41" xfId="0" applyNumberFormat="1" applyFont="1" applyBorder="1" applyAlignment="1">
      <alignment horizontal="center" vertical="center" textRotation="90" wrapText="1"/>
    </xf>
    <xf numFmtId="3" fontId="2" fillId="0" borderId="48" xfId="0" applyNumberFormat="1" applyFont="1" applyBorder="1" applyAlignment="1">
      <alignment horizontal="center" vertical="center" textRotation="90" wrapText="1"/>
    </xf>
    <xf numFmtId="3" fontId="2" fillId="0" borderId="56" xfId="0" applyNumberFormat="1" applyFont="1" applyBorder="1" applyAlignment="1">
      <alignment horizontal="center" vertical="center" textRotation="90" wrapText="1"/>
    </xf>
    <xf numFmtId="3" fontId="2" fillId="0" borderId="39" xfId="0" applyNumberFormat="1" applyFont="1" applyBorder="1" applyAlignment="1">
      <alignment horizontal="center" vertical="center" textRotation="90" wrapText="1" shrinkToFit="1"/>
    </xf>
    <xf numFmtId="3" fontId="2" fillId="0" borderId="6" xfId="0" applyNumberFormat="1" applyFont="1" applyBorder="1" applyAlignment="1">
      <alignment horizontal="center" vertical="center" textRotation="90" wrapText="1" shrinkToFit="1"/>
    </xf>
    <xf numFmtId="3" fontId="2" fillId="0" borderId="66" xfId="0" applyNumberFormat="1" applyFont="1" applyBorder="1" applyAlignment="1">
      <alignment horizontal="center" vertical="center" textRotation="90" wrapText="1" shrinkToFit="1"/>
    </xf>
    <xf numFmtId="3" fontId="2" fillId="0" borderId="5" xfId="0" applyNumberFormat="1" applyFont="1" applyBorder="1" applyAlignment="1">
      <alignment horizontal="center" vertical="center" textRotation="90" shrinkToFit="1"/>
    </xf>
    <xf numFmtId="3" fontId="2" fillId="0" borderId="7" xfId="0" applyNumberFormat="1" applyFont="1" applyBorder="1" applyAlignment="1">
      <alignment horizontal="center" vertical="center" textRotation="90" shrinkToFit="1"/>
    </xf>
    <xf numFmtId="3" fontId="2" fillId="0" borderId="9" xfId="0" applyNumberFormat="1" applyFont="1" applyBorder="1" applyAlignment="1">
      <alignment horizontal="center" vertical="center" textRotation="90" shrinkToFit="1"/>
    </xf>
    <xf numFmtId="3" fontId="2" fillId="0" borderId="25" xfId="0" applyNumberFormat="1" applyFont="1" applyBorder="1" applyAlignment="1">
      <alignment horizontal="center" vertical="center" textRotation="90" shrinkToFit="1"/>
    </xf>
    <xf numFmtId="3" fontId="2" fillId="0" borderId="11" xfId="0" applyNumberFormat="1" applyFont="1" applyBorder="1" applyAlignment="1">
      <alignment horizontal="center" vertical="center" textRotation="90" shrinkToFit="1"/>
    </xf>
    <xf numFmtId="3" fontId="2" fillId="0" borderId="30" xfId="0" applyNumberFormat="1" applyFont="1" applyBorder="1" applyAlignment="1">
      <alignment horizontal="center" vertical="center" textRotation="90" shrinkToFit="1"/>
    </xf>
    <xf numFmtId="3" fontId="2" fillId="0" borderId="41"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56" xfId="0" applyNumberFormat="1" applyFont="1" applyBorder="1" applyAlignment="1">
      <alignment horizontal="center" vertical="center" shrinkToFit="1"/>
    </xf>
    <xf numFmtId="0" fontId="5" fillId="5" borderId="67"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42" xfId="0" applyFont="1" applyFill="1" applyBorder="1" applyAlignment="1">
      <alignment horizontal="left" vertical="top" wrapText="1"/>
    </xf>
    <xf numFmtId="0" fontId="3" fillId="9" borderId="37" xfId="0" applyFont="1" applyFill="1" applyBorder="1" applyAlignment="1">
      <alignment horizontal="left" vertical="top"/>
    </xf>
    <xf numFmtId="0" fontId="3" fillId="9" borderId="62" xfId="0" applyFont="1" applyFill="1" applyBorder="1" applyAlignment="1">
      <alignment horizontal="left" vertical="top"/>
    </xf>
    <xf numFmtId="0" fontId="3" fillId="9" borderId="42" xfId="0" applyFont="1" applyFill="1" applyBorder="1" applyAlignment="1">
      <alignment horizontal="left" vertical="top"/>
    </xf>
    <xf numFmtId="0" fontId="3" fillId="2" borderId="37" xfId="0" applyFont="1" applyFill="1" applyBorder="1" applyAlignment="1">
      <alignment horizontal="left" vertical="top" wrapText="1"/>
    </xf>
    <xf numFmtId="0" fontId="3" fillId="2" borderId="62" xfId="0" applyFont="1" applyFill="1" applyBorder="1" applyAlignment="1">
      <alignment horizontal="left" vertical="top" wrapText="1"/>
    </xf>
    <xf numFmtId="0" fontId="3" fillId="2" borderId="42" xfId="0" applyFont="1" applyFill="1" applyBorder="1" applyAlignment="1">
      <alignment horizontal="left" vertical="top" wrapText="1"/>
    </xf>
    <xf numFmtId="166" fontId="2" fillId="0" borderId="44" xfId="0" applyNumberFormat="1" applyFont="1" applyBorder="1" applyAlignment="1">
      <alignment horizontal="center" vertical="center" textRotation="90" wrapText="1"/>
    </xf>
    <xf numFmtId="0" fontId="8" fillId="0" borderId="34" xfId="0" applyFont="1" applyBorder="1" applyAlignment="1">
      <alignment horizontal="center" vertical="center" textRotation="90" wrapText="1"/>
    </xf>
    <xf numFmtId="0" fontId="8" fillId="0" borderId="72" xfId="0" applyFont="1" applyBorder="1" applyAlignment="1">
      <alignment horizontal="center" vertical="center" textRotation="90" wrapText="1"/>
    </xf>
    <xf numFmtId="0" fontId="2" fillId="7" borderId="25" xfId="0" applyFont="1" applyFill="1" applyBorder="1" applyAlignment="1">
      <alignment horizontal="center" vertical="center" textRotation="90" wrapText="1" shrinkToFit="1"/>
    </xf>
    <xf numFmtId="0" fontId="2" fillId="7" borderId="11" xfId="0" applyFont="1" applyFill="1" applyBorder="1" applyAlignment="1">
      <alignment horizontal="center" vertical="center" textRotation="90" wrapText="1" shrinkToFit="1"/>
    </xf>
    <xf numFmtId="0" fontId="2" fillId="7" borderId="30" xfId="0" applyFont="1" applyFill="1" applyBorder="1" applyAlignment="1">
      <alignment horizontal="center" vertical="center" textRotation="90" wrapText="1" shrinkToFit="1"/>
    </xf>
    <xf numFmtId="0" fontId="0" fillId="7" borderId="79" xfId="0" applyFill="1" applyBorder="1" applyAlignment="1">
      <alignment vertical="top" wrapText="1"/>
    </xf>
    <xf numFmtId="3" fontId="2" fillId="0" borderId="18" xfId="0" applyNumberFormat="1" applyFont="1" applyFill="1" applyBorder="1" applyAlignment="1">
      <alignment horizontal="center" vertical="top"/>
    </xf>
    <xf numFmtId="0" fontId="3" fillId="0" borderId="50" xfId="0" applyFont="1" applyBorder="1" applyAlignment="1">
      <alignment horizontal="center" vertical="center" textRotation="90" shrinkToFit="1"/>
    </xf>
    <xf numFmtId="0" fontId="3" fillId="0" borderId="43" xfId="0" applyFont="1" applyBorder="1" applyAlignment="1">
      <alignment horizontal="center" vertical="center" textRotation="90" shrinkToFit="1"/>
    </xf>
    <xf numFmtId="0" fontId="3" fillId="0" borderId="33" xfId="0" applyFont="1" applyBorder="1" applyAlignment="1">
      <alignment horizontal="center" vertical="center" textRotation="90" shrinkToFit="1"/>
    </xf>
    <xf numFmtId="166" fontId="2" fillId="7" borderId="18" xfId="0" applyNumberFormat="1" applyFont="1" applyFill="1" applyBorder="1" applyAlignment="1">
      <alignment horizontal="center" vertical="top" wrapText="1"/>
    </xf>
    <xf numFmtId="166" fontId="8" fillId="7" borderId="18" xfId="0" applyNumberFormat="1" applyFont="1" applyFill="1" applyBorder="1" applyAlignment="1">
      <alignment horizontal="center" vertical="top" wrapText="1"/>
    </xf>
    <xf numFmtId="3" fontId="2" fillId="7" borderId="46" xfId="0" applyNumberFormat="1" applyFont="1" applyFill="1" applyBorder="1" applyAlignment="1">
      <alignment horizontal="center" vertical="top"/>
    </xf>
    <xf numFmtId="3" fontId="2" fillId="7" borderId="48" xfId="0" applyNumberFormat="1" applyFont="1" applyFill="1" applyBorder="1" applyAlignment="1">
      <alignment horizontal="center" vertical="top"/>
    </xf>
    <xf numFmtId="166" fontId="14" fillId="7" borderId="11" xfId="0" applyNumberFormat="1" applyFont="1" applyFill="1" applyBorder="1" applyAlignment="1">
      <alignment horizontal="center" vertical="center" textRotation="90" wrapText="1"/>
    </xf>
    <xf numFmtId="166" fontId="2" fillId="7" borderId="102" xfId="0" applyNumberFormat="1" applyFont="1" applyFill="1" applyBorder="1" applyAlignment="1">
      <alignment vertical="top" wrapText="1"/>
    </xf>
    <xf numFmtId="0" fontId="0" fillId="7" borderId="79" xfId="0" applyFill="1" applyBorder="1" applyAlignment="1">
      <alignment vertical="top"/>
    </xf>
    <xf numFmtId="49" fontId="3" fillId="7" borderId="20" xfId="0" applyNumberFormat="1" applyFont="1" applyFill="1" applyBorder="1" applyAlignment="1">
      <alignment horizontal="center" vertical="top"/>
    </xf>
    <xf numFmtId="49" fontId="3" fillId="7" borderId="28" xfId="0" applyNumberFormat="1" applyFont="1" applyFill="1" applyBorder="1" applyAlignment="1">
      <alignment horizontal="center" vertical="top"/>
    </xf>
    <xf numFmtId="166" fontId="3" fillId="0" borderId="28" xfId="0" applyNumberFormat="1" applyFont="1" applyFill="1" applyBorder="1" applyAlignment="1">
      <alignment horizontal="center" vertical="top" wrapText="1"/>
    </xf>
    <xf numFmtId="49" fontId="3" fillId="0" borderId="48" xfId="0" applyNumberFormat="1" applyFont="1" applyBorder="1" applyAlignment="1">
      <alignment horizontal="center" vertical="top"/>
    </xf>
    <xf numFmtId="49" fontId="3" fillId="0" borderId="35" xfId="0" applyNumberFormat="1" applyFont="1" applyBorder="1" applyAlignment="1">
      <alignment horizontal="center" vertical="top"/>
    </xf>
    <xf numFmtId="166" fontId="2" fillId="7" borderId="27" xfId="0" applyNumberFormat="1" applyFont="1" applyFill="1" applyBorder="1" applyAlignment="1">
      <alignment horizontal="center" vertical="top" wrapText="1"/>
    </xf>
    <xf numFmtId="0" fontId="8" fillId="7" borderId="29" xfId="0" applyFont="1" applyFill="1" applyBorder="1" applyAlignment="1">
      <alignment horizontal="left" vertical="top" wrapText="1"/>
    </xf>
    <xf numFmtId="0" fontId="2" fillId="7" borderId="7" xfId="0" applyFont="1" applyFill="1" applyBorder="1" applyAlignment="1">
      <alignment vertical="top" wrapText="1"/>
    </xf>
    <xf numFmtId="166" fontId="3" fillId="7" borderId="35" xfId="0" applyNumberFormat="1" applyFont="1" applyFill="1" applyBorder="1" applyAlignment="1">
      <alignment horizontal="center" vertical="top"/>
    </xf>
    <xf numFmtId="0" fontId="2" fillId="0" borderId="21" xfId="0" applyFont="1" applyBorder="1" applyAlignment="1">
      <alignment horizontal="center" vertical="top" wrapText="1"/>
    </xf>
    <xf numFmtId="0" fontId="0" fillId="0" borderId="18" xfId="0" applyBorder="1" applyAlignment="1">
      <alignment horizontal="center" vertical="top" wrapText="1"/>
    </xf>
    <xf numFmtId="166" fontId="2" fillId="7" borderId="21"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166" fontId="2" fillId="7" borderId="18" xfId="0" applyNumberFormat="1" applyFont="1" applyFill="1" applyBorder="1" applyAlignment="1">
      <alignment horizontal="center" vertical="center" wrapText="1"/>
    </xf>
    <xf numFmtId="166" fontId="8" fillId="7" borderId="18" xfId="0" applyNumberFormat="1" applyFont="1" applyFill="1" applyBorder="1" applyAlignment="1">
      <alignment horizontal="center" vertical="center" wrapText="1"/>
    </xf>
    <xf numFmtId="166" fontId="2" fillId="7" borderId="26" xfId="0" applyNumberFormat="1" applyFont="1" applyFill="1" applyBorder="1" applyAlignment="1">
      <alignment horizontal="center" vertical="top" wrapText="1"/>
    </xf>
    <xf numFmtId="0" fontId="0" fillId="0" borderId="31" xfId="0" applyFont="1" applyBorder="1" applyAlignment="1">
      <alignment horizontal="center" vertical="top"/>
    </xf>
    <xf numFmtId="166" fontId="3" fillId="8" borderId="11" xfId="0" applyNumberFormat="1" applyFont="1" applyFill="1" applyBorder="1" applyAlignment="1">
      <alignment horizontal="center" vertical="top"/>
    </xf>
    <xf numFmtId="166" fontId="18" fillId="7" borderId="46" xfId="0" applyNumberFormat="1" applyFont="1" applyFill="1" applyBorder="1" applyAlignment="1">
      <alignment horizontal="left" vertical="top" wrapText="1"/>
    </xf>
    <xf numFmtId="166" fontId="18" fillId="7" borderId="48" xfId="0" applyNumberFormat="1" applyFont="1" applyFill="1" applyBorder="1" applyAlignment="1">
      <alignment horizontal="left" vertical="top" wrapText="1"/>
    </xf>
    <xf numFmtId="166" fontId="35" fillId="0" borderId="35" xfId="0" applyNumberFormat="1" applyFont="1" applyBorder="1" applyAlignment="1">
      <alignment horizontal="left" vertical="top" wrapText="1"/>
    </xf>
    <xf numFmtId="0" fontId="18" fillId="7" borderId="7" xfId="0" applyFont="1" applyFill="1" applyBorder="1" applyAlignment="1">
      <alignment vertical="top" wrapText="1"/>
    </xf>
    <xf numFmtId="0" fontId="18" fillId="7" borderId="29" xfId="0" applyFont="1" applyFill="1" applyBorder="1" applyAlignment="1">
      <alignment vertical="top" wrapText="1"/>
    </xf>
    <xf numFmtId="166" fontId="2" fillId="0" borderId="26" xfId="0" applyNumberFormat="1" applyFont="1" applyBorder="1" applyAlignment="1">
      <alignment horizontal="center" vertical="top" wrapText="1"/>
    </xf>
    <xf numFmtId="166" fontId="2" fillId="0" borderId="18" xfId="0" applyNumberFormat="1" applyFont="1" applyBorder="1" applyAlignment="1">
      <alignment horizontal="center" vertical="top" wrapText="1"/>
    </xf>
    <xf numFmtId="166" fontId="2" fillId="7" borderId="25" xfId="0" applyNumberFormat="1" applyFont="1" applyFill="1" applyBorder="1" applyAlignment="1">
      <alignment horizontal="left" vertical="top" wrapText="1"/>
    </xf>
    <xf numFmtId="0" fontId="0" fillId="7" borderId="29" xfId="0" applyFill="1" applyBorder="1" applyAlignment="1">
      <alignment vertical="top"/>
    </xf>
    <xf numFmtId="3" fontId="2" fillId="0" borderId="51" xfId="0" applyNumberFormat="1" applyFont="1" applyFill="1" applyBorder="1" applyAlignment="1">
      <alignment horizontal="left" vertical="top" wrapText="1"/>
    </xf>
    <xf numFmtId="0" fontId="0" fillId="0" borderId="51" xfId="0" applyFill="1" applyBorder="1" applyAlignment="1">
      <alignment horizontal="left" vertical="top" wrapText="1"/>
    </xf>
    <xf numFmtId="49" fontId="3" fillId="8" borderId="11" xfId="0" applyNumberFormat="1" applyFont="1" applyFill="1" applyBorder="1" applyAlignment="1">
      <alignment horizontal="center" vertical="top"/>
    </xf>
    <xf numFmtId="166" fontId="3" fillId="7" borderId="20" xfId="0" applyNumberFormat="1" applyFont="1" applyFill="1" applyBorder="1" applyAlignment="1">
      <alignment horizontal="center" vertical="center" textRotation="90"/>
    </xf>
    <xf numFmtId="49" fontId="3" fillId="0" borderId="20"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28" xfId="0" applyNumberFormat="1" applyFont="1" applyBorder="1" applyAlignment="1">
      <alignment horizontal="center" vertical="top"/>
    </xf>
    <xf numFmtId="3" fontId="2" fillId="7" borderId="28" xfId="0" applyNumberFormat="1" applyFont="1" applyFill="1" applyBorder="1" applyAlignment="1">
      <alignment horizontal="center" vertical="top" wrapText="1"/>
    </xf>
    <xf numFmtId="0" fontId="0" fillId="0" borderId="28" xfId="0" applyBorder="1" applyAlignment="1">
      <alignment textRotation="90" wrapText="1"/>
    </xf>
    <xf numFmtId="0" fontId="0" fillId="7" borderId="7" xfId="0" applyFill="1" applyBorder="1" applyAlignment="1">
      <alignment horizontal="left" vertical="top" wrapText="1"/>
    </xf>
    <xf numFmtId="0" fontId="2" fillId="0" borderId="0" xfId="0" applyFont="1" applyAlignment="1">
      <alignment horizontal="right" wrapText="1"/>
    </xf>
    <xf numFmtId="0" fontId="8" fillId="0" borderId="0" xfId="0" applyFont="1" applyAlignment="1">
      <alignment horizontal="right"/>
    </xf>
    <xf numFmtId="3" fontId="2" fillId="0" borderId="26" xfId="0" applyNumberFormat="1" applyFont="1" applyFill="1" applyBorder="1" applyAlignment="1">
      <alignment horizontal="center" vertical="center" textRotation="90" wrapText="1" shrinkToFit="1"/>
    </xf>
    <xf numFmtId="3" fontId="2" fillId="0" borderId="18" xfId="0" applyNumberFormat="1" applyFont="1" applyFill="1" applyBorder="1" applyAlignment="1">
      <alignment horizontal="center" vertical="center" textRotation="90" wrapText="1" shrinkToFit="1"/>
    </xf>
    <xf numFmtId="3" fontId="2" fillId="0" borderId="31" xfId="0" applyNumberFormat="1" applyFont="1" applyFill="1" applyBorder="1" applyAlignment="1">
      <alignment horizontal="center" vertical="center" textRotation="90" wrapText="1" shrinkToFit="1"/>
    </xf>
    <xf numFmtId="49" fontId="3" fillId="7" borderId="46" xfId="0" applyNumberFormat="1" applyFont="1" applyFill="1" applyBorder="1" applyAlignment="1">
      <alignment horizontal="center" vertical="top"/>
    </xf>
    <xf numFmtId="166" fontId="2" fillId="3" borderId="20" xfId="0" applyNumberFormat="1" applyFont="1" applyFill="1" applyBorder="1" applyAlignment="1">
      <alignment vertical="top" wrapText="1"/>
    </xf>
    <xf numFmtId="166" fontId="2" fillId="3" borderId="11" xfId="0" applyNumberFormat="1" applyFont="1" applyFill="1" applyBorder="1" applyAlignment="1">
      <alignment vertical="top" wrapText="1"/>
    </xf>
    <xf numFmtId="1" fontId="2" fillId="7" borderId="18" xfId="0" applyNumberFormat="1" applyFont="1" applyFill="1" applyBorder="1" applyAlignment="1">
      <alignment horizontal="center" vertical="top"/>
    </xf>
    <xf numFmtId="0" fontId="0" fillId="0" borderId="27" xfId="0" applyBorder="1" applyAlignment="1">
      <alignment vertical="top"/>
    </xf>
    <xf numFmtId="1" fontId="2" fillId="7" borderId="48" xfId="0" applyNumberFormat="1" applyFont="1" applyFill="1" applyBorder="1" applyAlignment="1">
      <alignment horizontal="center" vertical="top"/>
    </xf>
    <xf numFmtId="0" fontId="0" fillId="0" borderId="35" xfId="0" applyBorder="1" applyAlignment="1">
      <alignment vertical="top"/>
    </xf>
    <xf numFmtId="1" fontId="2" fillId="7" borderId="11" xfId="0" applyNumberFormat="1" applyFont="1" applyFill="1" applyBorder="1" applyAlignment="1">
      <alignment horizontal="center" vertical="top"/>
    </xf>
    <xf numFmtId="0" fontId="0" fillId="0" borderId="28" xfId="0" applyBorder="1" applyAlignment="1">
      <alignment vertical="top"/>
    </xf>
    <xf numFmtId="1" fontId="2" fillId="0" borderId="11" xfId="0" applyNumberFormat="1" applyFont="1" applyFill="1" applyBorder="1" applyAlignment="1">
      <alignment horizontal="center" vertical="top"/>
    </xf>
    <xf numFmtId="166" fontId="2" fillId="7" borderId="45" xfId="0" applyNumberFormat="1" applyFont="1" applyFill="1" applyBorder="1" applyAlignment="1">
      <alignment horizontal="left" vertical="top" wrapText="1"/>
    </xf>
    <xf numFmtId="166" fontId="2" fillId="7" borderId="19" xfId="0" applyNumberFormat="1" applyFont="1" applyFill="1" applyBorder="1" applyAlignment="1">
      <alignment horizontal="left" vertical="top" wrapText="1"/>
    </xf>
    <xf numFmtId="166" fontId="2" fillId="7" borderId="28" xfId="0" applyNumberFormat="1" applyFont="1" applyFill="1" applyBorder="1" applyAlignment="1">
      <alignment horizontal="center" vertical="center" textRotation="90" wrapText="1"/>
    </xf>
    <xf numFmtId="166" fontId="8" fillId="7" borderId="35" xfId="0" applyNumberFormat="1" applyFont="1" applyFill="1" applyBorder="1" applyAlignment="1">
      <alignment vertical="top" wrapText="1"/>
    </xf>
    <xf numFmtId="166" fontId="18" fillId="7" borderId="18" xfId="0" applyNumberFormat="1" applyFont="1" applyFill="1" applyBorder="1" applyAlignment="1">
      <alignment horizontal="center" vertical="center" wrapText="1"/>
    </xf>
    <xf numFmtId="0" fontId="0" fillId="7" borderId="28" xfId="0" applyFill="1" applyBorder="1" applyAlignment="1">
      <alignment vertical="top" wrapText="1"/>
    </xf>
    <xf numFmtId="0" fontId="8" fillId="7" borderId="48" xfId="0" applyFont="1" applyFill="1" applyBorder="1" applyAlignment="1">
      <alignment vertical="top" wrapText="1"/>
    </xf>
    <xf numFmtId="166" fontId="2" fillId="7" borderId="35" xfId="0" applyNumberFormat="1" applyFont="1" applyFill="1" applyBorder="1" applyAlignment="1">
      <alignment vertical="top" wrapText="1"/>
    </xf>
    <xf numFmtId="3" fontId="2" fillId="7" borderId="21" xfId="0" applyNumberFormat="1" applyFont="1" applyFill="1" applyBorder="1" applyAlignment="1">
      <alignment horizontal="center" vertical="top"/>
    </xf>
    <xf numFmtId="3" fontId="2" fillId="7" borderId="18" xfId="0" applyNumberFormat="1" applyFont="1" applyFill="1" applyBorder="1" applyAlignment="1">
      <alignment horizontal="center" vertical="top"/>
    </xf>
    <xf numFmtId="166" fontId="8" fillId="7" borderId="27" xfId="0" applyNumberFormat="1" applyFont="1" applyFill="1" applyBorder="1" applyAlignment="1">
      <alignment vertical="top" wrapText="1"/>
    </xf>
    <xf numFmtId="166" fontId="8" fillId="7" borderId="29" xfId="0" applyNumberFormat="1" applyFont="1" applyFill="1" applyBorder="1" applyAlignment="1">
      <alignment vertical="top" wrapText="1"/>
    </xf>
    <xf numFmtId="166" fontId="8" fillId="7" borderId="81" xfId="0" applyNumberFormat="1" applyFont="1" applyFill="1" applyBorder="1" applyAlignment="1">
      <alignment horizontal="center" vertical="top" wrapText="1"/>
    </xf>
    <xf numFmtId="166" fontId="2" fillId="7" borderId="21" xfId="0" applyNumberFormat="1" applyFont="1" applyFill="1" applyBorder="1" applyAlignment="1">
      <alignment horizontal="center" vertical="top" wrapText="1"/>
    </xf>
    <xf numFmtId="166" fontId="3" fillId="7" borderId="25" xfId="0" applyNumberFormat="1" applyFont="1" applyFill="1" applyBorder="1" applyAlignment="1">
      <alignment horizontal="center" vertical="top"/>
    </xf>
    <xf numFmtId="166" fontId="3" fillId="7" borderId="30" xfId="0" applyNumberFormat="1" applyFont="1" applyFill="1" applyBorder="1" applyAlignment="1">
      <alignment horizontal="center" vertical="top"/>
    </xf>
    <xf numFmtId="3" fontId="2" fillId="7" borderId="46" xfId="0" applyNumberFormat="1" applyFont="1" applyFill="1" applyBorder="1" applyAlignment="1">
      <alignment horizontal="center" vertical="top" wrapText="1"/>
    </xf>
    <xf numFmtId="3" fontId="8" fillId="7" borderId="97" xfId="0" applyNumberFormat="1" applyFont="1" applyFill="1" applyBorder="1" applyAlignment="1">
      <alignment horizontal="center" vertical="top" wrapText="1"/>
    </xf>
    <xf numFmtId="166" fontId="2" fillId="7" borderId="79" xfId="0" applyNumberFormat="1" applyFont="1" applyFill="1" applyBorder="1" applyAlignment="1">
      <alignment horizontal="left" vertical="top" wrapText="1"/>
    </xf>
    <xf numFmtId="3" fontId="2" fillId="7" borderId="97" xfId="0" applyNumberFormat="1" applyFont="1" applyFill="1" applyBorder="1" applyAlignment="1">
      <alignment horizontal="center" vertical="top" wrapText="1"/>
    </xf>
    <xf numFmtId="0" fontId="8" fillId="7" borderId="79" xfId="0" applyFont="1" applyFill="1" applyBorder="1" applyAlignment="1">
      <alignment vertical="top" wrapText="1"/>
    </xf>
    <xf numFmtId="166" fontId="2" fillId="7" borderId="31" xfId="0" applyNumberFormat="1" applyFont="1" applyFill="1" applyBorder="1" applyAlignment="1">
      <alignment horizontal="center" vertical="top" wrapText="1"/>
    </xf>
    <xf numFmtId="3" fontId="2" fillId="7" borderId="20" xfId="0" applyNumberFormat="1" applyFont="1" applyFill="1" applyBorder="1" applyAlignment="1">
      <alignment horizontal="center" vertical="top"/>
    </xf>
    <xf numFmtId="3" fontId="2" fillId="7" borderId="11" xfId="0" applyNumberFormat="1" applyFont="1" applyFill="1" applyBorder="1" applyAlignment="1">
      <alignment horizontal="center" vertical="top"/>
    </xf>
    <xf numFmtId="3" fontId="2" fillId="7" borderId="21" xfId="0" applyNumberFormat="1" applyFont="1" applyFill="1" applyBorder="1" applyAlignment="1">
      <alignment horizontal="center" vertical="top" wrapText="1"/>
    </xf>
    <xf numFmtId="3" fontId="8" fillId="7" borderId="81" xfId="0" applyNumberFormat="1" applyFont="1" applyFill="1" applyBorder="1" applyAlignment="1">
      <alignment horizontal="center" vertical="top" wrapText="1"/>
    </xf>
    <xf numFmtId="0" fontId="0" fillId="0" borderId="81" xfId="0" applyBorder="1" applyAlignment="1">
      <alignment horizontal="center" vertical="top" wrapText="1"/>
    </xf>
    <xf numFmtId="0" fontId="0" fillId="0" borderId="28" xfId="0" applyBorder="1" applyAlignment="1">
      <alignment wrapText="1"/>
    </xf>
    <xf numFmtId="166" fontId="3" fillId="0" borderId="25" xfId="0" applyNumberFormat="1" applyFont="1" applyBorder="1" applyAlignment="1">
      <alignment horizontal="center" vertical="top"/>
    </xf>
    <xf numFmtId="166" fontId="3" fillId="0" borderId="11" xfId="0" applyNumberFormat="1" applyFont="1" applyBorder="1" applyAlignment="1">
      <alignment horizontal="center" vertical="top"/>
    </xf>
    <xf numFmtId="166" fontId="3" fillId="0" borderId="30" xfId="0" applyNumberFormat="1" applyFont="1" applyBorder="1" applyAlignment="1">
      <alignment horizontal="center" vertical="top"/>
    </xf>
    <xf numFmtId="166" fontId="8" fillId="7" borderId="48" xfId="0" applyNumberFormat="1" applyFont="1" applyFill="1" applyBorder="1" applyAlignment="1">
      <alignment vertical="top" wrapText="1"/>
    </xf>
  </cellXfs>
  <cellStyles count="3">
    <cellStyle name="Įprastas" xfId="0" builtinId="0"/>
    <cellStyle name="Įprastas 2" xfId="2"/>
    <cellStyle name="Kablelis" xfId="1" builtinId="3"/>
  </cellStyles>
  <dxfs count="0"/>
  <tableStyles count="0" defaultTableStyle="TableStyleMedium2" defaultPivotStyle="PivotStyleLight16"/>
  <colors>
    <mruColors>
      <color rgb="FF99FF99"/>
      <color rgb="FFFFFFCC"/>
      <color rgb="FFE9C9C7"/>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73"/>
  <sheetViews>
    <sheetView tabSelected="1" topLeftCell="A4" zoomScaleNormal="100" zoomScaleSheetLayoutView="100" workbookViewId="0">
      <selection activeCell="U16" sqref="U15:U16"/>
    </sheetView>
  </sheetViews>
  <sheetFormatPr defaultRowHeight="12.75" x14ac:dyDescent="0.2"/>
  <cols>
    <col min="1" max="3" width="2.7109375" style="2" customWidth="1"/>
    <col min="4" max="4" width="36.28515625" style="2" customWidth="1"/>
    <col min="5" max="5" width="3.28515625" style="8" customWidth="1"/>
    <col min="6" max="6" width="3" style="11" customWidth="1"/>
    <col min="7" max="7" width="7.85546875" style="3" customWidth="1"/>
    <col min="8" max="8" width="8.85546875" style="2" customWidth="1"/>
    <col min="9" max="10" width="9" style="2" customWidth="1"/>
    <col min="11" max="11" width="39.85546875" style="2" customWidth="1"/>
    <col min="12" max="14" width="4.7109375" style="2" customWidth="1"/>
    <col min="15" max="16384" width="9.140625" style="1"/>
  </cols>
  <sheetData>
    <row r="1" spans="1:53" s="150" customFormat="1" ht="34.5" customHeight="1" x14ac:dyDescent="0.25">
      <c r="B1" s="521"/>
      <c r="C1" s="521"/>
      <c r="D1" s="521"/>
      <c r="E1" s="521"/>
      <c r="K1" s="1690" t="s">
        <v>378</v>
      </c>
      <c r="L1" s="1690"/>
      <c r="M1" s="1690"/>
      <c r="N1" s="1690"/>
      <c r="P1" s="521"/>
      <c r="Q1" s="521"/>
      <c r="R1" s="521"/>
      <c r="S1" s="521"/>
      <c r="T1" s="521"/>
      <c r="U1" s="521"/>
      <c r="V1" s="521"/>
      <c r="W1" s="521"/>
      <c r="X1" s="521"/>
      <c r="Y1" s="521"/>
      <c r="Z1" s="521"/>
      <c r="AA1" s="521"/>
      <c r="AB1" s="521"/>
      <c r="AC1" s="521"/>
      <c r="AD1" s="521"/>
      <c r="AE1" s="521"/>
      <c r="AF1" s="521"/>
      <c r="AG1" s="521"/>
      <c r="AH1" s="521"/>
      <c r="AI1" s="521"/>
      <c r="AJ1" s="521"/>
      <c r="AK1" s="521"/>
      <c r="AL1" s="521"/>
      <c r="AM1" s="521"/>
      <c r="AN1" s="521"/>
      <c r="AO1" s="521"/>
      <c r="AP1" s="521"/>
      <c r="AQ1" s="521"/>
      <c r="AR1" s="521"/>
      <c r="AS1" s="521"/>
      <c r="AT1" s="521"/>
      <c r="AU1" s="521"/>
      <c r="AV1" s="521"/>
      <c r="AW1" s="521"/>
      <c r="AX1" s="521"/>
      <c r="AY1" s="521"/>
      <c r="AZ1" s="521"/>
      <c r="BA1" s="521"/>
    </row>
    <row r="2" spans="1:53" s="150" customFormat="1" ht="15.75" customHeight="1" x14ac:dyDescent="0.25">
      <c r="B2" s="521"/>
      <c r="C2" s="521"/>
      <c r="D2" s="521"/>
      <c r="E2" s="521"/>
      <c r="K2" s="1435" t="s">
        <v>342</v>
      </c>
      <c r="L2" s="1435"/>
      <c r="M2" s="1435"/>
      <c r="N2" s="1435"/>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row>
    <row r="3" spans="1:53" s="150" customFormat="1" ht="12.75" customHeight="1" x14ac:dyDescent="0.25">
      <c r="B3" s="521"/>
      <c r="C3" s="521"/>
      <c r="D3" s="521"/>
      <c r="E3" s="521"/>
      <c r="K3" s="1218"/>
      <c r="L3" s="1218"/>
      <c r="M3" s="1218"/>
      <c r="N3" s="1218"/>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row>
    <row r="4" spans="1:53" s="150" customFormat="1" ht="13.5" customHeight="1" x14ac:dyDescent="0.25">
      <c r="B4" s="521"/>
      <c r="C4" s="521"/>
      <c r="D4" s="521"/>
      <c r="E4" s="521"/>
      <c r="K4" s="1218"/>
      <c r="L4" s="1218"/>
      <c r="M4" s="1218"/>
      <c r="N4" s="1218"/>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row>
    <row r="5" spans="1:53" s="38" customFormat="1" ht="15" x14ac:dyDescent="0.2">
      <c r="A5" s="1691" t="s">
        <v>343</v>
      </c>
      <c r="B5" s="1691"/>
      <c r="C5" s="1691"/>
      <c r="D5" s="1691"/>
      <c r="E5" s="1691"/>
      <c r="F5" s="1691"/>
      <c r="G5" s="1691"/>
      <c r="H5" s="1691"/>
      <c r="I5" s="1691"/>
      <c r="J5" s="1691"/>
      <c r="K5" s="1691"/>
      <c r="L5" s="1691"/>
      <c r="M5" s="1691"/>
      <c r="N5" s="1691"/>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699"/>
      <c r="AY5" s="699"/>
      <c r="AZ5" s="699"/>
      <c r="BA5" s="699"/>
    </row>
    <row r="6" spans="1:53" ht="15.75" customHeight="1" x14ac:dyDescent="0.2">
      <c r="A6" s="1692" t="s">
        <v>29</v>
      </c>
      <c r="B6" s="1692"/>
      <c r="C6" s="1692"/>
      <c r="D6" s="1692"/>
      <c r="E6" s="1692"/>
      <c r="F6" s="1692"/>
      <c r="G6" s="1692"/>
      <c r="H6" s="1692"/>
      <c r="I6" s="1692"/>
      <c r="J6" s="1692"/>
      <c r="K6" s="1692"/>
      <c r="L6" s="1692"/>
      <c r="M6" s="1692"/>
      <c r="N6" s="1692"/>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row>
    <row r="7" spans="1:53" ht="15" customHeight="1" x14ac:dyDescent="0.2">
      <c r="A7" s="1693" t="s">
        <v>17</v>
      </c>
      <c r="B7" s="1693"/>
      <c r="C7" s="1693"/>
      <c r="D7" s="1693"/>
      <c r="E7" s="1693"/>
      <c r="F7" s="1693"/>
      <c r="G7" s="1693"/>
      <c r="H7" s="1693"/>
      <c r="I7" s="1693"/>
      <c r="J7" s="1693"/>
      <c r="K7" s="1693"/>
      <c r="L7" s="1693"/>
      <c r="M7" s="1693"/>
      <c r="N7" s="169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row>
    <row r="8" spans="1:53" ht="14.25" customHeight="1" thickBot="1" x14ac:dyDescent="0.25">
      <c r="A8" s="15"/>
      <c r="B8" s="15"/>
      <c r="C8" s="520"/>
      <c r="D8" s="15"/>
      <c r="E8" s="16"/>
      <c r="F8" s="17"/>
      <c r="G8" s="232"/>
      <c r="H8" s="15"/>
      <c r="I8" s="15"/>
      <c r="J8" s="15"/>
      <c r="K8" s="1694" t="s">
        <v>111</v>
      </c>
      <c r="L8" s="1694"/>
      <c r="M8" s="1694"/>
      <c r="N8" s="1695"/>
      <c r="P8" s="683"/>
      <c r="Q8" s="683"/>
      <c r="R8" s="683"/>
      <c r="S8" s="683"/>
      <c r="T8" s="683"/>
      <c r="U8" s="683"/>
      <c r="V8" s="683"/>
      <c r="W8" s="683"/>
      <c r="X8" s="683"/>
      <c r="Y8" s="683"/>
      <c r="Z8" s="683"/>
      <c r="AA8" s="683"/>
      <c r="AB8" s="683"/>
      <c r="AC8" s="683"/>
      <c r="AD8" s="683"/>
      <c r="AE8" s="683"/>
      <c r="AF8" s="683"/>
      <c r="AG8" s="683"/>
      <c r="AH8" s="683"/>
      <c r="AI8" s="683"/>
      <c r="AJ8" s="683"/>
      <c r="AK8" s="683"/>
      <c r="AL8" s="683"/>
      <c r="AM8" s="683"/>
      <c r="AN8" s="683"/>
      <c r="AO8" s="683"/>
      <c r="AP8" s="683"/>
      <c r="AQ8" s="683"/>
      <c r="AR8" s="683"/>
      <c r="AS8" s="683"/>
      <c r="AT8" s="683"/>
      <c r="AU8" s="683"/>
      <c r="AV8" s="683"/>
      <c r="AW8" s="683"/>
      <c r="AX8" s="683"/>
      <c r="AY8" s="683"/>
      <c r="AZ8" s="683"/>
      <c r="BA8" s="683"/>
    </row>
    <row r="9" spans="1:53" s="38" customFormat="1" ht="30" customHeight="1" x14ac:dyDescent="0.2">
      <c r="A9" s="1891" t="s">
        <v>18</v>
      </c>
      <c r="B9" s="1894" t="s">
        <v>0</v>
      </c>
      <c r="C9" s="1894" t="s">
        <v>1</v>
      </c>
      <c r="D9" s="1897" t="s">
        <v>12</v>
      </c>
      <c r="E9" s="1882" t="s">
        <v>2</v>
      </c>
      <c r="F9" s="1885" t="s">
        <v>3</v>
      </c>
      <c r="G9" s="1888" t="s">
        <v>4</v>
      </c>
      <c r="H9" s="1869" t="s">
        <v>251</v>
      </c>
      <c r="I9" s="1869" t="s">
        <v>167</v>
      </c>
      <c r="J9" s="1869" t="s">
        <v>247</v>
      </c>
      <c r="K9" s="1872" t="s">
        <v>11</v>
      </c>
      <c r="L9" s="1873"/>
      <c r="M9" s="1873"/>
      <c r="N9" s="1874"/>
      <c r="P9" s="1"/>
    </row>
    <row r="10" spans="1:53" s="38" customFormat="1" ht="18.75" customHeight="1" x14ac:dyDescent="0.2">
      <c r="A10" s="1892"/>
      <c r="B10" s="1895"/>
      <c r="C10" s="1895"/>
      <c r="D10" s="1898"/>
      <c r="E10" s="1883"/>
      <c r="F10" s="1886"/>
      <c r="G10" s="1889"/>
      <c r="H10" s="1870"/>
      <c r="I10" s="1870"/>
      <c r="J10" s="1870"/>
      <c r="K10" s="1875" t="s">
        <v>12</v>
      </c>
      <c r="L10" s="1877" t="s">
        <v>94</v>
      </c>
      <c r="M10" s="1877"/>
      <c r="N10" s="1878"/>
      <c r="P10" s="1"/>
    </row>
    <row r="11" spans="1:53" s="38" customFormat="1" ht="54" customHeight="1" thickBot="1" x14ac:dyDescent="0.25">
      <c r="A11" s="1893"/>
      <c r="B11" s="1896"/>
      <c r="C11" s="1896"/>
      <c r="D11" s="1899"/>
      <c r="E11" s="1884"/>
      <c r="F11" s="1887"/>
      <c r="G11" s="1890"/>
      <c r="H11" s="1871"/>
      <c r="I11" s="1871"/>
      <c r="J11" s="1871"/>
      <c r="K11" s="1876"/>
      <c r="L11" s="151" t="s">
        <v>120</v>
      </c>
      <c r="M11" s="151" t="s">
        <v>168</v>
      </c>
      <c r="N11" s="152" t="s">
        <v>248</v>
      </c>
      <c r="P11" s="1"/>
    </row>
    <row r="12" spans="1:53" s="10" customFormat="1" ht="14.25" customHeight="1" x14ac:dyDescent="0.2">
      <c r="A12" s="1879" t="s">
        <v>61</v>
      </c>
      <c r="B12" s="1880"/>
      <c r="C12" s="1880"/>
      <c r="D12" s="1880"/>
      <c r="E12" s="1880"/>
      <c r="F12" s="1880"/>
      <c r="G12" s="1880"/>
      <c r="H12" s="1880"/>
      <c r="I12" s="1880"/>
      <c r="J12" s="1880"/>
      <c r="K12" s="1880"/>
      <c r="L12" s="1880"/>
      <c r="M12" s="1880"/>
      <c r="N12" s="1881"/>
      <c r="P12" s="1"/>
    </row>
    <row r="13" spans="1:53" s="10" customFormat="1" ht="14.25" customHeight="1" x14ac:dyDescent="0.2">
      <c r="A13" s="1900" t="s">
        <v>26</v>
      </c>
      <c r="B13" s="1901"/>
      <c r="C13" s="1901"/>
      <c r="D13" s="1901"/>
      <c r="E13" s="1901"/>
      <c r="F13" s="1901"/>
      <c r="G13" s="1901"/>
      <c r="H13" s="1901"/>
      <c r="I13" s="1901"/>
      <c r="J13" s="1901"/>
      <c r="K13" s="1901"/>
      <c r="L13" s="1901"/>
      <c r="M13" s="1901"/>
      <c r="N13" s="1902"/>
      <c r="P13" s="1"/>
    </row>
    <row r="14" spans="1:53" ht="16.5" customHeight="1" x14ac:dyDescent="0.2">
      <c r="A14" s="18" t="s">
        <v>5</v>
      </c>
      <c r="B14" s="1903" t="s">
        <v>30</v>
      </c>
      <c r="C14" s="1904"/>
      <c r="D14" s="1904"/>
      <c r="E14" s="1904"/>
      <c r="F14" s="1904"/>
      <c r="G14" s="1904"/>
      <c r="H14" s="1904"/>
      <c r="I14" s="1904"/>
      <c r="J14" s="1904"/>
      <c r="K14" s="1904"/>
      <c r="L14" s="1904"/>
      <c r="M14" s="1904"/>
      <c r="N14" s="1905"/>
    </row>
    <row r="15" spans="1:53" ht="15" customHeight="1" x14ac:dyDescent="0.2">
      <c r="A15" s="231" t="s">
        <v>5</v>
      </c>
      <c r="B15" s="13" t="s">
        <v>5</v>
      </c>
      <c r="C15" s="1906" t="s">
        <v>31</v>
      </c>
      <c r="D15" s="1907"/>
      <c r="E15" s="1907"/>
      <c r="F15" s="1907"/>
      <c r="G15" s="1907"/>
      <c r="H15" s="1907"/>
      <c r="I15" s="1907"/>
      <c r="J15" s="1907"/>
      <c r="K15" s="1907"/>
      <c r="L15" s="1907"/>
      <c r="M15" s="1907"/>
      <c r="N15" s="1908"/>
    </row>
    <row r="16" spans="1:53" ht="14.1" customHeight="1" x14ac:dyDescent="0.2">
      <c r="A16" s="1236" t="s">
        <v>5</v>
      </c>
      <c r="B16" s="1250" t="s">
        <v>5</v>
      </c>
      <c r="C16" s="1240" t="s">
        <v>5</v>
      </c>
      <c r="D16" s="1696" t="s">
        <v>49</v>
      </c>
      <c r="E16" s="1699" t="s">
        <v>87</v>
      </c>
      <c r="F16" s="1249" t="s">
        <v>43</v>
      </c>
      <c r="G16" s="46" t="s">
        <v>25</v>
      </c>
      <c r="H16" s="523">
        <v>914.8</v>
      </c>
      <c r="I16" s="523">
        <v>233</v>
      </c>
      <c r="J16" s="523">
        <v>563.6</v>
      </c>
      <c r="K16" s="319"/>
      <c r="L16" s="320"/>
      <c r="M16" s="333"/>
      <c r="N16" s="322"/>
    </row>
    <row r="17" spans="1:14" ht="14.1" customHeight="1" x14ac:dyDescent="0.2">
      <c r="A17" s="1236"/>
      <c r="B17" s="1250"/>
      <c r="C17" s="1240"/>
      <c r="D17" s="1697"/>
      <c r="E17" s="1700"/>
      <c r="F17" s="1249"/>
      <c r="G17" s="46" t="s">
        <v>60</v>
      </c>
      <c r="H17" s="523">
        <v>101.5</v>
      </c>
      <c r="I17" s="522"/>
      <c r="J17" s="523"/>
      <c r="K17" s="319"/>
      <c r="L17" s="320"/>
      <c r="M17" s="333"/>
      <c r="N17" s="323"/>
    </row>
    <row r="18" spans="1:14" ht="14.1" customHeight="1" x14ac:dyDescent="0.2">
      <c r="A18" s="1236"/>
      <c r="B18" s="1250"/>
      <c r="C18" s="1240"/>
      <c r="D18" s="1698"/>
      <c r="E18" s="1701"/>
      <c r="F18" s="1249"/>
      <c r="G18" s="46" t="s">
        <v>99</v>
      </c>
      <c r="H18" s="523">
        <v>480.6</v>
      </c>
      <c r="I18" s="522"/>
      <c r="J18" s="523"/>
      <c r="K18" s="319"/>
      <c r="L18" s="320"/>
      <c r="M18" s="333"/>
      <c r="N18" s="323"/>
    </row>
    <row r="19" spans="1:14" ht="14.1" customHeight="1" x14ac:dyDescent="0.2">
      <c r="A19" s="1236"/>
      <c r="B19" s="1250"/>
      <c r="C19" s="1240"/>
      <c r="D19" s="54"/>
      <c r="E19" s="1343"/>
      <c r="F19" s="1249"/>
      <c r="G19" s="46" t="s">
        <v>100</v>
      </c>
      <c r="H19" s="523">
        <v>1100</v>
      </c>
      <c r="I19" s="522"/>
      <c r="J19" s="523">
        <v>96.4</v>
      </c>
      <c r="K19" s="319"/>
      <c r="L19" s="320"/>
      <c r="M19" s="333"/>
      <c r="N19" s="323"/>
    </row>
    <row r="20" spans="1:14" ht="14.1" customHeight="1" x14ac:dyDescent="0.2">
      <c r="A20" s="1236"/>
      <c r="B20" s="1250"/>
      <c r="C20" s="1240"/>
      <c r="D20" s="54"/>
      <c r="E20" s="1343"/>
      <c r="F20" s="1249"/>
      <c r="G20" s="46" t="s">
        <v>264</v>
      </c>
      <c r="H20" s="523"/>
      <c r="I20" s="656"/>
      <c r="J20" s="523">
        <v>44.7</v>
      </c>
      <c r="K20" s="319"/>
      <c r="L20" s="320"/>
      <c r="M20" s="333"/>
      <c r="N20" s="323"/>
    </row>
    <row r="21" spans="1:14" ht="14.1" customHeight="1" x14ac:dyDescent="0.2">
      <c r="A21" s="1236"/>
      <c r="B21" s="1250"/>
      <c r="C21" s="1240"/>
      <c r="D21" s="54"/>
      <c r="E21" s="1343"/>
      <c r="F21" s="1249"/>
      <c r="G21" s="46" t="s">
        <v>48</v>
      </c>
      <c r="H21" s="523">
        <v>162.4</v>
      </c>
      <c r="I21" s="522"/>
      <c r="J21" s="523"/>
      <c r="K21" s="319"/>
      <c r="L21" s="320"/>
      <c r="M21" s="333"/>
      <c r="N21" s="323"/>
    </row>
    <row r="22" spans="1:14" ht="14.1" customHeight="1" x14ac:dyDescent="0.2">
      <c r="A22" s="1236"/>
      <c r="B22" s="1250"/>
      <c r="C22" s="1240"/>
      <c r="D22" s="54"/>
      <c r="E22" s="1343"/>
      <c r="F22" s="1249"/>
      <c r="G22" s="46" t="s">
        <v>44</v>
      </c>
      <c r="H22" s="523"/>
      <c r="I22" s="522">
        <v>850</v>
      </c>
      <c r="J22" s="523">
        <v>1329.7</v>
      </c>
      <c r="K22" s="319"/>
      <c r="L22" s="320"/>
      <c r="M22" s="333"/>
      <c r="N22" s="323"/>
    </row>
    <row r="23" spans="1:14" ht="18.75" customHeight="1" x14ac:dyDescent="0.2">
      <c r="A23" s="1236"/>
      <c r="B23" s="1250"/>
      <c r="C23" s="1240"/>
      <c r="D23" s="1729" t="s">
        <v>231</v>
      </c>
      <c r="E23" s="858" t="s">
        <v>47</v>
      </c>
      <c r="F23" s="1240"/>
      <c r="G23" s="1181"/>
      <c r="H23" s="1181"/>
      <c r="I23" s="87"/>
      <c r="J23" s="1181"/>
      <c r="K23" s="1757" t="s">
        <v>350</v>
      </c>
      <c r="L23" s="341"/>
      <c r="M23" s="835" t="s">
        <v>55</v>
      </c>
      <c r="N23" s="437"/>
    </row>
    <row r="24" spans="1:14" ht="33" customHeight="1" x14ac:dyDescent="0.2">
      <c r="A24" s="1236"/>
      <c r="B24" s="1250"/>
      <c r="C24" s="1240"/>
      <c r="D24" s="1714"/>
      <c r="E24" s="1858" t="s">
        <v>255</v>
      </c>
      <c r="F24" s="1249"/>
      <c r="G24" s="62"/>
      <c r="H24" s="62"/>
      <c r="I24" s="83"/>
      <c r="J24" s="62"/>
      <c r="K24" s="1857"/>
      <c r="L24" s="837"/>
      <c r="M24" s="838"/>
      <c r="N24" s="524"/>
    </row>
    <row r="25" spans="1:14" ht="24.75" customHeight="1" x14ac:dyDescent="0.2">
      <c r="A25" s="1236"/>
      <c r="B25" s="1250"/>
      <c r="C25" s="1240"/>
      <c r="D25" s="1714"/>
      <c r="E25" s="1859"/>
      <c r="F25" s="1249"/>
      <c r="G25" s="62"/>
      <c r="H25" s="62"/>
      <c r="I25" s="83"/>
      <c r="J25" s="1182"/>
      <c r="K25" s="220" t="s">
        <v>266</v>
      </c>
      <c r="L25" s="837"/>
      <c r="M25" s="838" t="s">
        <v>262</v>
      </c>
      <c r="N25" s="524" t="s">
        <v>263</v>
      </c>
    </row>
    <row r="26" spans="1:14" ht="27.75" customHeight="1" x14ac:dyDescent="0.2">
      <c r="A26" s="1632"/>
      <c r="B26" s="1633"/>
      <c r="C26" s="1634"/>
      <c r="D26" s="1753" t="s">
        <v>265</v>
      </c>
      <c r="E26" s="291" t="s">
        <v>47</v>
      </c>
      <c r="F26" s="1634"/>
      <c r="G26" s="296"/>
      <c r="H26" s="1177"/>
      <c r="I26" s="121"/>
      <c r="J26" s="1181"/>
      <c r="K26" s="1274" t="s">
        <v>144</v>
      </c>
      <c r="L26" s="1216">
        <v>2</v>
      </c>
      <c r="M26" s="436"/>
      <c r="N26" s="437"/>
    </row>
    <row r="27" spans="1:14" ht="27.75" customHeight="1" x14ac:dyDescent="0.2">
      <c r="A27" s="1632"/>
      <c r="B27" s="1633"/>
      <c r="C27" s="1634"/>
      <c r="D27" s="1862"/>
      <c r="E27" s="1860" t="s">
        <v>110</v>
      </c>
      <c r="F27" s="1634"/>
      <c r="G27" s="46"/>
      <c r="H27" s="64"/>
      <c r="I27" s="99"/>
      <c r="J27" s="62"/>
      <c r="K27" s="44" t="s">
        <v>250</v>
      </c>
      <c r="L27" s="337">
        <v>1</v>
      </c>
      <c r="M27" s="649"/>
      <c r="N27" s="524"/>
    </row>
    <row r="28" spans="1:14" ht="23.25" customHeight="1" x14ac:dyDescent="0.2">
      <c r="A28" s="1632"/>
      <c r="B28" s="1633"/>
      <c r="C28" s="1634"/>
      <c r="D28" s="1862"/>
      <c r="E28" s="1861"/>
      <c r="F28" s="1634"/>
      <c r="G28" s="46"/>
      <c r="H28" s="64"/>
      <c r="I28" s="99"/>
      <c r="J28" s="62"/>
      <c r="K28" s="1805" t="s">
        <v>273</v>
      </c>
      <c r="L28" s="1265"/>
      <c r="M28" s="188"/>
      <c r="N28" s="332" t="s">
        <v>43</v>
      </c>
    </row>
    <row r="29" spans="1:14" ht="9.75" customHeight="1" x14ac:dyDescent="0.2">
      <c r="A29" s="1632"/>
      <c r="B29" s="1633"/>
      <c r="C29" s="1634"/>
      <c r="D29" s="1833"/>
      <c r="E29" s="1815"/>
      <c r="F29" s="1634"/>
      <c r="G29" s="45"/>
      <c r="H29" s="1178"/>
      <c r="I29" s="147"/>
      <c r="J29" s="1182"/>
      <c r="K29" s="1796"/>
      <c r="L29" s="47"/>
      <c r="M29" s="305"/>
      <c r="N29" s="440"/>
    </row>
    <row r="30" spans="1:14" ht="15.75" customHeight="1" x14ac:dyDescent="0.2">
      <c r="A30" s="1632"/>
      <c r="B30" s="1633"/>
      <c r="C30" s="1634"/>
      <c r="D30" s="1625" t="s">
        <v>215</v>
      </c>
      <c r="E30" s="1234" t="s">
        <v>47</v>
      </c>
      <c r="F30" s="1728"/>
      <c r="G30" s="87"/>
      <c r="H30" s="1181"/>
      <c r="I30" s="121"/>
      <c r="J30" s="1181"/>
      <c r="K30" s="1231" t="s">
        <v>169</v>
      </c>
      <c r="L30" s="477">
        <v>100</v>
      </c>
      <c r="M30" s="650"/>
      <c r="N30" s="478"/>
    </row>
    <row r="31" spans="1:14" ht="16.5" customHeight="1" x14ac:dyDescent="0.2">
      <c r="A31" s="1632"/>
      <c r="B31" s="1633"/>
      <c r="C31" s="1634"/>
      <c r="D31" s="1626"/>
      <c r="E31" s="496"/>
      <c r="F31" s="1728"/>
      <c r="G31" s="124"/>
      <c r="H31" s="1182"/>
      <c r="I31" s="147"/>
      <c r="J31" s="1182"/>
      <c r="K31" s="416"/>
      <c r="L31" s="297"/>
      <c r="M31" s="651"/>
      <c r="N31" s="298"/>
    </row>
    <row r="32" spans="1:14" ht="18.75" customHeight="1" x14ac:dyDescent="0.2">
      <c r="A32" s="1219"/>
      <c r="B32" s="1220"/>
      <c r="C32" s="209"/>
      <c r="D32" s="1807" t="s">
        <v>214</v>
      </c>
      <c r="E32" s="291" t="s">
        <v>47</v>
      </c>
      <c r="F32" s="88"/>
      <c r="G32" s="83"/>
      <c r="H32" s="62"/>
      <c r="I32" s="99"/>
      <c r="J32" s="62"/>
      <c r="K32" s="1848" t="s">
        <v>148</v>
      </c>
      <c r="L32" s="1216">
        <v>1</v>
      </c>
      <c r="M32" s="1281"/>
      <c r="N32" s="1284"/>
    </row>
    <row r="33" spans="1:14" ht="21" customHeight="1" x14ac:dyDescent="0.2">
      <c r="A33" s="1219"/>
      <c r="B33" s="1220"/>
      <c r="C33" s="209"/>
      <c r="D33" s="1655"/>
      <c r="E33" s="1849" t="s">
        <v>110</v>
      </c>
      <c r="F33" s="88"/>
      <c r="G33" s="83"/>
      <c r="H33" s="62"/>
      <c r="I33" s="99"/>
      <c r="J33" s="62"/>
      <c r="K33" s="1822"/>
      <c r="L33" s="1265"/>
      <c r="M33" s="380"/>
      <c r="N33" s="318"/>
    </row>
    <row r="34" spans="1:14" ht="29.25" customHeight="1" x14ac:dyDescent="0.2">
      <c r="A34" s="1219"/>
      <c r="B34" s="1220"/>
      <c r="C34" s="209"/>
      <c r="D34" s="1656"/>
      <c r="E34" s="1850"/>
      <c r="F34" s="88"/>
      <c r="G34" s="86"/>
      <c r="H34" s="1182"/>
      <c r="I34" s="147"/>
      <c r="J34" s="1182"/>
      <c r="K34" s="1158" t="s">
        <v>149</v>
      </c>
      <c r="L34" s="1160"/>
      <c r="M34" s="1160">
        <v>1</v>
      </c>
      <c r="N34" s="1161"/>
    </row>
    <row r="35" spans="1:14" ht="17.25" customHeight="1" x14ac:dyDescent="0.2">
      <c r="A35" s="1219"/>
      <c r="B35" s="1220"/>
      <c r="C35" s="209"/>
      <c r="D35" s="1714" t="s">
        <v>220</v>
      </c>
      <c r="E35" s="780" t="s">
        <v>47</v>
      </c>
      <c r="F35" s="1222"/>
      <c r="G35" s="83" t="s">
        <v>45</v>
      </c>
      <c r="H35" s="62">
        <v>21.5</v>
      </c>
      <c r="I35" s="513"/>
      <c r="J35" s="163"/>
      <c r="K35" s="1231" t="s">
        <v>46</v>
      </c>
      <c r="L35" s="1265">
        <v>1</v>
      </c>
      <c r="M35" s="1265"/>
      <c r="N35" s="1263"/>
    </row>
    <row r="36" spans="1:14" ht="18" customHeight="1" x14ac:dyDescent="0.2">
      <c r="A36" s="1219"/>
      <c r="B36" s="1220"/>
      <c r="C36" s="93"/>
      <c r="D36" s="1783"/>
      <c r="E36" s="782" t="s">
        <v>253</v>
      </c>
      <c r="F36" s="1222"/>
      <c r="G36" s="86"/>
      <c r="H36" s="51"/>
      <c r="I36" s="514"/>
      <c r="J36" s="51"/>
      <c r="K36" s="200"/>
      <c r="L36" s="47"/>
      <c r="M36" s="47"/>
      <c r="N36" s="21"/>
    </row>
    <row r="37" spans="1:14" ht="15" customHeight="1" x14ac:dyDescent="0.2">
      <c r="A37" s="1632"/>
      <c r="B37" s="1633"/>
      <c r="C37" s="1634"/>
      <c r="D37" s="1807" t="s">
        <v>154</v>
      </c>
      <c r="E37" s="291" t="s">
        <v>47</v>
      </c>
      <c r="F37" s="1728"/>
      <c r="G37" s="83"/>
      <c r="H37" s="62"/>
      <c r="I37" s="99"/>
      <c r="J37" s="62"/>
      <c r="K37" s="1726" t="s">
        <v>261</v>
      </c>
      <c r="L37" s="510"/>
      <c r="M37" s="793"/>
      <c r="N37" s="511"/>
    </row>
    <row r="38" spans="1:14" ht="15" customHeight="1" x14ac:dyDescent="0.2">
      <c r="A38" s="1632"/>
      <c r="B38" s="1633"/>
      <c r="C38" s="1634"/>
      <c r="D38" s="1655"/>
      <c r="E38" s="1860" t="s">
        <v>110</v>
      </c>
      <c r="F38" s="1728"/>
      <c r="G38" s="83"/>
      <c r="H38" s="62"/>
      <c r="I38" s="99"/>
      <c r="J38" s="62"/>
      <c r="K38" s="1731"/>
      <c r="L38" s="572"/>
      <c r="M38" s="572"/>
      <c r="N38" s="573"/>
    </row>
    <row r="39" spans="1:14" ht="18" customHeight="1" x14ac:dyDescent="0.2">
      <c r="A39" s="1632"/>
      <c r="B39" s="1633"/>
      <c r="C39" s="1634"/>
      <c r="D39" s="1656"/>
      <c r="E39" s="1815"/>
      <c r="F39" s="1728"/>
      <c r="G39" s="86"/>
      <c r="H39" s="449"/>
      <c r="I39" s="451"/>
      <c r="J39" s="449"/>
      <c r="K39" s="1272"/>
      <c r="L39" s="47"/>
      <c r="M39" s="156"/>
      <c r="N39" s="31"/>
    </row>
    <row r="40" spans="1:14" ht="13.5" customHeight="1" x14ac:dyDescent="0.2">
      <c r="A40" s="1219"/>
      <c r="B40" s="1220"/>
      <c r="C40" s="1221"/>
      <c r="D40" s="1729" t="s">
        <v>216</v>
      </c>
      <c r="E40" s="1234" t="s">
        <v>47</v>
      </c>
      <c r="F40" s="1847"/>
      <c r="G40" s="83"/>
      <c r="H40" s="62"/>
      <c r="I40" s="99"/>
      <c r="J40" s="62"/>
      <c r="K40" s="1255" t="s">
        <v>150</v>
      </c>
      <c r="L40" s="1217"/>
      <c r="M40" s="1262"/>
      <c r="N40" s="1279">
        <v>1</v>
      </c>
    </row>
    <row r="41" spans="1:14" ht="9.75" customHeight="1" x14ac:dyDescent="0.2">
      <c r="A41" s="1219"/>
      <c r="B41" s="1220"/>
      <c r="C41" s="1221"/>
      <c r="D41" s="1714"/>
      <c r="E41" s="1227"/>
      <c r="F41" s="1847"/>
      <c r="G41" s="86"/>
      <c r="H41" s="1182"/>
      <c r="I41" s="147"/>
      <c r="J41" s="1182"/>
      <c r="K41" s="1231"/>
      <c r="L41" s="1283"/>
      <c r="M41" s="300"/>
      <c r="N41" s="1263"/>
    </row>
    <row r="42" spans="1:14" ht="16.5" customHeight="1" thickBot="1" x14ac:dyDescent="0.25">
      <c r="A42" s="68"/>
      <c r="B42" s="1243"/>
      <c r="C42" s="95"/>
      <c r="D42" s="223"/>
      <c r="E42" s="781"/>
      <c r="F42" s="95"/>
      <c r="G42" s="89" t="s">
        <v>6</v>
      </c>
      <c r="H42" s="89">
        <f>SUM(H16:H41)</f>
        <v>2780.8</v>
      </c>
      <c r="I42" s="89">
        <f t="shared" ref="I42:J42" si="0">SUM(I16:I41)</f>
        <v>1083</v>
      </c>
      <c r="J42" s="89">
        <f t="shared" si="0"/>
        <v>2034.4</v>
      </c>
      <c r="K42" s="757"/>
      <c r="L42" s="178"/>
      <c r="M42" s="636"/>
      <c r="N42" s="534"/>
    </row>
    <row r="43" spans="1:14" ht="14.1" customHeight="1" x14ac:dyDescent="0.2">
      <c r="A43" s="1241" t="s">
        <v>5</v>
      </c>
      <c r="B43" s="1242" t="s">
        <v>5</v>
      </c>
      <c r="C43" s="1280" t="s">
        <v>7</v>
      </c>
      <c r="D43" s="1837" t="s">
        <v>50</v>
      </c>
      <c r="E43" s="1853" t="s">
        <v>89</v>
      </c>
      <c r="F43" s="1244" t="s">
        <v>43</v>
      </c>
      <c r="G43" s="176" t="s">
        <v>25</v>
      </c>
      <c r="H43" s="176">
        <v>406.6</v>
      </c>
      <c r="I43" s="176">
        <v>464.9</v>
      </c>
      <c r="J43" s="176">
        <v>1300</v>
      </c>
      <c r="K43" s="326"/>
      <c r="L43" s="262"/>
      <c r="M43" s="736"/>
      <c r="N43" s="576"/>
    </row>
    <row r="44" spans="1:14" ht="14.1" customHeight="1" x14ac:dyDescent="0.2">
      <c r="A44" s="1225"/>
      <c r="B44" s="1220"/>
      <c r="C44" s="1221"/>
      <c r="D44" s="1838"/>
      <c r="E44" s="1854"/>
      <c r="F44" s="1222"/>
      <c r="G44" s="62" t="s">
        <v>60</v>
      </c>
      <c r="H44" s="62">
        <v>0.8</v>
      </c>
      <c r="I44" s="99"/>
      <c r="J44" s="62"/>
      <c r="K44" s="1231"/>
      <c r="L44" s="1283"/>
      <c r="M44" s="300"/>
      <c r="N44" s="1263"/>
    </row>
    <row r="45" spans="1:14" ht="14.1" customHeight="1" x14ac:dyDescent="0.2">
      <c r="A45" s="1225"/>
      <c r="B45" s="1220"/>
      <c r="C45" s="1221"/>
      <c r="D45" s="1856"/>
      <c r="E45" s="1855"/>
      <c r="F45" s="1273"/>
      <c r="G45" s="1182" t="s">
        <v>100</v>
      </c>
      <c r="H45" s="62">
        <v>200</v>
      </c>
      <c r="I45" s="62">
        <v>1496.4</v>
      </c>
      <c r="J45" s="62">
        <v>600</v>
      </c>
      <c r="K45" s="1231"/>
      <c r="L45" s="1283"/>
      <c r="M45" s="300"/>
      <c r="N45" s="1263"/>
    </row>
    <row r="46" spans="1:14" ht="16.5" customHeight="1" x14ac:dyDescent="0.2">
      <c r="A46" s="1852"/>
      <c r="B46" s="1633"/>
      <c r="C46" s="1634"/>
      <c r="D46" s="1655" t="s">
        <v>212</v>
      </c>
      <c r="E46" s="1227" t="s">
        <v>47</v>
      </c>
      <c r="F46" s="1728"/>
      <c r="G46" s="83"/>
      <c r="H46" s="1181"/>
      <c r="I46" s="121"/>
      <c r="J46" s="1181"/>
      <c r="K46" s="1848" t="s">
        <v>157</v>
      </c>
      <c r="L46" s="1152">
        <v>1</v>
      </c>
      <c r="M46" s="1153"/>
      <c r="N46" s="1154"/>
    </row>
    <row r="47" spans="1:14" ht="23.25" customHeight="1" x14ac:dyDescent="0.2">
      <c r="A47" s="1852"/>
      <c r="B47" s="1633"/>
      <c r="C47" s="1634"/>
      <c r="D47" s="1655"/>
      <c r="E47" s="1227"/>
      <c r="F47" s="1728"/>
      <c r="G47" s="83"/>
      <c r="H47" s="62"/>
      <c r="I47" s="99"/>
      <c r="J47" s="62"/>
      <c r="K47" s="1851"/>
      <c r="L47" s="622"/>
      <c r="M47" s="626"/>
      <c r="N47" s="778"/>
    </row>
    <row r="48" spans="1:14" ht="39.75" customHeight="1" x14ac:dyDescent="0.2">
      <c r="A48" s="1852"/>
      <c r="B48" s="1633"/>
      <c r="C48" s="1634"/>
      <c r="D48" s="1655"/>
      <c r="E48" s="1227"/>
      <c r="F48" s="1728"/>
      <c r="G48" s="83"/>
      <c r="H48" s="62"/>
      <c r="I48" s="99"/>
      <c r="J48" s="62"/>
      <c r="K48" s="30" t="s">
        <v>193</v>
      </c>
      <c r="L48" s="48">
        <v>100</v>
      </c>
      <c r="M48" s="627"/>
      <c r="N48" s="103"/>
    </row>
    <row r="49" spans="1:14" ht="28.5" customHeight="1" x14ac:dyDescent="0.2">
      <c r="A49" s="1852"/>
      <c r="B49" s="1633"/>
      <c r="C49" s="1634"/>
      <c r="D49" s="1655"/>
      <c r="E49" s="1227"/>
      <c r="F49" s="1728"/>
      <c r="G49" s="1342"/>
      <c r="H49" s="62"/>
      <c r="I49" s="99"/>
      <c r="J49" s="62"/>
      <c r="K49" s="30" t="s">
        <v>194</v>
      </c>
      <c r="L49" s="48">
        <v>30</v>
      </c>
      <c r="M49" s="627">
        <v>80</v>
      </c>
      <c r="N49" s="103">
        <v>100</v>
      </c>
    </row>
    <row r="50" spans="1:14" ht="54" customHeight="1" x14ac:dyDescent="0.2">
      <c r="A50" s="1852"/>
      <c r="B50" s="1633"/>
      <c r="C50" s="1634"/>
      <c r="D50" s="1655"/>
      <c r="E50" s="1228"/>
      <c r="F50" s="1728"/>
      <c r="G50" s="83"/>
      <c r="H50" s="62"/>
      <c r="I50" s="99"/>
      <c r="J50" s="62"/>
      <c r="K50" s="1224" t="s">
        <v>195</v>
      </c>
      <c r="L50" s="48"/>
      <c r="M50" s="627"/>
      <c r="N50" s="103">
        <v>5</v>
      </c>
    </row>
    <row r="51" spans="1:14" ht="18.75" customHeight="1" x14ac:dyDescent="0.2">
      <c r="A51" s="1852"/>
      <c r="B51" s="1633"/>
      <c r="C51" s="1634"/>
      <c r="D51" s="1807" t="s">
        <v>58</v>
      </c>
      <c r="E51" s="1270" t="s">
        <v>47</v>
      </c>
      <c r="F51" s="1728"/>
      <c r="G51" s="87"/>
      <c r="H51" s="1181"/>
      <c r="I51" s="121"/>
      <c r="J51" s="1181"/>
      <c r="K51" s="1726" t="s">
        <v>351</v>
      </c>
      <c r="L51" s="1260">
        <v>5</v>
      </c>
      <c r="M51" s="628">
        <v>50</v>
      </c>
      <c r="N51" s="1284">
        <v>80</v>
      </c>
    </row>
    <row r="52" spans="1:14" ht="12" customHeight="1" x14ac:dyDescent="0.2">
      <c r="A52" s="1852"/>
      <c r="B52" s="1633"/>
      <c r="C52" s="1634"/>
      <c r="D52" s="1655"/>
      <c r="E52" s="1221"/>
      <c r="F52" s="1728"/>
      <c r="G52" s="83"/>
      <c r="H52" s="62"/>
      <c r="I52" s="99"/>
      <c r="J52" s="62"/>
      <c r="K52" s="1822"/>
      <c r="L52" s="791"/>
      <c r="M52" s="633"/>
      <c r="N52" s="318"/>
    </row>
    <row r="53" spans="1:14" ht="9.75" customHeight="1" x14ac:dyDescent="0.2">
      <c r="A53" s="1852"/>
      <c r="B53" s="1633"/>
      <c r="C53" s="1634"/>
      <c r="D53" s="1656"/>
      <c r="E53" s="1271"/>
      <c r="F53" s="1728"/>
      <c r="G53" s="124"/>
      <c r="H53" s="1182"/>
      <c r="I53" s="147"/>
      <c r="J53" s="1182"/>
      <c r="K53" s="243"/>
      <c r="L53" s="1261"/>
      <c r="M53" s="629"/>
      <c r="N53" s="31"/>
    </row>
    <row r="54" spans="1:14" ht="17.25" customHeight="1" x14ac:dyDescent="0.2">
      <c r="A54" s="1219"/>
      <c r="B54" s="1220"/>
      <c r="C54" s="88"/>
      <c r="D54" s="1807" t="s">
        <v>217</v>
      </c>
      <c r="E54" s="1808" t="s">
        <v>47</v>
      </c>
      <c r="F54" s="1829"/>
      <c r="G54" s="87"/>
      <c r="H54" s="1177"/>
      <c r="I54" s="368"/>
      <c r="J54" s="1177"/>
      <c r="K54" s="1256" t="s">
        <v>93</v>
      </c>
      <c r="L54" s="430">
        <v>1</v>
      </c>
      <c r="M54" s="1262"/>
      <c r="N54" s="1279"/>
    </row>
    <row r="55" spans="1:14" ht="21.75" customHeight="1" x14ac:dyDescent="0.2">
      <c r="A55" s="1219"/>
      <c r="B55" s="1220"/>
      <c r="C55" s="88"/>
      <c r="D55" s="1655"/>
      <c r="E55" s="1844"/>
      <c r="F55" s="1829"/>
      <c r="G55" s="86"/>
      <c r="H55" s="1155"/>
      <c r="I55" s="693"/>
      <c r="J55" s="1155"/>
      <c r="K55" s="19"/>
      <c r="L55" s="444"/>
      <c r="M55" s="301"/>
      <c r="N55" s="21"/>
    </row>
    <row r="56" spans="1:14" ht="16.5" customHeight="1" x14ac:dyDescent="0.2">
      <c r="A56" s="1219"/>
      <c r="B56" s="1220"/>
      <c r="C56" s="88"/>
      <c r="D56" s="1807" t="s">
        <v>234</v>
      </c>
      <c r="E56" s="1808" t="s">
        <v>47</v>
      </c>
      <c r="F56" s="1829"/>
      <c r="G56" s="83" t="s">
        <v>45</v>
      </c>
      <c r="H56" s="64"/>
      <c r="I56" s="327">
        <v>95</v>
      </c>
      <c r="J56" s="64"/>
      <c r="K56" s="818" t="s">
        <v>93</v>
      </c>
      <c r="L56" s="430"/>
      <c r="M56" s="1262">
        <v>1</v>
      </c>
      <c r="N56" s="1279"/>
    </row>
    <row r="57" spans="1:14" ht="17.25" customHeight="1" x14ac:dyDescent="0.2">
      <c r="A57" s="1219"/>
      <c r="B57" s="1220"/>
      <c r="C57" s="88"/>
      <c r="D57" s="1655"/>
      <c r="E57" s="1828"/>
      <c r="F57" s="1829"/>
      <c r="G57" s="739"/>
      <c r="H57" s="1182"/>
      <c r="I57" s="147"/>
      <c r="J57" s="1182"/>
      <c r="K57" s="1269"/>
      <c r="L57" s="442"/>
      <c r="M57" s="300"/>
      <c r="N57" s="1263"/>
    </row>
    <row r="58" spans="1:14" ht="16.5" customHeight="1" thickBot="1" x14ac:dyDescent="0.25">
      <c r="A58" s="68"/>
      <c r="B58" s="1243"/>
      <c r="C58" s="95"/>
      <c r="D58" s="223"/>
      <c r="E58" s="781"/>
      <c r="F58" s="95"/>
      <c r="G58" s="89" t="s">
        <v>6</v>
      </c>
      <c r="H58" s="89">
        <f>SUM(H43:H57)</f>
        <v>607.4</v>
      </c>
      <c r="I58" s="89">
        <f t="shared" ref="I58:J58" si="1">SUM(I43:I57)</f>
        <v>2056.3000000000002</v>
      </c>
      <c r="J58" s="89">
        <f t="shared" si="1"/>
        <v>1900</v>
      </c>
      <c r="K58" s="757"/>
      <c r="L58" s="178"/>
      <c r="M58" s="636"/>
      <c r="N58" s="534"/>
    </row>
    <row r="59" spans="1:14" ht="14.1" customHeight="1" x14ac:dyDescent="0.2">
      <c r="A59" s="1219" t="s">
        <v>5</v>
      </c>
      <c r="B59" s="1230" t="s">
        <v>5</v>
      </c>
      <c r="C59" s="1221" t="s">
        <v>28</v>
      </c>
      <c r="D59" s="1845" t="s">
        <v>96</v>
      </c>
      <c r="E59" s="1846" t="s">
        <v>91</v>
      </c>
      <c r="F59" s="1244" t="s">
        <v>43</v>
      </c>
      <c r="G59" s="206" t="s">
        <v>25</v>
      </c>
      <c r="H59" s="176">
        <v>875.5</v>
      </c>
      <c r="I59" s="176">
        <v>374</v>
      </c>
      <c r="J59" s="176">
        <v>100</v>
      </c>
      <c r="K59" s="326"/>
      <c r="L59" s="526"/>
      <c r="M59" s="526"/>
      <c r="N59" s="527"/>
    </row>
    <row r="60" spans="1:14" ht="14.1" customHeight="1" x14ac:dyDescent="0.2">
      <c r="A60" s="1219"/>
      <c r="B60" s="1230"/>
      <c r="C60" s="1221"/>
      <c r="D60" s="1843"/>
      <c r="E60" s="1701"/>
      <c r="F60" s="1222"/>
      <c r="G60" s="83" t="s">
        <v>60</v>
      </c>
      <c r="H60" s="62">
        <v>298.7</v>
      </c>
      <c r="I60" s="62"/>
      <c r="J60" s="62"/>
      <c r="K60" s="1231"/>
      <c r="L60" s="380"/>
      <c r="M60" s="380"/>
      <c r="N60" s="318"/>
    </row>
    <row r="61" spans="1:14" ht="14.1" customHeight="1" x14ac:dyDescent="0.2">
      <c r="A61" s="1219"/>
      <c r="B61" s="1230"/>
      <c r="C61" s="1221"/>
      <c r="D61" s="1843"/>
      <c r="E61" s="1701"/>
      <c r="F61" s="1222"/>
      <c r="G61" s="83" t="s">
        <v>100</v>
      </c>
      <c r="H61" s="62">
        <v>755.4</v>
      </c>
      <c r="I61" s="62">
        <v>711.8</v>
      </c>
      <c r="J61" s="62">
        <v>400</v>
      </c>
      <c r="K61" s="1231"/>
      <c r="L61" s="380"/>
      <c r="M61" s="380"/>
      <c r="N61" s="318"/>
    </row>
    <row r="62" spans="1:14" ht="14.1" customHeight="1" x14ac:dyDescent="0.2">
      <c r="A62" s="1219"/>
      <c r="B62" s="1230"/>
      <c r="C62" s="1221"/>
      <c r="D62" s="1344"/>
      <c r="E62" s="1701"/>
      <c r="F62" s="1222"/>
      <c r="G62" s="83" t="s">
        <v>245</v>
      </c>
      <c r="H62" s="62">
        <v>1482.2</v>
      </c>
      <c r="I62" s="62">
        <v>122.8</v>
      </c>
      <c r="J62" s="62"/>
      <c r="K62" s="1231"/>
      <c r="L62" s="380"/>
      <c r="M62" s="380"/>
      <c r="N62" s="318"/>
    </row>
    <row r="63" spans="1:14" ht="14.1" customHeight="1" x14ac:dyDescent="0.2">
      <c r="A63" s="1219"/>
      <c r="B63" s="1230"/>
      <c r="C63" s="1221"/>
      <c r="D63" s="1344"/>
      <c r="E63" s="1815"/>
      <c r="F63" s="1222"/>
      <c r="G63" s="86" t="s">
        <v>48</v>
      </c>
      <c r="H63" s="1182">
        <v>200</v>
      </c>
      <c r="I63" s="167"/>
      <c r="J63" s="62"/>
      <c r="K63" s="1231"/>
      <c r="L63" s="380"/>
      <c r="M63" s="380"/>
      <c r="N63" s="318"/>
    </row>
    <row r="64" spans="1:14" ht="14.1" customHeight="1" x14ac:dyDescent="0.2">
      <c r="A64" s="1632"/>
      <c r="B64" s="1791"/>
      <c r="C64" s="1634"/>
      <c r="D64" s="1625" t="s">
        <v>310</v>
      </c>
      <c r="E64" s="1780" t="s">
        <v>47</v>
      </c>
      <c r="F64" s="1831"/>
      <c r="G64" s="83" t="s">
        <v>45</v>
      </c>
      <c r="H64" s="62">
        <v>104.9</v>
      </c>
      <c r="I64" s="99"/>
      <c r="J64" s="1181"/>
      <c r="K64" s="1726"/>
      <c r="L64" s="1216"/>
      <c r="M64" s="1216"/>
      <c r="N64" s="1279"/>
    </row>
    <row r="65" spans="1:14" ht="27" customHeight="1" x14ac:dyDescent="0.2">
      <c r="A65" s="1632"/>
      <c r="B65" s="1791"/>
      <c r="C65" s="1634"/>
      <c r="D65" s="1843"/>
      <c r="E65" s="1781"/>
      <c r="F65" s="1634"/>
      <c r="G65" s="83"/>
      <c r="H65" s="64"/>
      <c r="I65" s="327"/>
      <c r="J65" s="64"/>
      <c r="K65" s="1822"/>
      <c r="L65" s="1265"/>
      <c r="M65" s="1265"/>
      <c r="N65" s="1263"/>
    </row>
    <row r="66" spans="1:14" ht="25.5" customHeight="1" x14ac:dyDescent="0.2">
      <c r="A66" s="1632"/>
      <c r="B66" s="1791"/>
      <c r="C66" s="1634"/>
      <c r="D66" s="479" t="s">
        <v>155</v>
      </c>
      <c r="E66" s="1781"/>
      <c r="F66" s="1634"/>
      <c r="G66" s="788"/>
      <c r="H66" s="75"/>
      <c r="I66" s="979"/>
      <c r="J66" s="75"/>
      <c r="K66" s="85" t="s">
        <v>196</v>
      </c>
      <c r="L66" s="160">
        <v>100</v>
      </c>
      <c r="M66" s="160"/>
      <c r="N66" s="26"/>
    </row>
    <row r="67" spans="1:14" ht="40.5" customHeight="1" x14ac:dyDescent="0.2">
      <c r="A67" s="1632"/>
      <c r="B67" s="1791"/>
      <c r="C67" s="1634"/>
      <c r="D67" s="1223" t="s">
        <v>127</v>
      </c>
      <c r="E67" s="1784"/>
      <c r="F67" s="1832"/>
      <c r="G67" s="86"/>
      <c r="H67" s="1182"/>
      <c r="I67" s="147"/>
      <c r="J67" s="1182"/>
      <c r="K67" s="480" t="s">
        <v>197</v>
      </c>
      <c r="L67" s="47">
        <v>80</v>
      </c>
      <c r="M67" s="47">
        <v>100</v>
      </c>
      <c r="N67" s="21"/>
    </row>
    <row r="68" spans="1:14" ht="15" customHeight="1" x14ac:dyDescent="0.2">
      <c r="A68" s="1219"/>
      <c r="B68" s="1230"/>
      <c r="C68" s="1222"/>
      <c r="D68" s="1625" t="s">
        <v>311</v>
      </c>
      <c r="E68" s="1259" t="s">
        <v>47</v>
      </c>
      <c r="F68" s="1834"/>
      <c r="G68" s="374" t="s">
        <v>45</v>
      </c>
      <c r="H68" s="1181"/>
      <c r="I68" s="187">
        <v>40</v>
      </c>
      <c r="J68" s="1181"/>
      <c r="K68" s="1255" t="s">
        <v>46</v>
      </c>
      <c r="L68" s="430">
        <v>1</v>
      </c>
      <c r="M68" s="630"/>
      <c r="N68" s="745"/>
    </row>
    <row r="69" spans="1:14" ht="15" customHeight="1" x14ac:dyDescent="0.2">
      <c r="A69" s="1219"/>
      <c r="B69" s="1230"/>
      <c r="C69" s="1222"/>
      <c r="D69" s="1631"/>
      <c r="E69" s="518"/>
      <c r="F69" s="1835"/>
      <c r="G69" s="83"/>
      <c r="H69" s="62"/>
      <c r="I69" s="99"/>
      <c r="J69" s="62"/>
      <c r="K69" s="1231" t="s">
        <v>151</v>
      </c>
      <c r="L69" s="442"/>
      <c r="M69" s="445">
        <v>30</v>
      </c>
      <c r="N69" s="575">
        <v>60</v>
      </c>
    </row>
    <row r="70" spans="1:14" ht="11.25" customHeight="1" x14ac:dyDescent="0.2">
      <c r="A70" s="1219"/>
      <c r="B70" s="1230"/>
      <c r="C70" s="1222"/>
      <c r="D70" s="1833"/>
      <c r="E70" s="1258"/>
      <c r="F70" s="1836"/>
      <c r="G70" s="124"/>
      <c r="H70" s="1182"/>
      <c r="I70" s="147"/>
      <c r="J70" s="1182"/>
      <c r="K70" s="1275"/>
      <c r="L70" s="444"/>
      <c r="M70" s="516"/>
      <c r="N70" s="457"/>
    </row>
    <row r="71" spans="1:14" ht="15" customHeight="1" x14ac:dyDescent="0.2">
      <c r="A71" s="1219"/>
      <c r="B71" s="1230"/>
      <c r="C71" s="1222"/>
      <c r="D71" s="1807" t="s">
        <v>305</v>
      </c>
      <c r="E71" s="1808" t="s">
        <v>47</v>
      </c>
      <c r="F71" s="1829"/>
      <c r="G71" s="324"/>
      <c r="H71" s="62"/>
      <c r="I71" s="99"/>
      <c r="J71" s="62"/>
      <c r="K71" s="1726" t="s">
        <v>46</v>
      </c>
      <c r="L71" s="1217">
        <v>1</v>
      </c>
      <c r="M71" s="1262"/>
      <c r="N71" s="1279"/>
    </row>
    <row r="72" spans="1:14" ht="12.75" customHeight="1" x14ac:dyDescent="0.2">
      <c r="A72" s="1219"/>
      <c r="B72" s="1230"/>
      <c r="C72" s="1222"/>
      <c r="D72" s="1655"/>
      <c r="E72" s="1828"/>
      <c r="F72" s="1829"/>
      <c r="G72" s="124"/>
      <c r="H72" s="1182"/>
      <c r="I72" s="147"/>
      <c r="J72" s="1182"/>
      <c r="K72" s="1830"/>
      <c r="L72" s="1283"/>
      <c r="M72" s="300"/>
      <c r="N72" s="1263"/>
    </row>
    <row r="73" spans="1:14" ht="16.5" customHeight="1" thickBot="1" x14ac:dyDescent="0.25">
      <c r="A73" s="68"/>
      <c r="B73" s="1243"/>
      <c r="C73" s="95"/>
      <c r="D73" s="223"/>
      <c r="E73" s="781"/>
      <c r="F73" s="95"/>
      <c r="G73" s="89" t="s">
        <v>6</v>
      </c>
      <c r="H73" s="89">
        <f>SUM(H59:H72)</f>
        <v>3716.7</v>
      </c>
      <c r="I73" s="89">
        <f t="shared" ref="I73:J73" si="2">SUM(I59:I72)</f>
        <v>1248.5999999999999</v>
      </c>
      <c r="J73" s="89">
        <f t="shared" si="2"/>
        <v>500</v>
      </c>
      <c r="K73" s="757"/>
      <c r="L73" s="178"/>
      <c r="M73" s="636"/>
      <c r="N73" s="534"/>
    </row>
    <row r="74" spans="1:14" ht="14.1" customHeight="1" x14ac:dyDescent="0.2">
      <c r="A74" s="1241" t="s">
        <v>5</v>
      </c>
      <c r="B74" s="259" t="s">
        <v>5</v>
      </c>
      <c r="C74" s="1280" t="s">
        <v>33</v>
      </c>
      <c r="D74" s="1837" t="s">
        <v>51</v>
      </c>
      <c r="E74" s="1839" t="s">
        <v>88</v>
      </c>
      <c r="F74" s="115" t="s">
        <v>43</v>
      </c>
      <c r="G74" s="1181" t="s">
        <v>100</v>
      </c>
      <c r="H74" s="1181">
        <v>54.3</v>
      </c>
      <c r="I74" s="121"/>
      <c r="J74" s="1181"/>
      <c r="K74" s="1345"/>
      <c r="L74" s="255"/>
      <c r="M74" s="625"/>
      <c r="N74" s="652"/>
    </row>
    <row r="75" spans="1:14" ht="14.1" customHeight="1" x14ac:dyDescent="0.2">
      <c r="A75" s="1219"/>
      <c r="B75" s="1230"/>
      <c r="C75" s="1221"/>
      <c r="D75" s="1838"/>
      <c r="E75" s="1840"/>
      <c r="F75" s="1229"/>
      <c r="G75" s="62" t="s">
        <v>48</v>
      </c>
      <c r="H75" s="62">
        <v>1300</v>
      </c>
      <c r="I75" s="99"/>
      <c r="J75" s="62"/>
      <c r="K75" s="1232"/>
      <c r="L75" s="1283"/>
      <c r="M75" s="300"/>
      <c r="N75" s="1263"/>
    </row>
    <row r="76" spans="1:14" ht="14.1" customHeight="1" x14ac:dyDescent="0.2">
      <c r="A76" s="1219"/>
      <c r="B76" s="1230"/>
      <c r="C76" s="1221"/>
      <c r="D76" s="525"/>
      <c r="E76" s="1840"/>
      <c r="F76" s="1229"/>
      <c r="G76" s="46" t="s">
        <v>25</v>
      </c>
      <c r="H76" s="62">
        <v>10</v>
      </c>
      <c r="I76" s="99">
        <v>24.6</v>
      </c>
      <c r="J76" s="62">
        <v>22.5</v>
      </c>
      <c r="K76" s="1232"/>
      <c r="L76" s="1283"/>
      <c r="M76" s="300"/>
      <c r="N76" s="1263"/>
    </row>
    <row r="77" spans="1:14" ht="14.1" customHeight="1" x14ac:dyDescent="0.2">
      <c r="A77" s="1219"/>
      <c r="B77" s="1230"/>
      <c r="C77" s="1221"/>
      <c r="D77" s="525"/>
      <c r="E77" s="1841"/>
      <c r="F77" s="1229"/>
      <c r="G77" s="83" t="s">
        <v>44</v>
      </c>
      <c r="H77" s="62"/>
      <c r="I77" s="99">
        <v>425</v>
      </c>
      <c r="J77" s="62">
        <v>425</v>
      </c>
      <c r="K77" s="1232"/>
      <c r="L77" s="1283"/>
      <c r="M77" s="300"/>
      <c r="N77" s="1263"/>
    </row>
    <row r="78" spans="1:14" ht="15" customHeight="1" x14ac:dyDescent="0.2">
      <c r="A78" s="1219"/>
      <c r="B78" s="1230"/>
      <c r="C78" s="1221"/>
      <c r="D78" s="1625" t="s">
        <v>59</v>
      </c>
      <c r="E78" s="1808" t="s">
        <v>47</v>
      </c>
      <c r="F78" s="1781"/>
      <c r="G78" s="1181"/>
      <c r="H78" s="1181"/>
      <c r="I78" s="121"/>
      <c r="J78" s="1181"/>
      <c r="K78" s="1842" t="s">
        <v>235</v>
      </c>
      <c r="L78" s="1217">
        <v>100</v>
      </c>
      <c r="M78" s="1262"/>
      <c r="N78" s="1279"/>
    </row>
    <row r="79" spans="1:14" ht="15" customHeight="1" x14ac:dyDescent="0.2">
      <c r="A79" s="1219"/>
      <c r="B79" s="1230"/>
      <c r="C79" s="1221"/>
      <c r="D79" s="1631"/>
      <c r="E79" s="1828"/>
      <c r="F79" s="1781"/>
      <c r="G79" s="1182"/>
      <c r="H79" s="1182"/>
      <c r="I79" s="147"/>
      <c r="J79" s="1182"/>
      <c r="K79" s="1758"/>
      <c r="L79" s="1283"/>
      <c r="M79" s="300"/>
      <c r="N79" s="1263"/>
    </row>
    <row r="80" spans="1:14" ht="14.25" customHeight="1" x14ac:dyDescent="0.2">
      <c r="A80" s="1632"/>
      <c r="B80" s="1791"/>
      <c r="C80" s="1634"/>
      <c r="D80" s="1807" t="s">
        <v>267</v>
      </c>
      <c r="E80" s="1824" t="s">
        <v>47</v>
      </c>
      <c r="F80" s="1825"/>
      <c r="G80" s="46"/>
      <c r="H80" s="62"/>
      <c r="I80" s="99"/>
      <c r="J80" s="62"/>
      <c r="K80" s="1255" t="s">
        <v>46</v>
      </c>
      <c r="L80" s="1217">
        <v>1</v>
      </c>
      <c r="M80" s="1262"/>
      <c r="N80" s="1279"/>
    </row>
    <row r="81" spans="1:14" ht="21" customHeight="1" x14ac:dyDescent="0.2">
      <c r="A81" s="1632"/>
      <c r="B81" s="1791"/>
      <c r="C81" s="1634"/>
      <c r="D81" s="1655"/>
      <c r="E81" s="1677"/>
      <c r="F81" s="1825"/>
      <c r="G81" s="83"/>
      <c r="H81" s="62"/>
      <c r="I81" s="99"/>
      <c r="J81" s="62"/>
      <c r="K81" s="1821" t="s">
        <v>143</v>
      </c>
      <c r="L81" s="1283"/>
      <c r="M81" s="300">
        <v>50</v>
      </c>
      <c r="N81" s="1263">
        <v>100</v>
      </c>
    </row>
    <row r="82" spans="1:14" ht="18.75" customHeight="1" x14ac:dyDescent="0.2">
      <c r="A82" s="1632"/>
      <c r="B82" s="1791"/>
      <c r="C82" s="1634"/>
      <c r="D82" s="1655"/>
      <c r="E82" s="1677"/>
      <c r="F82" s="1825"/>
      <c r="G82" s="124"/>
      <c r="H82" s="1182"/>
      <c r="I82" s="147"/>
      <c r="J82" s="1182"/>
      <c r="K82" s="1822"/>
      <c r="L82" s="1283"/>
      <c r="M82" s="300"/>
      <c r="N82" s="1263"/>
    </row>
    <row r="83" spans="1:14" ht="16.5" customHeight="1" thickBot="1" x14ac:dyDescent="0.25">
      <c r="A83" s="68"/>
      <c r="B83" s="1243"/>
      <c r="C83" s="95"/>
      <c r="D83" s="223"/>
      <c r="E83" s="781"/>
      <c r="F83" s="95"/>
      <c r="G83" s="89" t="s">
        <v>6</v>
      </c>
      <c r="H83" s="89">
        <f>SUM(H74:H82)</f>
        <v>1364.3</v>
      </c>
      <c r="I83" s="89">
        <f t="shared" ref="I83:J83" si="3">SUM(I74:I82)</f>
        <v>449.6</v>
      </c>
      <c r="J83" s="89">
        <f t="shared" si="3"/>
        <v>447.5</v>
      </c>
      <c r="K83" s="757"/>
      <c r="L83" s="178"/>
      <c r="M83" s="636"/>
      <c r="N83" s="534"/>
    </row>
    <row r="84" spans="1:14" ht="14.1" customHeight="1" x14ac:dyDescent="0.2">
      <c r="A84" s="1241" t="s">
        <v>5</v>
      </c>
      <c r="B84" s="259" t="s">
        <v>5</v>
      </c>
      <c r="C84" s="1280" t="s">
        <v>34</v>
      </c>
      <c r="D84" s="1837" t="s">
        <v>95</v>
      </c>
      <c r="E84" s="1826" t="s">
        <v>86</v>
      </c>
      <c r="F84" s="1244" t="s">
        <v>43</v>
      </c>
      <c r="G84" s="1347" t="s">
        <v>25</v>
      </c>
      <c r="H84" s="176">
        <v>515.79999999999995</v>
      </c>
      <c r="I84" s="206">
        <v>82</v>
      </c>
      <c r="J84" s="176">
        <v>160.6</v>
      </c>
      <c r="K84" s="225"/>
      <c r="L84" s="328"/>
      <c r="M84" s="632"/>
      <c r="N84" s="527"/>
    </row>
    <row r="85" spans="1:14" ht="14.1" customHeight="1" x14ac:dyDescent="0.2">
      <c r="A85" s="1219"/>
      <c r="B85" s="1230"/>
      <c r="C85" s="1221"/>
      <c r="D85" s="1864"/>
      <c r="E85" s="1756"/>
      <c r="F85" s="1222"/>
      <c r="G85" s="751" t="s">
        <v>60</v>
      </c>
      <c r="H85" s="62">
        <v>18.2</v>
      </c>
      <c r="I85" s="99"/>
      <c r="J85" s="62"/>
      <c r="K85" s="1232"/>
      <c r="L85" s="791"/>
      <c r="M85" s="633"/>
      <c r="N85" s="318"/>
    </row>
    <row r="86" spans="1:14" ht="14.1" customHeight="1" x14ac:dyDescent="0.2">
      <c r="A86" s="1219"/>
      <c r="B86" s="1230"/>
      <c r="C86" s="1221"/>
      <c r="D86" s="1865"/>
      <c r="E86" s="1827"/>
      <c r="F86" s="1222"/>
      <c r="G86" s="86" t="s">
        <v>100</v>
      </c>
      <c r="H86" s="1182">
        <v>845.7</v>
      </c>
      <c r="I86" s="147">
        <v>800</v>
      </c>
      <c r="J86" s="1182">
        <v>800</v>
      </c>
      <c r="K86" s="200"/>
      <c r="L86" s="1261"/>
      <c r="M86" s="629"/>
      <c r="N86" s="31"/>
    </row>
    <row r="87" spans="1:14" ht="27" customHeight="1" x14ac:dyDescent="0.2">
      <c r="A87" s="1219"/>
      <c r="B87" s="1230"/>
      <c r="C87" s="1221"/>
      <c r="D87" s="1807" t="s">
        <v>352</v>
      </c>
      <c r="E87" s="107" t="s">
        <v>47</v>
      </c>
      <c r="F87" s="1222"/>
      <c r="G87" s="83"/>
      <c r="H87" s="62"/>
      <c r="I87" s="99"/>
      <c r="J87" s="62"/>
      <c r="K87" s="1231" t="s">
        <v>353</v>
      </c>
      <c r="L87" s="791">
        <v>100</v>
      </c>
      <c r="M87" s="633"/>
      <c r="N87" s="318"/>
    </row>
    <row r="88" spans="1:14" ht="8.25" customHeight="1" x14ac:dyDescent="0.2">
      <c r="A88" s="1219"/>
      <c r="B88" s="1230"/>
      <c r="C88" s="1221"/>
      <c r="D88" s="1655"/>
      <c r="E88" s="1266"/>
      <c r="F88" s="1222"/>
      <c r="G88" s="541"/>
      <c r="H88" s="539"/>
      <c r="I88" s="147"/>
      <c r="J88" s="1182"/>
      <c r="K88" s="1268"/>
      <c r="L88" s="1261"/>
      <c r="M88" s="633"/>
      <c r="N88" s="318"/>
    </row>
    <row r="89" spans="1:14" ht="15.75" customHeight="1" x14ac:dyDescent="0.2">
      <c r="A89" s="1219"/>
      <c r="B89" s="1230"/>
      <c r="C89" s="1221"/>
      <c r="D89" s="1807" t="s">
        <v>218</v>
      </c>
      <c r="E89" s="107" t="s">
        <v>47</v>
      </c>
      <c r="F89" s="1222"/>
      <c r="G89" s="83"/>
      <c r="H89" s="62"/>
      <c r="I89" s="99"/>
      <c r="J89" s="62"/>
      <c r="K89" s="1726" t="s">
        <v>222</v>
      </c>
      <c r="L89" s="750">
        <v>10</v>
      </c>
      <c r="M89" s="734">
        <v>40</v>
      </c>
      <c r="N89" s="746">
        <v>80</v>
      </c>
    </row>
    <row r="90" spans="1:14" ht="19.5" customHeight="1" x14ac:dyDescent="0.2">
      <c r="A90" s="1219"/>
      <c r="B90" s="1230"/>
      <c r="C90" s="1221"/>
      <c r="D90" s="1823"/>
      <c r="E90" s="542"/>
      <c r="F90" s="1222"/>
      <c r="G90" s="1182"/>
      <c r="H90" s="1182"/>
      <c r="I90" s="147"/>
      <c r="J90" s="1182"/>
      <c r="K90" s="1796"/>
      <c r="L90" s="1261"/>
      <c r="M90" s="629"/>
      <c r="N90" s="31"/>
    </row>
    <row r="91" spans="1:14" ht="15" customHeight="1" x14ac:dyDescent="0.2">
      <c r="A91" s="1219"/>
      <c r="B91" s="1230"/>
      <c r="C91" s="1221"/>
      <c r="D91" s="1807" t="s">
        <v>135</v>
      </c>
      <c r="E91" s="1808" t="s">
        <v>336</v>
      </c>
      <c r="F91" s="1418"/>
      <c r="G91" s="83"/>
      <c r="H91" s="62"/>
      <c r="I91" s="121"/>
      <c r="J91" s="1181"/>
      <c r="K91" s="1419" t="s">
        <v>46</v>
      </c>
      <c r="L91" s="1413">
        <v>1</v>
      </c>
      <c r="M91" s="628"/>
      <c r="N91" s="1284"/>
    </row>
    <row r="92" spans="1:14" ht="39.75" customHeight="1" x14ac:dyDescent="0.2">
      <c r="A92" s="1219"/>
      <c r="B92" s="1230"/>
      <c r="C92" s="1222"/>
      <c r="D92" s="1816"/>
      <c r="E92" s="1817"/>
      <c r="F92" s="1418"/>
      <c r="G92" s="86"/>
      <c r="H92" s="1182"/>
      <c r="I92" s="147"/>
      <c r="J92" s="1182"/>
      <c r="K92" s="1421" t="s">
        <v>345</v>
      </c>
      <c r="L92" s="20"/>
      <c r="M92" s="301"/>
      <c r="N92" s="21"/>
    </row>
    <row r="93" spans="1:14" ht="14.25" customHeight="1" x14ac:dyDescent="0.2">
      <c r="A93" s="1219"/>
      <c r="B93" s="1230"/>
      <c r="C93" s="1221"/>
      <c r="D93" s="1807" t="s">
        <v>244</v>
      </c>
      <c r="E93" s="107" t="s">
        <v>47</v>
      </c>
      <c r="F93" s="1222"/>
      <c r="G93" s="83"/>
      <c r="H93" s="62"/>
      <c r="I93" s="99"/>
      <c r="J93" s="62"/>
      <c r="K93" s="1264" t="s">
        <v>46</v>
      </c>
      <c r="L93" s="543"/>
      <c r="M93" s="1819">
        <v>1</v>
      </c>
      <c r="N93" s="1284"/>
    </row>
    <row r="94" spans="1:14" ht="12.75" customHeight="1" x14ac:dyDescent="0.2">
      <c r="A94" s="1219"/>
      <c r="B94" s="1230"/>
      <c r="C94" s="1221"/>
      <c r="D94" s="1818"/>
      <c r="E94" s="689"/>
      <c r="F94" s="1222"/>
      <c r="G94" s="86"/>
      <c r="H94" s="1182"/>
      <c r="I94" s="147"/>
      <c r="J94" s="1182"/>
      <c r="K94" s="819"/>
      <c r="L94" s="791"/>
      <c r="M94" s="1820"/>
      <c r="N94" s="318"/>
    </row>
    <row r="95" spans="1:14" ht="16.5" customHeight="1" thickBot="1" x14ac:dyDescent="0.25">
      <c r="A95" s="68"/>
      <c r="B95" s="1243"/>
      <c r="C95" s="95"/>
      <c r="D95" s="223"/>
      <c r="E95" s="781"/>
      <c r="F95" s="95"/>
      <c r="G95" s="89" t="s">
        <v>6</v>
      </c>
      <c r="H95" s="89">
        <f>SUM(H84:H94)</f>
        <v>1379.7</v>
      </c>
      <c r="I95" s="89">
        <f>SUM(I84:I94)</f>
        <v>882</v>
      </c>
      <c r="J95" s="89">
        <f>SUM(J84:J94)</f>
        <v>960.6</v>
      </c>
      <c r="K95" s="757"/>
      <c r="L95" s="178"/>
      <c r="M95" s="636"/>
      <c r="N95" s="534"/>
    </row>
    <row r="96" spans="1:14" ht="29.25" customHeight="1" x14ac:dyDescent="0.2">
      <c r="A96" s="1219" t="s">
        <v>5</v>
      </c>
      <c r="B96" s="1230" t="s">
        <v>5</v>
      </c>
      <c r="C96" s="1221" t="s">
        <v>35</v>
      </c>
      <c r="D96" s="199" t="s">
        <v>72</v>
      </c>
      <c r="E96" s="389" t="s">
        <v>90</v>
      </c>
      <c r="F96" s="1276" t="s">
        <v>43</v>
      </c>
      <c r="G96" s="69"/>
      <c r="H96" s="76"/>
      <c r="I96" s="371"/>
      <c r="J96" s="76"/>
      <c r="K96" s="63"/>
      <c r="L96" s="53"/>
      <c r="M96" s="157"/>
      <c r="N96" s="299"/>
    </row>
    <row r="97" spans="1:16" ht="14.25" customHeight="1" x14ac:dyDescent="0.2">
      <c r="A97" s="1219"/>
      <c r="B97" s="1230"/>
      <c r="C97" s="1221"/>
      <c r="D97" s="1807" t="s">
        <v>133</v>
      </c>
      <c r="E97" s="1808" t="s">
        <v>336</v>
      </c>
      <c r="F97" s="1222"/>
      <c r="G97" s="64" t="s">
        <v>100</v>
      </c>
      <c r="H97" s="62">
        <v>243.1</v>
      </c>
      <c r="I97" s="99"/>
      <c r="J97" s="62">
        <v>1200</v>
      </c>
      <c r="K97" s="1264" t="s">
        <v>46</v>
      </c>
      <c r="L97" s="445">
        <v>1</v>
      </c>
      <c r="M97" s="1216"/>
      <c r="N97" s="1279"/>
    </row>
    <row r="98" spans="1:16" ht="13.5" customHeight="1" x14ac:dyDescent="0.2">
      <c r="A98" s="1219"/>
      <c r="B98" s="1230"/>
      <c r="C98" s="1221"/>
      <c r="D98" s="1655"/>
      <c r="E98" s="1809"/>
      <c r="F98" s="1222"/>
      <c r="G98" s="64" t="s">
        <v>268</v>
      </c>
      <c r="H98" s="62"/>
      <c r="I98" s="99">
        <v>5000</v>
      </c>
      <c r="J98" s="62">
        <v>8609.1</v>
      </c>
      <c r="K98" s="1761" t="s">
        <v>257</v>
      </c>
      <c r="L98" s="445"/>
      <c r="M98" s="1265">
        <v>60</v>
      </c>
      <c r="N98" s="1263">
        <v>90</v>
      </c>
    </row>
    <row r="99" spans="1:16" ht="14.25" customHeight="1" x14ac:dyDescent="0.2">
      <c r="A99" s="1219"/>
      <c r="B99" s="1230"/>
      <c r="C99" s="1221"/>
      <c r="D99" s="1655"/>
      <c r="E99" s="1809"/>
      <c r="F99" s="1222"/>
      <c r="G99" s="64" t="s">
        <v>331</v>
      </c>
      <c r="H99" s="62"/>
      <c r="I99" s="99">
        <v>10000</v>
      </c>
      <c r="J99" s="62"/>
      <c r="K99" s="1810"/>
      <c r="L99" s="445"/>
      <c r="M99" s="1265"/>
      <c r="N99" s="1263"/>
    </row>
    <row r="100" spans="1:16" ht="16.5" customHeight="1" thickBot="1" x14ac:dyDescent="0.25">
      <c r="A100" s="68"/>
      <c r="B100" s="1243"/>
      <c r="C100" s="95"/>
      <c r="D100" s="223"/>
      <c r="E100" s="781"/>
      <c r="F100" s="95"/>
      <c r="G100" s="89" t="s">
        <v>6</v>
      </c>
      <c r="H100" s="89">
        <f>SUM(H97:H99)</f>
        <v>243.1</v>
      </c>
      <c r="I100" s="89">
        <f>SUM(I97:I99)</f>
        <v>15000</v>
      </c>
      <c r="J100" s="89">
        <f>SUM(J97:J99)</f>
        <v>9809.1</v>
      </c>
      <c r="K100" s="757"/>
      <c r="L100" s="178"/>
      <c r="M100" s="636"/>
      <c r="N100" s="534"/>
    </row>
    <row r="101" spans="1:16" ht="27" customHeight="1" x14ac:dyDescent="0.2">
      <c r="A101" s="1219" t="s">
        <v>5</v>
      </c>
      <c r="B101" s="1230" t="s">
        <v>5</v>
      </c>
      <c r="C101" s="209" t="s">
        <v>36</v>
      </c>
      <c r="D101" s="108" t="s">
        <v>224</v>
      </c>
      <c r="E101" s="125"/>
      <c r="F101" s="1280" t="s">
        <v>43</v>
      </c>
      <c r="G101" s="740" t="s">
        <v>25</v>
      </c>
      <c r="H101" s="375">
        <v>28</v>
      </c>
      <c r="I101" s="123">
        <v>28</v>
      </c>
      <c r="J101" s="56">
        <v>28</v>
      </c>
      <c r="K101" s="70"/>
      <c r="L101" s="28"/>
      <c r="M101" s="637"/>
      <c r="N101" s="605"/>
    </row>
    <row r="102" spans="1:16" ht="13.5" customHeight="1" x14ac:dyDescent="0.2">
      <c r="A102" s="1219"/>
      <c r="B102" s="1230"/>
      <c r="C102" s="93"/>
      <c r="D102" s="407" t="s">
        <v>85</v>
      </c>
      <c r="E102" s="1251"/>
      <c r="F102" s="1221"/>
      <c r="G102" s="87"/>
      <c r="H102" s="1181"/>
      <c r="I102" s="121"/>
      <c r="J102" s="1181"/>
      <c r="K102" s="1811" t="s">
        <v>139</v>
      </c>
      <c r="L102" s="430">
        <v>100</v>
      </c>
      <c r="M102" s="630">
        <v>100</v>
      </c>
      <c r="N102" s="745">
        <v>100</v>
      </c>
    </row>
    <row r="103" spans="1:16" ht="16.5" customHeight="1" x14ac:dyDescent="0.2">
      <c r="A103" s="1219"/>
      <c r="B103" s="1230"/>
      <c r="C103" s="93"/>
      <c r="D103" s="142"/>
      <c r="E103" s="1278"/>
      <c r="F103" s="1222"/>
      <c r="G103" s="83"/>
      <c r="H103" s="62"/>
      <c r="I103" s="99"/>
      <c r="J103" s="62"/>
      <c r="K103" s="1812"/>
      <c r="L103" s="442"/>
      <c r="M103" s="445"/>
      <c r="N103" s="575"/>
    </row>
    <row r="104" spans="1:16" s="9" customFormat="1" ht="49.5" customHeight="1" x14ac:dyDescent="0.2">
      <c r="A104" s="1219"/>
      <c r="B104" s="1230"/>
      <c r="C104" s="1221"/>
      <c r="D104" s="481" t="s">
        <v>77</v>
      </c>
      <c r="E104" s="241"/>
      <c r="F104" s="1276"/>
      <c r="G104" s="741"/>
      <c r="H104" s="330"/>
      <c r="I104" s="329"/>
      <c r="J104" s="330"/>
      <c r="K104" s="1813"/>
      <c r="L104" s="431"/>
      <c r="M104" s="634"/>
      <c r="N104" s="653"/>
      <c r="P104" s="1"/>
    </row>
    <row r="105" spans="1:16" ht="16.5" customHeight="1" thickBot="1" x14ac:dyDescent="0.25">
      <c r="A105" s="68"/>
      <c r="B105" s="1243"/>
      <c r="C105" s="95"/>
      <c r="D105" s="223"/>
      <c r="E105" s="781"/>
      <c r="F105" s="95"/>
      <c r="G105" s="89" t="s">
        <v>6</v>
      </c>
      <c r="H105" s="89">
        <f>SUM(H101:H104)</f>
        <v>28</v>
      </c>
      <c r="I105" s="89">
        <f t="shared" ref="I105:J105" si="4">SUM(I101:I104)</f>
        <v>28</v>
      </c>
      <c r="J105" s="89">
        <f t="shared" si="4"/>
        <v>28</v>
      </c>
      <c r="K105" s="757"/>
      <c r="L105" s="178"/>
      <c r="M105" s="636"/>
      <c r="N105" s="534"/>
    </row>
    <row r="106" spans="1:16" ht="14.25" customHeight="1" thickBot="1" x14ac:dyDescent="0.25">
      <c r="A106" s="78" t="s">
        <v>5</v>
      </c>
      <c r="B106" s="260" t="s">
        <v>5</v>
      </c>
      <c r="C106" s="1773" t="s">
        <v>8</v>
      </c>
      <c r="D106" s="1732"/>
      <c r="E106" s="1732"/>
      <c r="F106" s="1732"/>
      <c r="G106" s="1733"/>
      <c r="H106" s="136">
        <f>H105+H100+H95+H83+H73+H58+H42</f>
        <v>10120</v>
      </c>
      <c r="I106" s="136">
        <f>I105+I100+I95+I83+I73+I58+I42</f>
        <v>20747.5</v>
      </c>
      <c r="J106" s="136">
        <f>J105+J100+J95+J83+J73+J58+J42</f>
        <v>15679.6</v>
      </c>
      <c r="K106" s="1246"/>
      <c r="L106" s="1277"/>
      <c r="M106" s="1277"/>
      <c r="N106" s="1247"/>
    </row>
    <row r="107" spans="1:16" ht="14.25" customHeight="1" thickBot="1" x14ac:dyDescent="0.25">
      <c r="A107" s="78" t="s">
        <v>5</v>
      </c>
      <c r="B107" s="260" t="s">
        <v>7</v>
      </c>
      <c r="C107" s="1799" t="s">
        <v>32</v>
      </c>
      <c r="D107" s="1799"/>
      <c r="E107" s="1799"/>
      <c r="F107" s="1799"/>
      <c r="G107" s="1799"/>
      <c r="H107" s="1800"/>
      <c r="I107" s="1800"/>
      <c r="J107" s="1800"/>
      <c r="K107" s="1799"/>
      <c r="L107" s="1736"/>
      <c r="M107" s="1736"/>
      <c r="N107" s="1801"/>
    </row>
    <row r="108" spans="1:16" ht="14.1" customHeight="1" x14ac:dyDescent="0.2">
      <c r="A108" s="1241" t="s">
        <v>5</v>
      </c>
      <c r="B108" s="259" t="s">
        <v>7</v>
      </c>
      <c r="C108" s="1280" t="s">
        <v>5</v>
      </c>
      <c r="D108" s="210" t="s">
        <v>56</v>
      </c>
      <c r="E108" s="1814" t="s">
        <v>114</v>
      </c>
      <c r="F108" s="1239">
        <v>6</v>
      </c>
      <c r="G108" s="176" t="s">
        <v>25</v>
      </c>
      <c r="H108" s="206">
        <v>5098.3</v>
      </c>
      <c r="I108" s="206">
        <f>5248-99+5</f>
        <v>5154</v>
      </c>
      <c r="J108" s="206">
        <f>5245.4+5</f>
        <v>5250.4</v>
      </c>
      <c r="K108" s="1348"/>
      <c r="L108" s="1351"/>
      <c r="M108" s="1352"/>
      <c r="N108" s="1353"/>
    </row>
    <row r="109" spans="1:16" ht="14.1" customHeight="1" x14ac:dyDescent="0.2">
      <c r="A109" s="1219"/>
      <c r="B109" s="1230"/>
      <c r="C109" s="1221"/>
      <c r="D109" s="339"/>
      <c r="E109" s="1701"/>
      <c r="F109" s="1222"/>
      <c r="G109" s="83" t="s">
        <v>68</v>
      </c>
      <c r="H109" s="83">
        <v>198.7</v>
      </c>
      <c r="I109" s="83">
        <v>295.7</v>
      </c>
      <c r="J109" s="83">
        <v>107</v>
      </c>
      <c r="K109" s="166"/>
      <c r="L109" s="164"/>
      <c r="M109" s="513"/>
      <c r="N109" s="537"/>
    </row>
    <row r="110" spans="1:16" ht="14.1" customHeight="1" x14ac:dyDescent="0.2">
      <c r="A110" s="1219"/>
      <c r="B110" s="1230"/>
      <c r="C110" s="1221"/>
      <c r="D110" s="340"/>
      <c r="E110" s="1815"/>
      <c r="F110" s="1273"/>
      <c r="G110" s="86" t="s">
        <v>75</v>
      </c>
      <c r="H110" s="86">
        <f>350+55</f>
        <v>405</v>
      </c>
      <c r="I110" s="86"/>
      <c r="J110" s="86"/>
      <c r="K110" s="192"/>
      <c r="L110" s="191"/>
      <c r="M110" s="514"/>
      <c r="N110" s="1354"/>
    </row>
    <row r="111" spans="1:16" ht="14.25" customHeight="1" x14ac:dyDescent="0.2">
      <c r="A111" s="1219"/>
      <c r="B111" s="1230"/>
      <c r="C111" s="1221"/>
      <c r="D111" s="1233" t="s">
        <v>52</v>
      </c>
      <c r="E111" s="681"/>
      <c r="F111" s="1240"/>
      <c r="G111" s="82"/>
      <c r="H111" s="1355"/>
      <c r="I111" s="1356"/>
      <c r="J111" s="1356"/>
      <c r="K111" s="1350"/>
      <c r="L111" s="164"/>
      <c r="M111" s="513"/>
      <c r="N111" s="537"/>
    </row>
    <row r="112" spans="1:16" ht="15.75" customHeight="1" x14ac:dyDescent="0.2">
      <c r="A112" s="1219"/>
      <c r="B112" s="1230"/>
      <c r="C112" s="1221"/>
      <c r="D112" s="1802" t="s">
        <v>78</v>
      </c>
      <c r="E112" s="681"/>
      <c r="F112" s="1221"/>
      <c r="G112" s="83"/>
      <c r="H112" s="62"/>
      <c r="I112" s="127"/>
      <c r="J112" s="127"/>
      <c r="K112" s="1231" t="s">
        <v>41</v>
      </c>
      <c r="L112" s="215">
        <v>6</v>
      </c>
      <c r="M112" s="215">
        <v>6</v>
      </c>
      <c r="N112" s="40">
        <v>6</v>
      </c>
    </row>
    <row r="113" spans="1:15" ht="14.25" customHeight="1" x14ac:dyDescent="0.2">
      <c r="A113" s="1219"/>
      <c r="B113" s="1230"/>
      <c r="C113" s="1221"/>
      <c r="D113" s="1802"/>
      <c r="E113" s="1227"/>
      <c r="F113" s="1221"/>
      <c r="G113" s="83"/>
      <c r="H113" s="62"/>
      <c r="I113" s="127"/>
      <c r="J113" s="127"/>
      <c r="K113" s="1282"/>
      <c r="L113" s="682"/>
      <c r="M113" s="310"/>
      <c r="N113" s="731"/>
    </row>
    <row r="114" spans="1:15" ht="19.5" customHeight="1" x14ac:dyDescent="0.2">
      <c r="A114" s="1219"/>
      <c r="B114" s="1230"/>
      <c r="C114" s="1221"/>
      <c r="D114" s="212" t="s">
        <v>79</v>
      </c>
      <c r="E114" s="1227"/>
      <c r="F114" s="1221"/>
      <c r="G114" s="83"/>
      <c r="H114" s="62"/>
      <c r="I114" s="127"/>
      <c r="J114" s="62"/>
      <c r="K114" s="85" t="s">
        <v>145</v>
      </c>
      <c r="L114" s="34">
        <v>4</v>
      </c>
      <c r="M114" s="635">
        <v>4</v>
      </c>
      <c r="N114" s="35">
        <v>4</v>
      </c>
    </row>
    <row r="115" spans="1:15" ht="26.25" customHeight="1" x14ac:dyDescent="0.2">
      <c r="A115" s="1219"/>
      <c r="B115" s="1230"/>
      <c r="C115" s="1221"/>
      <c r="D115" s="286" t="s">
        <v>80</v>
      </c>
      <c r="E115" s="1227"/>
      <c r="F115" s="1221"/>
      <c r="G115" s="82"/>
      <c r="H115" s="62"/>
      <c r="I115" s="127"/>
      <c r="J115" s="62"/>
      <c r="K115" s="1282" t="s">
        <v>146</v>
      </c>
      <c r="L115" s="182">
        <v>24.8</v>
      </c>
      <c r="M115" s="422">
        <v>24.8</v>
      </c>
      <c r="N115" s="756">
        <v>24.8</v>
      </c>
    </row>
    <row r="116" spans="1:15" ht="21.75" customHeight="1" x14ac:dyDescent="0.2">
      <c r="A116" s="1219"/>
      <c r="B116" s="1230"/>
      <c r="C116" s="1221"/>
      <c r="D116" s="1803" t="s">
        <v>134</v>
      </c>
      <c r="E116" s="1227"/>
      <c r="F116" s="1221"/>
      <c r="G116" s="83"/>
      <c r="H116" s="62"/>
      <c r="I116" s="127"/>
      <c r="J116" s="127"/>
      <c r="K116" s="1805" t="s">
        <v>337</v>
      </c>
      <c r="L116" s="508">
        <v>4</v>
      </c>
      <c r="M116" s="507">
        <v>3</v>
      </c>
      <c r="N116" s="195">
        <v>3</v>
      </c>
    </row>
    <row r="117" spans="1:15" ht="15.75" customHeight="1" x14ac:dyDescent="0.2">
      <c r="A117" s="1219"/>
      <c r="B117" s="1230"/>
      <c r="C117" s="1221"/>
      <c r="D117" s="1804"/>
      <c r="E117" s="681"/>
      <c r="F117" s="1221"/>
      <c r="G117" s="83"/>
      <c r="H117" s="62"/>
      <c r="I117" s="83"/>
      <c r="J117" s="83"/>
      <c r="K117" s="1806"/>
      <c r="L117" s="47"/>
      <c r="M117" s="20"/>
      <c r="N117" s="1263"/>
    </row>
    <row r="118" spans="1:15" ht="14.25" customHeight="1" x14ac:dyDescent="0.2">
      <c r="A118" s="1219"/>
      <c r="B118" s="1230"/>
      <c r="C118" s="1221"/>
      <c r="D118" s="270" t="s">
        <v>163</v>
      </c>
      <c r="E118" s="681"/>
      <c r="F118" s="1221"/>
      <c r="G118" s="145"/>
      <c r="H118" s="1349"/>
      <c r="I118" s="139"/>
      <c r="J118" s="139"/>
      <c r="K118" s="1231"/>
      <c r="L118" s="188"/>
      <c r="M118" s="491"/>
      <c r="N118" s="306"/>
    </row>
    <row r="119" spans="1:15" ht="52.5" customHeight="1" x14ac:dyDescent="0.2">
      <c r="A119" s="1219"/>
      <c r="B119" s="1230"/>
      <c r="C119" s="1221"/>
      <c r="D119" s="271" t="s">
        <v>164</v>
      </c>
      <c r="E119" s="681"/>
      <c r="F119" s="1221"/>
      <c r="G119" s="83"/>
      <c r="H119" s="62"/>
      <c r="I119" s="127"/>
      <c r="J119" s="62"/>
      <c r="K119" s="44" t="s">
        <v>159</v>
      </c>
      <c r="L119" s="308">
        <v>21</v>
      </c>
      <c r="M119" s="337">
        <v>21</v>
      </c>
      <c r="N119" s="731">
        <v>21</v>
      </c>
      <c r="O119" s="683"/>
    </row>
    <row r="120" spans="1:15" ht="22.5" customHeight="1" x14ac:dyDescent="0.2">
      <c r="A120" s="1219"/>
      <c r="B120" s="1230"/>
      <c r="C120" s="1221"/>
      <c r="D120" s="1793" t="s">
        <v>165</v>
      </c>
      <c r="E120" s="681"/>
      <c r="F120" s="1221"/>
      <c r="G120" s="83"/>
      <c r="H120" s="62"/>
      <c r="I120" s="127"/>
      <c r="J120" s="127"/>
      <c r="K120" s="1795" t="s">
        <v>225</v>
      </c>
      <c r="L120" s="307"/>
      <c r="M120" s="1265"/>
      <c r="N120" s="1263">
        <v>17</v>
      </c>
    </row>
    <row r="121" spans="1:15" ht="21" customHeight="1" x14ac:dyDescent="0.2">
      <c r="A121" s="1219"/>
      <c r="B121" s="1230"/>
      <c r="C121" s="1221"/>
      <c r="D121" s="1794"/>
      <c r="E121" s="681"/>
      <c r="F121" s="1221"/>
      <c r="G121" s="86"/>
      <c r="H121" s="1182"/>
      <c r="I121" s="128"/>
      <c r="J121" s="128"/>
      <c r="K121" s="1796"/>
      <c r="L121" s="305"/>
      <c r="M121" s="47"/>
      <c r="N121" s="21"/>
    </row>
    <row r="122" spans="1:15" ht="18" customHeight="1" x14ac:dyDescent="0.2">
      <c r="A122" s="1632"/>
      <c r="B122" s="1633"/>
      <c r="C122" s="1634"/>
      <c r="D122" s="1729" t="s">
        <v>42</v>
      </c>
      <c r="E122" s="1781"/>
      <c r="F122" s="1634"/>
      <c r="G122" s="83"/>
      <c r="H122" s="62"/>
      <c r="I122" s="127"/>
      <c r="J122" s="127"/>
      <c r="K122" s="1797" t="s">
        <v>54</v>
      </c>
      <c r="L122" s="1785">
        <v>7</v>
      </c>
      <c r="M122" s="1787">
        <v>7</v>
      </c>
      <c r="N122" s="1789">
        <v>7</v>
      </c>
    </row>
    <row r="123" spans="1:15" ht="15" customHeight="1" x14ac:dyDescent="0.2">
      <c r="A123" s="1632"/>
      <c r="B123" s="1633"/>
      <c r="C123" s="1634"/>
      <c r="D123" s="1783"/>
      <c r="E123" s="1781"/>
      <c r="F123" s="1634"/>
      <c r="G123" s="86"/>
      <c r="H123" s="1182"/>
      <c r="I123" s="128"/>
      <c r="J123" s="128"/>
      <c r="K123" s="1798"/>
      <c r="L123" s="1786"/>
      <c r="M123" s="1788"/>
      <c r="N123" s="1790"/>
    </row>
    <row r="124" spans="1:15" ht="15" customHeight="1" x14ac:dyDescent="0.2">
      <c r="A124" s="1632"/>
      <c r="B124" s="1791"/>
      <c r="C124" s="1634"/>
      <c r="D124" s="1759" t="s">
        <v>328</v>
      </c>
      <c r="E124" s="1792"/>
      <c r="F124" s="1728"/>
      <c r="G124" s="87"/>
      <c r="H124" s="1181"/>
      <c r="I124" s="126"/>
      <c r="J124" s="1181"/>
      <c r="K124" s="1255" t="s">
        <v>191</v>
      </c>
      <c r="L124" s="1262"/>
      <c r="M124" s="1216"/>
      <c r="N124" s="1279"/>
    </row>
    <row r="125" spans="1:15" ht="15" customHeight="1" x14ac:dyDescent="0.2">
      <c r="A125" s="1632"/>
      <c r="B125" s="1791"/>
      <c r="C125" s="1634"/>
      <c r="D125" s="1669"/>
      <c r="E125" s="1792"/>
      <c r="F125" s="1728"/>
      <c r="G125" s="83"/>
      <c r="H125" s="62"/>
      <c r="I125" s="127"/>
      <c r="J125" s="62"/>
      <c r="K125" s="1231" t="s">
        <v>355</v>
      </c>
      <c r="L125" s="300">
        <v>1</v>
      </c>
      <c r="M125" s="1265">
        <v>1</v>
      </c>
      <c r="N125" s="1263">
        <v>1</v>
      </c>
    </row>
    <row r="126" spans="1:15" ht="25.5" customHeight="1" x14ac:dyDescent="0.2">
      <c r="A126" s="1632"/>
      <c r="B126" s="1791"/>
      <c r="C126" s="1634"/>
      <c r="D126" s="1669"/>
      <c r="E126" s="1792"/>
      <c r="F126" s="1728"/>
      <c r="G126" s="83"/>
      <c r="H126" s="62"/>
      <c r="I126" s="83"/>
      <c r="J126" s="62"/>
      <c r="K126" s="1231" t="s">
        <v>354</v>
      </c>
      <c r="L126" s="300">
        <v>1</v>
      </c>
      <c r="M126" s="1265">
        <v>1</v>
      </c>
      <c r="N126" s="1263">
        <v>1</v>
      </c>
    </row>
    <row r="127" spans="1:15" ht="12.75" customHeight="1" x14ac:dyDescent="0.2">
      <c r="A127" s="1219"/>
      <c r="B127" s="1230"/>
      <c r="C127" s="1221"/>
      <c r="D127" s="1233"/>
      <c r="E127" s="1227"/>
      <c r="F127" s="1222"/>
      <c r="G127" s="83"/>
      <c r="H127" s="62"/>
      <c r="I127" s="99"/>
      <c r="J127" s="62"/>
      <c r="K127" s="1231" t="s">
        <v>276</v>
      </c>
      <c r="L127" s="300">
        <v>1</v>
      </c>
      <c r="M127" s="1265">
        <v>1</v>
      </c>
      <c r="N127" s="1263"/>
    </row>
    <row r="128" spans="1:15" ht="15" customHeight="1" x14ac:dyDescent="0.2">
      <c r="A128" s="1219"/>
      <c r="B128" s="1230"/>
      <c r="C128" s="1221"/>
      <c r="D128" s="1233"/>
      <c r="E128" s="681"/>
      <c r="F128" s="1222"/>
      <c r="G128" s="83"/>
      <c r="H128" s="62"/>
      <c r="I128" s="99"/>
      <c r="J128" s="62"/>
      <c r="K128" s="1231" t="s">
        <v>275</v>
      </c>
      <c r="L128" s="300">
        <v>1</v>
      </c>
      <c r="M128" s="1265">
        <v>1</v>
      </c>
      <c r="N128" s="1263">
        <v>1</v>
      </c>
    </row>
    <row r="129" spans="1:18" ht="7.5" customHeight="1" x14ac:dyDescent="0.2">
      <c r="A129" s="1219"/>
      <c r="B129" s="1230"/>
      <c r="C129" s="1221"/>
      <c r="D129" s="1233"/>
      <c r="E129" s="1227"/>
      <c r="F129" s="1222"/>
      <c r="G129" s="83"/>
      <c r="H129" s="62"/>
      <c r="I129" s="99"/>
      <c r="J129" s="62"/>
      <c r="K129" s="1231"/>
      <c r="L129" s="300"/>
      <c r="M129" s="1265"/>
      <c r="N129" s="1263"/>
    </row>
    <row r="130" spans="1:18" ht="22.5" customHeight="1" x14ac:dyDescent="0.2">
      <c r="A130" s="1632"/>
      <c r="B130" s="1791"/>
      <c r="C130" s="1634"/>
      <c r="D130" s="1729" t="s">
        <v>132</v>
      </c>
      <c r="E130" s="1780" t="s">
        <v>335</v>
      </c>
      <c r="F130" s="1728"/>
      <c r="G130" s="87"/>
      <c r="H130" s="1181"/>
      <c r="I130" s="121"/>
      <c r="J130" s="1181"/>
      <c r="K130" s="1256" t="s">
        <v>277</v>
      </c>
      <c r="L130" s="911">
        <v>205</v>
      </c>
      <c r="M130" s="665"/>
      <c r="N130" s="579"/>
    </row>
    <row r="131" spans="1:18" ht="26.25" customHeight="1" x14ac:dyDescent="0.2">
      <c r="A131" s="1632"/>
      <c r="B131" s="1791"/>
      <c r="C131" s="1634"/>
      <c r="D131" s="1783"/>
      <c r="E131" s="1784"/>
      <c r="F131" s="1728"/>
      <c r="G131" s="86"/>
      <c r="H131" s="1182"/>
      <c r="I131" s="86"/>
      <c r="J131" s="1182"/>
      <c r="K131" s="1275" t="s">
        <v>278</v>
      </c>
      <c r="L131" s="1340">
        <f>65+18</f>
        <v>83</v>
      </c>
      <c r="M131" s="1341">
        <v>100</v>
      </c>
      <c r="N131" s="580"/>
    </row>
    <row r="132" spans="1:18" ht="19.5" customHeight="1" x14ac:dyDescent="0.2">
      <c r="A132" s="1225"/>
      <c r="B132" s="1230"/>
      <c r="C132" s="209"/>
      <c r="D132" s="1669" t="s">
        <v>208</v>
      </c>
      <c r="E132" s="1245"/>
      <c r="F132" s="1222"/>
      <c r="G132" s="62"/>
      <c r="H132" s="62"/>
      <c r="I132" s="83"/>
      <c r="J132" s="62"/>
      <c r="K132" s="1232" t="s">
        <v>209</v>
      </c>
      <c r="L132" s="245">
        <v>1</v>
      </c>
      <c r="M132" s="428"/>
      <c r="N132" s="1257"/>
      <c r="P132" s="50"/>
      <c r="Q132" s="50"/>
      <c r="R132" s="50"/>
    </row>
    <row r="133" spans="1:18" ht="15" customHeight="1" x14ac:dyDescent="0.2">
      <c r="A133" s="1225"/>
      <c r="B133" s="1230"/>
      <c r="C133" s="209"/>
      <c r="D133" s="1669"/>
      <c r="E133" s="1245"/>
      <c r="F133" s="1222"/>
      <c r="G133" s="1182"/>
      <c r="H133" s="1182"/>
      <c r="I133" s="128"/>
      <c r="J133" s="128"/>
      <c r="K133" s="1232"/>
      <c r="L133" s="316"/>
      <c r="M133" s="300"/>
      <c r="N133" s="1263"/>
    </row>
    <row r="134" spans="1:18" ht="16.5" customHeight="1" thickBot="1" x14ac:dyDescent="0.25">
      <c r="A134" s="68"/>
      <c r="B134" s="1243"/>
      <c r="C134" s="95"/>
      <c r="D134" s="223"/>
      <c r="E134" s="781"/>
      <c r="F134" s="95"/>
      <c r="G134" s="89" t="s">
        <v>6</v>
      </c>
      <c r="H134" s="89">
        <f>SUM(H108:H133)</f>
        <v>5702</v>
      </c>
      <c r="I134" s="89">
        <f t="shared" ref="I134:J134" si="5">SUM(I108:I133)</f>
        <v>5449.7</v>
      </c>
      <c r="J134" s="89">
        <f t="shared" si="5"/>
        <v>5357.4</v>
      </c>
      <c r="K134" s="757"/>
      <c r="L134" s="178"/>
      <c r="M134" s="636"/>
      <c r="N134" s="534"/>
    </row>
    <row r="135" spans="1:18" ht="27.75" customHeight="1" x14ac:dyDescent="0.2">
      <c r="A135" s="1235" t="s">
        <v>5</v>
      </c>
      <c r="B135" s="1237" t="s">
        <v>7</v>
      </c>
      <c r="C135" s="1239" t="s">
        <v>7</v>
      </c>
      <c r="D135" s="1032" t="s">
        <v>297</v>
      </c>
      <c r="E135" s="1020"/>
      <c r="F135" s="1024"/>
      <c r="G135" s="71"/>
      <c r="H135" s="91"/>
      <c r="I135" s="1026"/>
      <c r="J135" s="65"/>
      <c r="K135" s="1027"/>
      <c r="L135" s="1029"/>
      <c r="M135" s="1030"/>
      <c r="N135" s="1031"/>
    </row>
    <row r="136" spans="1:18" ht="14.25" customHeight="1" x14ac:dyDescent="0.2">
      <c r="A136" s="1225"/>
      <c r="B136" s="1230"/>
      <c r="C136" s="209"/>
      <c r="D136" s="1729" t="s">
        <v>122</v>
      </c>
      <c r="E136" s="1780" t="s">
        <v>252</v>
      </c>
      <c r="F136" s="1249">
        <v>6</v>
      </c>
      <c r="G136" s="87" t="s">
        <v>68</v>
      </c>
      <c r="H136" s="1181">
        <f>33.4+48</f>
        <v>81.400000000000006</v>
      </c>
      <c r="I136" s="1181">
        <v>80</v>
      </c>
      <c r="J136" s="1181"/>
      <c r="K136" s="1231" t="s">
        <v>211</v>
      </c>
      <c r="L136" s="1283">
        <v>8</v>
      </c>
      <c r="M136" s="1283">
        <v>5</v>
      </c>
      <c r="N136" s="1279"/>
    </row>
    <row r="137" spans="1:18" ht="13.5" customHeight="1" x14ac:dyDescent="0.2">
      <c r="A137" s="1225"/>
      <c r="B137" s="1230"/>
      <c r="C137" s="209"/>
      <c r="D137" s="1714"/>
      <c r="E137" s="1781"/>
      <c r="F137" s="1249"/>
      <c r="G137" s="83" t="s">
        <v>75</v>
      </c>
      <c r="H137" s="62">
        <v>6.8</v>
      </c>
      <c r="I137" s="62"/>
      <c r="J137" s="62"/>
      <c r="K137" s="1282"/>
      <c r="L137" s="682"/>
      <c r="M137" s="682"/>
      <c r="N137" s="731"/>
    </row>
    <row r="138" spans="1:18" ht="30" customHeight="1" x14ac:dyDescent="0.2">
      <c r="A138" s="1225"/>
      <c r="B138" s="1230"/>
      <c r="C138" s="209"/>
      <c r="D138" s="1782"/>
      <c r="E138" s="111"/>
      <c r="F138" s="1273"/>
      <c r="G138" s="86"/>
      <c r="H138" s="1182"/>
      <c r="I138" s="1182"/>
      <c r="J138" s="1182"/>
      <c r="K138" s="200" t="s">
        <v>123</v>
      </c>
      <c r="L138" s="20">
        <v>8</v>
      </c>
      <c r="M138" s="301">
        <v>5</v>
      </c>
      <c r="N138" s="21"/>
    </row>
    <row r="139" spans="1:18" ht="16.5" customHeight="1" x14ac:dyDescent="0.2">
      <c r="A139" s="317"/>
      <c r="B139" s="1238"/>
      <c r="C139" s="1249"/>
      <c r="D139" s="1729" t="s">
        <v>298</v>
      </c>
      <c r="E139" s="1227" t="s">
        <v>47</v>
      </c>
      <c r="F139" s="1222" t="s">
        <v>43</v>
      </c>
      <c r="G139" s="590" t="s">
        <v>68</v>
      </c>
      <c r="H139" s="62">
        <v>462.4</v>
      </c>
      <c r="I139" s="99">
        <v>160</v>
      </c>
      <c r="J139" s="62">
        <v>354.4</v>
      </c>
      <c r="K139" s="1282" t="s">
        <v>270</v>
      </c>
      <c r="L139" s="838" t="s">
        <v>269</v>
      </c>
      <c r="M139" s="649"/>
      <c r="N139" s="524"/>
    </row>
    <row r="140" spans="1:18" ht="15" customHeight="1" x14ac:dyDescent="0.2">
      <c r="A140" s="317"/>
      <c r="B140" s="1238"/>
      <c r="C140" s="1249"/>
      <c r="D140" s="1730"/>
      <c r="E140" s="1227"/>
      <c r="F140" s="1222"/>
      <c r="G140" s="590" t="s">
        <v>60</v>
      </c>
      <c r="H140" s="62">
        <v>0.4</v>
      </c>
      <c r="I140" s="99"/>
      <c r="J140" s="62"/>
      <c r="K140" s="1253" t="s">
        <v>227</v>
      </c>
      <c r="L140" s="502" t="s">
        <v>55</v>
      </c>
      <c r="M140" s="188"/>
      <c r="N140" s="332"/>
    </row>
    <row r="141" spans="1:18" ht="15.75" customHeight="1" x14ac:dyDescent="0.2">
      <c r="A141" s="317"/>
      <c r="B141" s="1238"/>
      <c r="C141" s="1249"/>
      <c r="D141" s="1730"/>
      <c r="E141" s="1227"/>
      <c r="F141" s="1222"/>
      <c r="G141" s="590"/>
      <c r="H141" s="62"/>
      <c r="I141" s="99"/>
      <c r="J141" s="62"/>
      <c r="K141" s="659" t="s">
        <v>271</v>
      </c>
      <c r="L141" s="502"/>
      <c r="M141" s="188"/>
      <c r="N141" s="332" t="s">
        <v>200</v>
      </c>
    </row>
    <row r="142" spans="1:18" ht="40.5" customHeight="1" x14ac:dyDescent="0.2">
      <c r="A142" s="317"/>
      <c r="B142" s="1238"/>
      <c r="C142" s="1249"/>
      <c r="D142" s="1226"/>
      <c r="E142" s="1227"/>
      <c r="F142" s="1222"/>
      <c r="G142" s="590"/>
      <c r="H142" s="62"/>
      <c r="I142" s="99"/>
      <c r="J142" s="62"/>
      <c r="K142" s="1252" t="s">
        <v>344</v>
      </c>
      <c r="L142" s="1059"/>
      <c r="M142" s="438" t="s">
        <v>55</v>
      </c>
      <c r="N142" s="439"/>
    </row>
    <row r="143" spans="1:18" ht="16.5" customHeight="1" thickBot="1" x14ac:dyDescent="0.25">
      <c r="A143" s="68"/>
      <c r="B143" s="1243"/>
      <c r="C143" s="95"/>
      <c r="D143" s="223"/>
      <c r="E143" s="781"/>
      <c r="F143" s="95"/>
      <c r="G143" s="89" t="s">
        <v>6</v>
      </c>
      <c r="H143" s="89">
        <f>SUM(H136:H142)</f>
        <v>551</v>
      </c>
      <c r="I143" s="89">
        <f t="shared" ref="I143:J143" si="6">SUM(I136:I142)</f>
        <v>240</v>
      </c>
      <c r="J143" s="89">
        <f t="shared" si="6"/>
        <v>354.4</v>
      </c>
      <c r="K143" s="757"/>
      <c r="L143" s="178"/>
      <c r="M143" s="636"/>
      <c r="N143" s="534"/>
    </row>
    <row r="144" spans="1:18" ht="14.25" customHeight="1" x14ac:dyDescent="0.2">
      <c r="A144" s="1774" t="s">
        <v>5</v>
      </c>
      <c r="B144" s="1776" t="s">
        <v>7</v>
      </c>
      <c r="C144" s="1665" t="s">
        <v>28</v>
      </c>
      <c r="D144" s="1779" t="s">
        <v>121</v>
      </c>
      <c r="E144" s="779" t="s">
        <v>47</v>
      </c>
      <c r="F144" s="1665">
        <v>5</v>
      </c>
      <c r="G144" s="62" t="s">
        <v>60</v>
      </c>
      <c r="H144" s="62">
        <v>113</v>
      </c>
      <c r="I144" s="99"/>
      <c r="J144" s="176"/>
      <c r="K144" s="1770" t="s">
        <v>228</v>
      </c>
      <c r="L144" s="262"/>
      <c r="M144" s="736">
        <v>17</v>
      </c>
      <c r="N144" s="576"/>
    </row>
    <row r="145" spans="1:14" ht="14.25" customHeight="1" x14ac:dyDescent="0.2">
      <c r="A145" s="1651"/>
      <c r="B145" s="1777"/>
      <c r="C145" s="1666"/>
      <c r="D145" s="1714"/>
      <c r="E145" s="780" t="s">
        <v>253</v>
      </c>
      <c r="F145" s="1666"/>
      <c r="G145" s="62" t="s">
        <v>25</v>
      </c>
      <c r="H145" s="62"/>
      <c r="I145" s="99">
        <v>639.5</v>
      </c>
      <c r="J145" s="62"/>
      <c r="K145" s="1771"/>
      <c r="L145" s="1283"/>
      <c r="M145" s="300"/>
      <c r="N145" s="1263"/>
    </row>
    <row r="146" spans="1:14" ht="15" customHeight="1" x14ac:dyDescent="0.2">
      <c r="A146" s="1651"/>
      <c r="B146" s="1777"/>
      <c r="C146" s="1666"/>
      <c r="D146" s="1714"/>
      <c r="E146" s="780"/>
      <c r="F146" s="1666"/>
      <c r="G146" s="62" t="s">
        <v>245</v>
      </c>
      <c r="H146" s="62">
        <v>4264.5</v>
      </c>
      <c r="I146" s="99"/>
      <c r="J146" s="62"/>
      <c r="K146" s="1772"/>
      <c r="L146" s="1283"/>
      <c r="M146" s="300"/>
      <c r="N146" s="1263"/>
    </row>
    <row r="147" spans="1:14" ht="16.5" customHeight="1" thickBot="1" x14ac:dyDescent="0.25">
      <c r="A147" s="1775"/>
      <c r="B147" s="1778"/>
      <c r="C147" s="1667"/>
      <c r="D147" s="223"/>
      <c r="E147" s="781"/>
      <c r="F147" s="1667"/>
      <c r="G147" s="89" t="s">
        <v>6</v>
      </c>
      <c r="H147" s="89">
        <f>SUM(H144:H146)</f>
        <v>4377.5</v>
      </c>
      <c r="I147" s="263">
        <f>SUM(I144:I146)</f>
        <v>639.5</v>
      </c>
      <c r="J147" s="89">
        <f>SUM(J144:J146)</f>
        <v>0</v>
      </c>
      <c r="K147" s="757"/>
      <c r="L147" s="178"/>
      <c r="M147" s="636"/>
      <c r="N147" s="534"/>
    </row>
    <row r="148" spans="1:14" ht="14.25" customHeight="1" thickBot="1" x14ac:dyDescent="0.25">
      <c r="A148" s="90" t="s">
        <v>5</v>
      </c>
      <c r="B148" s="260" t="s">
        <v>7</v>
      </c>
      <c r="C148" s="1773" t="s">
        <v>8</v>
      </c>
      <c r="D148" s="1732"/>
      <c r="E148" s="1732"/>
      <c r="F148" s="1732"/>
      <c r="G148" s="1733"/>
      <c r="H148" s="331">
        <f>H147+H143+H134</f>
        <v>10630.5</v>
      </c>
      <c r="I148" s="331">
        <f>I147+I143+I134</f>
        <v>6329.2</v>
      </c>
      <c r="J148" s="136">
        <f>J147+J143+J134</f>
        <v>5711.8</v>
      </c>
      <c r="K148" s="1734"/>
      <c r="L148" s="1734"/>
      <c r="M148" s="1734"/>
      <c r="N148" s="1735"/>
    </row>
    <row r="149" spans="1:14" ht="18" customHeight="1" thickBot="1" x14ac:dyDescent="0.25">
      <c r="A149" s="78" t="s">
        <v>5</v>
      </c>
      <c r="B149" s="260" t="s">
        <v>28</v>
      </c>
      <c r="C149" s="1736" t="s">
        <v>112</v>
      </c>
      <c r="D149" s="1737"/>
      <c r="E149" s="1737"/>
      <c r="F149" s="1737"/>
      <c r="G149" s="1737"/>
      <c r="H149" s="1737"/>
      <c r="I149" s="1737"/>
      <c r="J149" s="1737"/>
      <c r="K149" s="1737"/>
      <c r="L149" s="1737"/>
      <c r="M149" s="1737"/>
      <c r="N149" s="1738"/>
    </row>
    <row r="150" spans="1:14" ht="14.1" customHeight="1" x14ac:dyDescent="0.2">
      <c r="A150" s="1241" t="s">
        <v>5</v>
      </c>
      <c r="B150" s="259" t="s">
        <v>28</v>
      </c>
      <c r="C150" s="1324" t="s">
        <v>5</v>
      </c>
      <c r="D150" s="1866" t="s">
        <v>109</v>
      </c>
      <c r="E150" s="780" t="s">
        <v>253</v>
      </c>
      <c r="F150" s="393" t="s">
        <v>37</v>
      </c>
      <c r="G150" s="176" t="s">
        <v>25</v>
      </c>
      <c r="H150" s="334">
        <v>76.5</v>
      </c>
      <c r="I150" s="334"/>
      <c r="J150" s="334"/>
      <c r="K150" s="326"/>
      <c r="L150" s="213"/>
      <c r="M150" s="213"/>
      <c r="N150" s="214"/>
    </row>
    <row r="151" spans="1:14" ht="14.1" customHeight="1" x14ac:dyDescent="0.2">
      <c r="A151" s="1294"/>
      <c r="B151" s="1311"/>
      <c r="C151" s="1292"/>
      <c r="D151" s="1867"/>
      <c r="E151" s="487"/>
      <c r="F151" s="1307"/>
      <c r="G151" s="62" t="s">
        <v>60</v>
      </c>
      <c r="H151" s="127">
        <v>31.9</v>
      </c>
      <c r="I151" s="83"/>
      <c r="J151" s="83"/>
      <c r="K151" s="1301"/>
      <c r="L151" s="39"/>
      <c r="M151" s="39"/>
      <c r="N151" s="40"/>
    </row>
    <row r="152" spans="1:14" ht="14.1" customHeight="1" x14ac:dyDescent="0.2">
      <c r="A152" s="1294"/>
      <c r="B152" s="1311"/>
      <c r="C152" s="1292"/>
      <c r="D152" s="1867"/>
      <c r="E152" s="487"/>
      <c r="F152" s="1307"/>
      <c r="G152" s="62" t="s">
        <v>68</v>
      </c>
      <c r="H152" s="127">
        <v>821.1</v>
      </c>
      <c r="I152" s="127">
        <v>777.8</v>
      </c>
      <c r="J152" s="127">
        <v>787.8</v>
      </c>
      <c r="K152" s="1301"/>
      <c r="L152" s="39"/>
      <c r="M152" s="39"/>
      <c r="N152" s="40"/>
    </row>
    <row r="153" spans="1:14" ht="14.1" customHeight="1" x14ac:dyDescent="0.2">
      <c r="A153" s="1294"/>
      <c r="B153" s="1311"/>
      <c r="C153" s="1292"/>
      <c r="D153" s="1867"/>
      <c r="E153" s="487"/>
      <c r="F153" s="1307"/>
      <c r="G153" s="62" t="s">
        <v>75</v>
      </c>
      <c r="H153" s="127">
        <f>36.6+1.4</f>
        <v>38</v>
      </c>
      <c r="I153" s="83"/>
      <c r="J153" s="83"/>
      <c r="K153" s="1301"/>
      <c r="L153" s="39"/>
      <c r="M153" s="39"/>
      <c r="N153" s="40"/>
    </row>
    <row r="154" spans="1:14" ht="14.1" customHeight="1" x14ac:dyDescent="0.2">
      <c r="A154" s="1294"/>
      <c r="B154" s="1311"/>
      <c r="C154" s="1292"/>
      <c r="D154" s="1868"/>
      <c r="E154" s="487"/>
      <c r="F154" s="1307"/>
      <c r="G154" s="1182" t="s">
        <v>100</v>
      </c>
      <c r="H154" s="128">
        <v>240</v>
      </c>
      <c r="I154" s="128">
        <v>240</v>
      </c>
      <c r="J154" s="128">
        <v>240</v>
      </c>
      <c r="K154" s="1331"/>
      <c r="L154" s="41"/>
      <c r="M154" s="41"/>
      <c r="N154" s="43"/>
    </row>
    <row r="155" spans="1:14" ht="25.5" customHeight="1" x14ac:dyDescent="0.2">
      <c r="A155" s="1219"/>
      <c r="B155" s="1230"/>
      <c r="C155" s="1292"/>
      <c r="D155" s="1309" t="s">
        <v>107</v>
      </c>
      <c r="E155" s="1740" t="s">
        <v>76</v>
      </c>
      <c r="F155" s="1312"/>
      <c r="G155" s="75"/>
      <c r="H155" s="127"/>
      <c r="I155" s="62"/>
      <c r="J155" s="62"/>
      <c r="K155" s="1327" t="s">
        <v>113</v>
      </c>
      <c r="L155" s="215">
        <v>14.5</v>
      </c>
      <c r="M155" s="39">
        <v>14.5</v>
      </c>
      <c r="N155" s="40">
        <v>14.5</v>
      </c>
    </row>
    <row r="156" spans="1:14" ht="15" customHeight="1" x14ac:dyDescent="0.2">
      <c r="A156" s="1219"/>
      <c r="B156" s="1230"/>
      <c r="C156" s="1292"/>
      <c r="D156" s="1289"/>
      <c r="E156" s="1755"/>
      <c r="F156" s="1307"/>
      <c r="G156" s="62"/>
      <c r="H156" s="127"/>
      <c r="I156" s="62"/>
      <c r="J156" s="62"/>
      <c r="K156" s="1364" t="s">
        <v>38</v>
      </c>
      <c r="L156" s="25">
        <f>66+5</f>
        <v>71</v>
      </c>
      <c r="M156" s="160">
        <v>71</v>
      </c>
      <c r="N156" s="26">
        <v>71</v>
      </c>
    </row>
    <row r="157" spans="1:14" ht="15.75" customHeight="1" x14ac:dyDescent="0.2">
      <c r="A157" s="1219"/>
      <c r="B157" s="1230"/>
      <c r="C157" s="1292"/>
      <c r="D157" s="1289"/>
      <c r="E157" s="1756"/>
      <c r="F157" s="1307"/>
      <c r="G157" s="62"/>
      <c r="H157" s="127"/>
      <c r="I157" s="62"/>
      <c r="J157" s="62"/>
      <c r="K157" s="917" t="s">
        <v>327</v>
      </c>
      <c r="L157" s="25">
        <v>100</v>
      </c>
      <c r="M157" s="949"/>
      <c r="N157" s="950"/>
    </row>
    <row r="158" spans="1:14" ht="13.5" customHeight="1" x14ac:dyDescent="0.2">
      <c r="A158" s="1219"/>
      <c r="B158" s="1230"/>
      <c r="C158" s="1292"/>
      <c r="D158" s="1289"/>
      <c r="E158" s="1245"/>
      <c r="F158" s="1222"/>
      <c r="G158" s="62" t="s">
        <v>100</v>
      </c>
      <c r="H158" s="127">
        <v>104</v>
      </c>
      <c r="I158" s="62"/>
      <c r="J158" s="62"/>
      <c r="K158" s="1749" t="s">
        <v>356</v>
      </c>
      <c r="L158" s="1328">
        <v>100</v>
      </c>
      <c r="M158" s="1265"/>
      <c r="N158" s="40"/>
    </row>
    <row r="159" spans="1:14" ht="14.25" customHeight="1" x14ac:dyDescent="0.2">
      <c r="A159" s="1219"/>
      <c r="B159" s="1230"/>
      <c r="C159" s="1292"/>
      <c r="D159" s="1289"/>
      <c r="E159" s="1245"/>
      <c r="F159" s="1222"/>
      <c r="G159" s="62"/>
      <c r="H159" s="127"/>
      <c r="I159" s="62"/>
      <c r="J159" s="62"/>
      <c r="K159" s="1750"/>
      <c r="L159" s="682"/>
      <c r="M159" s="915"/>
      <c r="N159" s="916"/>
    </row>
    <row r="160" spans="1:14" ht="27" customHeight="1" x14ac:dyDescent="0.2">
      <c r="A160" s="1219"/>
      <c r="B160" s="1230"/>
      <c r="C160" s="1292"/>
      <c r="D160" s="1289"/>
      <c r="E160" s="1245"/>
      <c r="F160" s="1222"/>
      <c r="G160" s="62"/>
      <c r="H160" s="127"/>
      <c r="I160" s="62"/>
      <c r="J160" s="62"/>
      <c r="K160" s="1364" t="s">
        <v>357</v>
      </c>
      <c r="L160" s="25">
        <v>1</v>
      </c>
      <c r="M160" s="921"/>
      <c r="N160" s="922"/>
    </row>
    <row r="161" spans="1:14" ht="19.5" customHeight="1" x14ac:dyDescent="0.2">
      <c r="A161" s="1219"/>
      <c r="B161" s="1230"/>
      <c r="C161" s="1292"/>
      <c r="D161" s="1289"/>
      <c r="E161" s="1245"/>
      <c r="F161" s="1222"/>
      <c r="G161" s="62"/>
      <c r="H161" s="388"/>
      <c r="I161" s="244"/>
      <c r="J161" s="244"/>
      <c r="K161" s="1751" t="s">
        <v>358</v>
      </c>
      <c r="L161" s="1328">
        <v>5</v>
      </c>
      <c r="M161" s="667"/>
      <c r="N161" s="578"/>
    </row>
    <row r="162" spans="1:14" ht="34.5" customHeight="1" x14ac:dyDescent="0.2">
      <c r="A162" s="1219"/>
      <c r="B162" s="1230"/>
      <c r="C162" s="1292"/>
      <c r="D162" s="1289"/>
      <c r="E162" s="1245"/>
      <c r="F162" s="1222"/>
      <c r="G162" s="1182"/>
      <c r="H162" s="908"/>
      <c r="I162" s="907"/>
      <c r="J162" s="907"/>
      <c r="K162" s="1752"/>
      <c r="L162" s="682"/>
      <c r="M162" s="758"/>
      <c r="N162" s="621"/>
    </row>
    <row r="163" spans="1:14" ht="14.25" customHeight="1" x14ac:dyDescent="0.2">
      <c r="A163" s="1219"/>
      <c r="B163" s="1230"/>
      <c r="C163" s="1292"/>
      <c r="D163" s="1309" t="s">
        <v>64</v>
      </c>
      <c r="E163" s="315"/>
      <c r="F163" s="1221"/>
      <c r="G163" s="62"/>
      <c r="H163" s="126"/>
      <c r="I163" s="1181"/>
      <c r="J163" s="1181"/>
      <c r="K163" s="1316" t="s">
        <v>82</v>
      </c>
      <c r="L163" s="1318">
        <v>1</v>
      </c>
      <c r="M163" s="1321">
        <v>1</v>
      </c>
      <c r="N163" s="1329">
        <v>1</v>
      </c>
    </row>
    <row r="164" spans="1:14" ht="6.75" customHeight="1" x14ac:dyDescent="0.2">
      <c r="A164" s="1219"/>
      <c r="B164" s="1230"/>
      <c r="C164" s="1292"/>
      <c r="D164" s="1295"/>
      <c r="E164" s="134"/>
      <c r="F164" s="1221"/>
      <c r="G164" s="1182"/>
      <c r="H164" s="128"/>
      <c r="I164" s="86"/>
      <c r="J164" s="86"/>
      <c r="K164" s="200"/>
      <c r="L164" s="20"/>
      <c r="M164" s="301"/>
      <c r="N164" s="21"/>
    </row>
    <row r="165" spans="1:14" ht="13.5" customHeight="1" x14ac:dyDescent="0.2">
      <c r="A165" s="1219"/>
      <c r="B165" s="1230"/>
      <c r="C165" s="1292"/>
      <c r="D165" s="1753" t="s">
        <v>115</v>
      </c>
      <c r="E165" s="760"/>
      <c r="F165" s="454"/>
      <c r="G165" s="1181"/>
      <c r="H165" s="126"/>
      <c r="I165" s="126"/>
      <c r="J165" s="126"/>
      <c r="K165" s="1757" t="s">
        <v>359</v>
      </c>
      <c r="L165" s="1318">
        <v>14</v>
      </c>
      <c r="M165" s="1317">
        <v>14</v>
      </c>
      <c r="N165" s="1329">
        <v>14</v>
      </c>
    </row>
    <row r="166" spans="1:14" ht="15.75" customHeight="1" x14ac:dyDescent="0.2">
      <c r="A166" s="1219"/>
      <c r="B166" s="1230"/>
      <c r="C166" s="1292"/>
      <c r="D166" s="1754"/>
      <c r="E166" s="592"/>
      <c r="F166" s="454"/>
      <c r="G166" s="1182"/>
      <c r="H166" s="86"/>
      <c r="I166" s="86"/>
      <c r="J166" s="86"/>
      <c r="K166" s="1758"/>
      <c r="L166" s="20"/>
      <c r="M166" s="301"/>
      <c r="N166" s="21"/>
    </row>
    <row r="167" spans="1:14" ht="29.25" customHeight="1" x14ac:dyDescent="0.2">
      <c r="A167" s="1219"/>
      <c r="B167" s="1230"/>
      <c r="C167" s="1292"/>
      <c r="D167" s="599" t="s">
        <v>108</v>
      </c>
      <c r="E167" s="1365"/>
      <c r="F167" s="681"/>
      <c r="G167" s="1182"/>
      <c r="H167" s="740"/>
      <c r="I167" s="740"/>
      <c r="J167" s="740"/>
      <c r="K167" s="200" t="s">
        <v>140</v>
      </c>
      <c r="L167" s="53">
        <v>172</v>
      </c>
      <c r="M167" s="53">
        <v>174</v>
      </c>
      <c r="N167" s="1366">
        <v>175</v>
      </c>
    </row>
    <row r="168" spans="1:14" ht="14.25" customHeight="1" x14ac:dyDescent="0.2">
      <c r="A168" s="1225"/>
      <c r="B168" s="1230"/>
      <c r="C168" s="209"/>
      <c r="D168" s="1669" t="s">
        <v>156</v>
      </c>
      <c r="E168" s="1313" t="s">
        <v>47</v>
      </c>
      <c r="F168" s="586"/>
      <c r="G168" s="62"/>
      <c r="H168" s="83"/>
      <c r="I168" s="83"/>
      <c r="J168" s="83"/>
      <c r="K168" s="1761" t="s">
        <v>137</v>
      </c>
      <c r="L168" s="458">
        <v>15</v>
      </c>
      <c r="M168" s="477"/>
      <c r="N168" s="197"/>
    </row>
    <row r="169" spans="1:14" ht="14.25" customHeight="1" x14ac:dyDescent="0.2">
      <c r="A169" s="1225"/>
      <c r="B169" s="1230"/>
      <c r="C169" s="93"/>
      <c r="D169" s="1669"/>
      <c r="E169" s="1368"/>
      <c r="F169" s="1312"/>
      <c r="G169" s="1182"/>
      <c r="H169" s="128"/>
      <c r="I169" s="128"/>
      <c r="J169" s="128"/>
      <c r="K169" s="1762"/>
      <c r="L169" s="458"/>
      <c r="M169" s="477"/>
      <c r="N169" s="197"/>
    </row>
    <row r="170" spans="1:14" ht="16.5" customHeight="1" thickBot="1" x14ac:dyDescent="0.25">
      <c r="A170" s="1314"/>
      <c r="B170" s="1311"/>
      <c r="C170" s="100"/>
      <c r="D170" s="223"/>
      <c r="E170" s="1367"/>
      <c r="F170" s="88"/>
      <c r="G170" s="133" t="s">
        <v>6</v>
      </c>
      <c r="H170" s="146">
        <f>SUM(H150:H169)</f>
        <v>1311.5</v>
      </c>
      <c r="I170" s="146">
        <f t="shared" ref="I170:J170" si="7">SUM(I150:I169)</f>
        <v>1017.8</v>
      </c>
      <c r="J170" s="146">
        <f t="shared" si="7"/>
        <v>1027.8</v>
      </c>
      <c r="K170" s="517"/>
      <c r="L170" s="178"/>
      <c r="M170" s="636"/>
      <c r="N170" s="534"/>
    </row>
    <row r="171" spans="1:14" ht="13.5" customHeight="1" x14ac:dyDescent="0.2">
      <c r="A171" s="1661" t="s">
        <v>5</v>
      </c>
      <c r="B171" s="1663" t="s">
        <v>28</v>
      </c>
      <c r="C171" s="1665" t="s">
        <v>7</v>
      </c>
      <c r="D171" s="1668" t="s">
        <v>330</v>
      </c>
      <c r="E171" s="1671" t="s">
        <v>253</v>
      </c>
      <c r="F171" s="1763" t="s">
        <v>55</v>
      </c>
      <c r="G171" s="96" t="s">
        <v>25</v>
      </c>
      <c r="H171" s="176">
        <v>136.80000000000001</v>
      </c>
      <c r="I171" s="206">
        <v>146.69999999999999</v>
      </c>
      <c r="J171" s="206">
        <v>146.69999999999999</v>
      </c>
      <c r="K171" s="225" t="s">
        <v>67</v>
      </c>
      <c r="L171" s="255">
        <v>18</v>
      </c>
      <c r="M171" s="625">
        <v>18</v>
      </c>
      <c r="N171" s="652">
        <v>18</v>
      </c>
    </row>
    <row r="172" spans="1:14" ht="12.75" customHeight="1" x14ac:dyDescent="0.2">
      <c r="A172" s="1632"/>
      <c r="B172" s="1633"/>
      <c r="C172" s="1666"/>
      <c r="D172" s="1669"/>
      <c r="E172" s="1672"/>
      <c r="F172" s="1728"/>
      <c r="G172" s="73"/>
      <c r="H172" s="56"/>
      <c r="I172" s="143"/>
      <c r="J172" s="56"/>
      <c r="K172" s="1232" t="s">
        <v>83</v>
      </c>
      <c r="L172" s="1283">
        <v>7</v>
      </c>
      <c r="M172" s="300">
        <v>7</v>
      </c>
      <c r="N172" s="1263">
        <v>7</v>
      </c>
    </row>
    <row r="173" spans="1:14" ht="16.5" customHeight="1" thickBot="1" x14ac:dyDescent="0.25">
      <c r="A173" s="1662"/>
      <c r="B173" s="1664"/>
      <c r="C173" s="1667"/>
      <c r="D173" s="1670"/>
      <c r="E173" s="1673"/>
      <c r="F173" s="1764"/>
      <c r="G173" s="133" t="s">
        <v>6</v>
      </c>
      <c r="H173" s="146">
        <f>SUM(H171:H172)</f>
        <v>136.80000000000001</v>
      </c>
      <c r="I173" s="196">
        <f>SUM(I171:I172)</f>
        <v>146.69999999999999</v>
      </c>
      <c r="J173" s="196">
        <f>SUM(J171:J172)</f>
        <v>146.69999999999999</v>
      </c>
      <c r="K173" s="517"/>
      <c r="L173" s="178"/>
      <c r="M173" s="636"/>
      <c r="N173" s="534"/>
    </row>
    <row r="174" spans="1:14" ht="12" customHeight="1" x14ac:dyDescent="0.2">
      <c r="A174" s="1235" t="s">
        <v>5</v>
      </c>
      <c r="B174" s="581" t="s">
        <v>28</v>
      </c>
      <c r="C174" s="1306" t="s">
        <v>28</v>
      </c>
      <c r="D174" s="1765" t="s">
        <v>174</v>
      </c>
      <c r="E174" s="1767" t="s">
        <v>252</v>
      </c>
      <c r="F174" s="577">
        <v>5</v>
      </c>
      <c r="G174" s="176" t="s">
        <v>25</v>
      </c>
      <c r="H174" s="176">
        <v>263.89999999999998</v>
      </c>
      <c r="I174" s="176">
        <v>55.6</v>
      </c>
      <c r="J174" s="176">
        <v>5</v>
      </c>
      <c r="K174" s="585"/>
      <c r="L174" s="173"/>
      <c r="M174" s="207"/>
      <c r="N174" s="214"/>
    </row>
    <row r="175" spans="1:14" ht="11.25" customHeight="1" x14ac:dyDescent="0.2">
      <c r="A175" s="1286"/>
      <c r="B175" s="1287"/>
      <c r="C175" s="1288"/>
      <c r="D175" s="1766"/>
      <c r="E175" s="1768"/>
      <c r="F175" s="1307"/>
      <c r="G175" s="62" t="s">
        <v>60</v>
      </c>
      <c r="H175" s="62">
        <v>289.60000000000002</v>
      </c>
      <c r="I175" s="62"/>
      <c r="J175" s="62"/>
      <c r="K175" s="1369"/>
      <c r="L175" s="215"/>
      <c r="M175" s="99"/>
      <c r="N175" s="40"/>
    </row>
    <row r="176" spans="1:14" ht="11.25" customHeight="1" x14ac:dyDescent="0.2">
      <c r="A176" s="1286"/>
      <c r="B176" s="1287"/>
      <c r="C176" s="1288"/>
      <c r="D176" s="1766"/>
      <c r="E176" s="1768"/>
      <c r="F176" s="1307"/>
      <c r="G176" s="62" t="s">
        <v>48</v>
      </c>
      <c r="H176" s="62"/>
      <c r="I176" s="83">
        <v>1500</v>
      </c>
      <c r="J176" s="62">
        <v>1000</v>
      </c>
      <c r="K176" s="1369"/>
      <c r="L176" s="215"/>
      <c r="M176" s="99"/>
      <c r="N176" s="40"/>
    </row>
    <row r="177" spans="1:14" ht="12.75" customHeight="1" x14ac:dyDescent="0.2">
      <c r="A177" s="1407"/>
      <c r="B177" s="1409"/>
      <c r="C177" s="1408"/>
      <c r="D177" s="1766"/>
      <c r="E177" s="1768"/>
      <c r="F177" s="1406"/>
      <c r="G177" s="62" t="s">
        <v>245</v>
      </c>
      <c r="H177" s="62">
        <v>83.3</v>
      </c>
      <c r="I177" s="83"/>
      <c r="J177" s="62"/>
      <c r="K177" s="1410"/>
      <c r="L177" s="215"/>
      <c r="M177" s="99"/>
      <c r="N177" s="40"/>
    </row>
    <row r="178" spans="1:14" ht="13.5" customHeight="1" x14ac:dyDescent="0.2">
      <c r="A178" s="1236"/>
      <c r="B178" s="1250"/>
      <c r="C178" s="1288"/>
      <c r="D178" s="1730"/>
      <c r="E178" s="1769"/>
      <c r="F178" s="1273"/>
      <c r="G178" s="1182" t="s">
        <v>44</v>
      </c>
      <c r="H178" s="1182">
        <v>919.1</v>
      </c>
      <c r="I178" s="1182">
        <v>378</v>
      </c>
      <c r="J178" s="1182">
        <v>45</v>
      </c>
      <c r="K178" s="1369"/>
      <c r="L178" s="215"/>
      <c r="M178" s="99"/>
      <c r="N178" s="40"/>
    </row>
    <row r="179" spans="1:14" ht="14.1" customHeight="1" x14ac:dyDescent="0.2">
      <c r="A179" s="1286"/>
      <c r="B179" s="1287"/>
      <c r="C179" s="1288"/>
      <c r="D179" s="1081"/>
      <c r="E179" s="1371"/>
      <c r="F179" s="600" t="s">
        <v>37</v>
      </c>
      <c r="G179" s="1181" t="s">
        <v>68</v>
      </c>
      <c r="H179" s="1181">
        <v>12</v>
      </c>
      <c r="I179" s="87">
        <v>6</v>
      </c>
      <c r="J179" s="1181">
        <v>6</v>
      </c>
      <c r="K179" s="1369"/>
      <c r="L179" s="215"/>
      <c r="M179" s="99"/>
      <c r="N179" s="40"/>
    </row>
    <row r="180" spans="1:14" ht="14.1" customHeight="1" x14ac:dyDescent="0.2">
      <c r="A180" s="1286"/>
      <c r="B180" s="1287"/>
      <c r="C180" s="1288"/>
      <c r="D180" s="1081"/>
      <c r="E180" s="1370"/>
      <c r="F180" s="1334"/>
      <c r="G180" s="1182" t="s">
        <v>75</v>
      </c>
      <c r="H180" s="1182">
        <v>24.2</v>
      </c>
      <c r="I180" s="483"/>
      <c r="J180" s="482"/>
      <c r="K180" s="1308"/>
      <c r="L180" s="42"/>
      <c r="M180" s="147"/>
      <c r="N180" s="43"/>
    </row>
    <row r="181" spans="1:14" ht="24.75" customHeight="1" x14ac:dyDescent="0.2">
      <c r="A181" s="1651"/>
      <c r="B181" s="1746"/>
      <c r="C181" s="1666"/>
      <c r="D181" s="1759" t="s">
        <v>360</v>
      </c>
      <c r="E181" s="1740" t="s">
        <v>256</v>
      </c>
      <c r="F181" s="1249">
        <v>5</v>
      </c>
      <c r="G181" s="1181"/>
      <c r="H181" s="1181"/>
      <c r="I181" s="87"/>
      <c r="J181" s="1181"/>
      <c r="K181" s="1322" t="s">
        <v>130</v>
      </c>
      <c r="L181" s="1302"/>
      <c r="M181" s="638"/>
      <c r="N181" s="1310">
        <v>100</v>
      </c>
    </row>
    <row r="182" spans="1:14" ht="24.75" customHeight="1" x14ac:dyDescent="0.2">
      <c r="A182" s="1651"/>
      <c r="B182" s="1746"/>
      <c r="C182" s="1666"/>
      <c r="D182" s="1760"/>
      <c r="E182" s="1745"/>
      <c r="F182" s="1222"/>
      <c r="G182" s="1182"/>
      <c r="H182" s="1182"/>
      <c r="I182" s="86"/>
      <c r="J182" s="1182"/>
      <c r="K182" s="1373" t="s">
        <v>236</v>
      </c>
      <c r="L182" s="533">
        <v>1</v>
      </c>
      <c r="M182" s="951"/>
      <c r="N182" s="1374"/>
    </row>
    <row r="183" spans="1:14" ht="15.75" customHeight="1" x14ac:dyDescent="0.2">
      <c r="A183" s="1651"/>
      <c r="B183" s="1746"/>
      <c r="C183" s="1666"/>
      <c r="D183" s="1714" t="s">
        <v>203</v>
      </c>
      <c r="E183" s="1718" t="s">
        <v>254</v>
      </c>
      <c r="F183" s="1240"/>
      <c r="G183" s="62"/>
      <c r="H183" s="62"/>
      <c r="I183" s="83"/>
      <c r="J183" s="62"/>
      <c r="K183" s="1372" t="s">
        <v>166</v>
      </c>
      <c r="L183" s="337">
        <v>1</v>
      </c>
      <c r="M183" s="1265"/>
      <c r="N183" s="1263"/>
    </row>
    <row r="184" spans="1:14" ht="20.25" customHeight="1" x14ac:dyDescent="0.2">
      <c r="A184" s="1651"/>
      <c r="B184" s="1746"/>
      <c r="C184" s="1666"/>
      <c r="D184" s="1739"/>
      <c r="E184" s="1747"/>
      <c r="F184" s="1221"/>
      <c r="G184" s="62"/>
      <c r="H184" s="62"/>
      <c r="I184" s="83"/>
      <c r="J184" s="62"/>
      <c r="K184" s="1742" t="s">
        <v>204</v>
      </c>
      <c r="L184" s="508"/>
      <c r="M184" s="507"/>
      <c r="N184" s="195">
        <v>1</v>
      </c>
    </row>
    <row r="185" spans="1:14" ht="19.5" customHeight="1" x14ac:dyDescent="0.2">
      <c r="A185" s="317"/>
      <c r="B185" s="1250"/>
      <c r="C185" s="1375"/>
      <c r="D185" s="1739"/>
      <c r="E185" s="1748"/>
      <c r="F185" s="1221"/>
      <c r="G185" s="62"/>
      <c r="H185" s="62"/>
      <c r="I185" s="83"/>
      <c r="J185" s="62"/>
      <c r="K185" s="1743"/>
      <c r="L185" s="47"/>
      <c r="M185" s="20"/>
      <c r="N185" s="731"/>
    </row>
    <row r="186" spans="1:14" ht="14.25" customHeight="1" x14ac:dyDescent="0.2">
      <c r="A186" s="1632"/>
      <c r="B186" s="1633"/>
      <c r="C186" s="1666"/>
      <c r="D186" s="1729" t="s">
        <v>162</v>
      </c>
      <c r="E186" s="1740" t="s">
        <v>125</v>
      </c>
      <c r="F186" s="1666"/>
      <c r="G186" s="185"/>
      <c r="H186" s="1181"/>
      <c r="I186" s="87"/>
      <c r="J186" s="748"/>
      <c r="K186" s="1335" t="s">
        <v>205</v>
      </c>
      <c r="L186" s="380">
        <v>6</v>
      </c>
      <c r="M186" s="754"/>
      <c r="N186" s="1248"/>
    </row>
    <row r="187" spans="1:14" ht="11.25" customHeight="1" x14ac:dyDescent="0.2">
      <c r="A187" s="1632"/>
      <c r="B187" s="1633"/>
      <c r="C187" s="1666"/>
      <c r="D187" s="1739"/>
      <c r="E187" s="1741"/>
      <c r="F187" s="1666"/>
      <c r="G187" s="62"/>
      <c r="H187" s="62"/>
      <c r="I187" s="83"/>
      <c r="J187" s="493"/>
      <c r="K187" s="1269"/>
      <c r="L187" s="380"/>
      <c r="M187" s="1265"/>
      <c r="N187" s="1263"/>
    </row>
    <row r="188" spans="1:14" ht="14.25" customHeight="1" x14ac:dyDescent="0.2">
      <c r="A188" s="1632"/>
      <c r="B188" s="1633"/>
      <c r="C188" s="1666"/>
      <c r="D188" s="1744"/>
      <c r="E188" s="1745"/>
      <c r="F188" s="1666"/>
      <c r="G188" s="73"/>
      <c r="H188" s="1182"/>
      <c r="I188" s="86"/>
      <c r="J188" s="763"/>
      <c r="K188" s="19"/>
      <c r="L188" s="53"/>
      <c r="M188" s="47"/>
      <c r="N188" s="21"/>
    </row>
    <row r="189" spans="1:14" ht="39" customHeight="1" x14ac:dyDescent="0.2">
      <c r="A189" s="1219"/>
      <c r="B189" s="1220"/>
      <c r="C189" s="1292"/>
      <c r="D189" s="1298" t="s">
        <v>361</v>
      </c>
      <c r="E189" s="623" t="s">
        <v>170</v>
      </c>
      <c r="F189" s="600" t="s">
        <v>37</v>
      </c>
      <c r="G189" s="485"/>
      <c r="H189" s="485"/>
      <c r="I189" s="603"/>
      <c r="J189" s="602"/>
      <c r="K189" s="70" t="s">
        <v>84</v>
      </c>
      <c r="L189" s="597">
        <v>1</v>
      </c>
      <c r="M189" s="597"/>
      <c r="N189" s="598"/>
    </row>
    <row r="190" spans="1:14" ht="15.75" customHeight="1" x14ac:dyDescent="0.2">
      <c r="A190" s="1632"/>
      <c r="B190" s="1633"/>
      <c r="C190" s="1666"/>
      <c r="D190" s="1729" t="s">
        <v>230</v>
      </c>
      <c r="E190" s="1740" t="s">
        <v>125</v>
      </c>
      <c r="F190" s="1657"/>
      <c r="G190" s="1181"/>
      <c r="H190" s="1181"/>
      <c r="I190" s="87"/>
      <c r="J190" s="1181"/>
      <c r="K190" s="1726" t="s">
        <v>249</v>
      </c>
      <c r="L190" s="1325">
        <v>11</v>
      </c>
      <c r="M190" s="1317">
        <v>12</v>
      </c>
      <c r="N190" s="1329">
        <v>14</v>
      </c>
    </row>
    <row r="191" spans="1:14" ht="9" customHeight="1" x14ac:dyDescent="0.2">
      <c r="A191" s="1632"/>
      <c r="B191" s="1633"/>
      <c r="C191" s="1666"/>
      <c r="D191" s="1714"/>
      <c r="E191" s="1718"/>
      <c r="F191" s="1657"/>
      <c r="G191" s="62"/>
      <c r="H191" s="64"/>
      <c r="I191" s="83"/>
      <c r="J191" s="62"/>
      <c r="K191" s="1731"/>
      <c r="L191" s="380"/>
      <c r="M191" s="1336"/>
      <c r="N191" s="1319"/>
    </row>
    <row r="192" spans="1:14" ht="25.5" customHeight="1" x14ac:dyDescent="0.2">
      <c r="A192" s="1632"/>
      <c r="B192" s="1633"/>
      <c r="C192" s="1666"/>
      <c r="D192" s="1739"/>
      <c r="E192" s="1741"/>
      <c r="F192" s="1657"/>
      <c r="G192" s="1182"/>
      <c r="H192" s="752"/>
      <c r="I192" s="1378"/>
      <c r="J192" s="752"/>
      <c r="K192" s="1335" t="s">
        <v>301</v>
      </c>
      <c r="L192" s="380">
        <v>3</v>
      </c>
      <c r="M192" s="1336"/>
      <c r="N192" s="1319"/>
    </row>
    <row r="193" spans="1:14" ht="16.5" customHeight="1" thickBot="1" x14ac:dyDescent="0.25">
      <c r="A193" s="1314"/>
      <c r="B193" s="1291"/>
      <c r="C193" s="1375"/>
      <c r="D193" s="1376"/>
      <c r="E193" s="1377"/>
      <c r="F193" s="1375"/>
      <c r="G193" s="133" t="s">
        <v>6</v>
      </c>
      <c r="H193" s="146">
        <f>SUM(H174:H192)</f>
        <v>1592.1</v>
      </c>
      <c r="I193" s="146">
        <f t="shared" ref="I193:J193" si="8">SUM(I174:I192)</f>
        <v>1939.6</v>
      </c>
      <c r="J193" s="146">
        <f t="shared" si="8"/>
        <v>1056</v>
      </c>
      <c r="K193" s="517"/>
      <c r="L193" s="178"/>
      <c r="M193" s="636"/>
      <c r="N193" s="534"/>
    </row>
    <row r="194" spans="1:14" ht="14.25" customHeight="1" thickBot="1" x14ac:dyDescent="0.25">
      <c r="A194" s="90" t="s">
        <v>5</v>
      </c>
      <c r="B194" s="79" t="s">
        <v>28</v>
      </c>
      <c r="C194" s="1732" t="s">
        <v>8</v>
      </c>
      <c r="D194" s="1732"/>
      <c r="E194" s="1732"/>
      <c r="F194" s="1732"/>
      <c r="G194" s="1733"/>
      <c r="H194" s="201">
        <f>H193+H173+H170</f>
        <v>3040.4</v>
      </c>
      <c r="I194" s="201">
        <f t="shared" ref="I194:J194" si="9">I193+I173+I170</f>
        <v>3104.1</v>
      </c>
      <c r="J194" s="201">
        <f t="shared" si="9"/>
        <v>2230.5</v>
      </c>
      <c r="K194" s="1734"/>
      <c r="L194" s="1734"/>
      <c r="M194" s="1734"/>
      <c r="N194" s="1735"/>
    </row>
    <row r="195" spans="1:14" ht="14.25" customHeight="1" thickBot="1" x14ac:dyDescent="0.25">
      <c r="A195" s="78" t="s">
        <v>5</v>
      </c>
      <c r="B195" s="79" t="s">
        <v>33</v>
      </c>
      <c r="C195" s="1736" t="s">
        <v>173</v>
      </c>
      <c r="D195" s="1737"/>
      <c r="E195" s="1737"/>
      <c r="F195" s="1737"/>
      <c r="G195" s="1737"/>
      <c r="H195" s="1737"/>
      <c r="I195" s="1737"/>
      <c r="J195" s="1737"/>
      <c r="K195" s="1737"/>
      <c r="L195" s="1737"/>
      <c r="M195" s="1737"/>
      <c r="N195" s="1738"/>
    </row>
    <row r="196" spans="1:14" ht="12" customHeight="1" x14ac:dyDescent="0.2">
      <c r="A196" s="1303" t="s">
        <v>5</v>
      </c>
      <c r="B196" s="1304" t="s">
        <v>33</v>
      </c>
      <c r="C196" s="242" t="s">
        <v>5</v>
      </c>
      <c r="D196" s="1866" t="s">
        <v>106</v>
      </c>
      <c r="E196" s="338"/>
      <c r="F196" s="1306">
        <v>6</v>
      </c>
      <c r="G196" s="176" t="s">
        <v>25</v>
      </c>
      <c r="H196" s="176">
        <v>1730.7</v>
      </c>
      <c r="I196" s="176">
        <v>1816.4</v>
      </c>
      <c r="J196" s="176">
        <v>1822.7</v>
      </c>
      <c r="K196" s="661"/>
      <c r="L196" s="173"/>
      <c r="M196" s="207"/>
      <c r="N196" s="214"/>
    </row>
    <row r="197" spans="1:14" ht="12" customHeight="1" x14ac:dyDescent="0.2">
      <c r="A197" s="1294"/>
      <c r="B197" s="1291"/>
      <c r="C197" s="209"/>
      <c r="D197" s="1867"/>
      <c r="E197" s="1293"/>
      <c r="F197" s="1296"/>
      <c r="G197" s="62" t="s">
        <v>60</v>
      </c>
      <c r="H197" s="62">
        <v>134.9</v>
      </c>
      <c r="I197" s="62"/>
      <c r="J197" s="62"/>
      <c r="K197" s="1320"/>
      <c r="L197" s="215"/>
      <c r="M197" s="99"/>
      <c r="N197" s="40"/>
    </row>
    <row r="198" spans="1:14" ht="12" customHeight="1" x14ac:dyDescent="0.2">
      <c r="A198" s="1294"/>
      <c r="B198" s="1291"/>
      <c r="C198" s="209"/>
      <c r="D198" s="1867"/>
      <c r="E198" s="1293"/>
      <c r="F198" s="1296"/>
      <c r="G198" s="62" t="s">
        <v>68</v>
      </c>
      <c r="H198" s="62">
        <f>268-48-30+5</f>
        <v>195</v>
      </c>
      <c r="I198" s="62">
        <f>447-30+34.1</f>
        <v>451.1</v>
      </c>
      <c r="J198" s="62">
        <f>417+98.4</f>
        <v>515.4</v>
      </c>
      <c r="K198" s="1320"/>
      <c r="L198" s="215"/>
      <c r="M198" s="99"/>
      <c r="N198" s="40"/>
    </row>
    <row r="199" spans="1:14" ht="14.1" customHeight="1" x14ac:dyDescent="0.2">
      <c r="A199" s="1294"/>
      <c r="B199" s="1291"/>
      <c r="C199" s="209"/>
      <c r="D199" s="1867"/>
      <c r="E199" s="1293"/>
      <c r="F199" s="1296"/>
      <c r="G199" s="62" t="s">
        <v>75</v>
      </c>
      <c r="H199" s="62">
        <f>270+17.9</f>
        <v>287.89999999999998</v>
      </c>
      <c r="I199" s="62"/>
      <c r="J199" s="62"/>
      <c r="K199" s="1320"/>
      <c r="L199" s="215"/>
      <c r="M199" s="99"/>
      <c r="N199" s="40"/>
    </row>
    <row r="200" spans="1:14" ht="14.1" customHeight="1" x14ac:dyDescent="0.2">
      <c r="A200" s="1294"/>
      <c r="B200" s="1291"/>
      <c r="C200" s="94"/>
      <c r="D200" s="1868"/>
      <c r="E200" s="1293"/>
      <c r="F200" s="1296"/>
      <c r="G200" s="1182" t="s">
        <v>100</v>
      </c>
      <c r="H200" s="1182">
        <v>1300.3</v>
      </c>
      <c r="I200" s="1182">
        <f>300.3+900</f>
        <v>1200.3</v>
      </c>
      <c r="J200" s="1182">
        <f>300.3+900</f>
        <v>1200.3</v>
      </c>
      <c r="K200" s="1320"/>
      <c r="L200" s="215"/>
      <c r="M200" s="99"/>
      <c r="N200" s="40"/>
    </row>
    <row r="201" spans="1:14" ht="15.75" customHeight="1" x14ac:dyDescent="0.2">
      <c r="A201" s="1294"/>
      <c r="B201" s="1291"/>
      <c r="C201" s="1400"/>
      <c r="D201" s="425" t="s">
        <v>103</v>
      </c>
      <c r="E201" s="1401"/>
      <c r="F201" s="1402"/>
      <c r="G201" s="485"/>
      <c r="H201" s="485"/>
      <c r="I201" s="485"/>
      <c r="J201" s="485"/>
      <c r="K201" s="226"/>
      <c r="L201" s="1403"/>
      <c r="M201" s="1404"/>
      <c r="N201" s="1405"/>
    </row>
    <row r="202" spans="1:14" ht="14.25" customHeight="1" x14ac:dyDescent="0.2">
      <c r="A202" s="1294"/>
      <c r="B202" s="1291"/>
      <c r="C202" s="1658" t="s">
        <v>181</v>
      </c>
      <c r="D202" s="1300" t="s">
        <v>283</v>
      </c>
      <c r="E202" s="1293"/>
      <c r="F202" s="1296"/>
      <c r="G202" s="62"/>
      <c r="H202" s="62"/>
      <c r="I202" s="62"/>
      <c r="J202" s="62"/>
      <c r="K202" s="1301" t="s">
        <v>66</v>
      </c>
      <c r="L202" s="215">
        <v>5.9</v>
      </c>
      <c r="M202" s="99"/>
      <c r="N202" s="40"/>
    </row>
    <row r="203" spans="1:14" ht="13.5" customHeight="1" x14ac:dyDescent="0.2">
      <c r="A203" s="1294"/>
      <c r="B203" s="1291"/>
      <c r="C203" s="1658"/>
      <c r="D203" s="222" t="s">
        <v>187</v>
      </c>
      <c r="E203" s="1293"/>
      <c r="F203" s="1296"/>
      <c r="G203" s="62"/>
      <c r="H203" s="62"/>
      <c r="I203" s="62"/>
      <c r="J203" s="62"/>
      <c r="K203" s="1301"/>
      <c r="L203" s="215"/>
      <c r="M203" s="99"/>
      <c r="N203" s="40"/>
    </row>
    <row r="204" spans="1:14" ht="14.25" customHeight="1" x14ac:dyDescent="0.2">
      <c r="A204" s="1294"/>
      <c r="B204" s="1291"/>
      <c r="C204" s="1658"/>
      <c r="D204" s="222" t="s">
        <v>180</v>
      </c>
      <c r="E204" s="1293"/>
      <c r="F204" s="1296"/>
      <c r="G204" s="62"/>
      <c r="H204" s="62"/>
      <c r="I204" s="62"/>
      <c r="J204" s="62"/>
      <c r="K204" s="1301"/>
      <c r="L204" s="215"/>
      <c r="M204" s="99"/>
      <c r="N204" s="40"/>
    </row>
    <row r="205" spans="1:14" ht="14.25" customHeight="1" x14ac:dyDescent="0.2">
      <c r="A205" s="1294"/>
      <c r="B205" s="1291"/>
      <c r="C205" s="1658"/>
      <c r="D205" s="1300" t="s">
        <v>189</v>
      </c>
      <c r="E205" s="1293"/>
      <c r="F205" s="1296"/>
      <c r="G205" s="62"/>
      <c r="H205" s="62"/>
      <c r="I205" s="62"/>
      <c r="J205" s="62"/>
      <c r="K205" s="1301"/>
      <c r="L205" s="215"/>
      <c r="M205" s="99"/>
      <c r="N205" s="40"/>
    </row>
    <row r="206" spans="1:14" ht="29.25" customHeight="1" x14ac:dyDescent="0.2">
      <c r="A206" s="1294"/>
      <c r="B206" s="1291"/>
      <c r="C206" s="1658"/>
      <c r="D206" s="222" t="s">
        <v>362</v>
      </c>
      <c r="E206" s="1293"/>
      <c r="F206" s="1296"/>
      <c r="G206" s="62"/>
      <c r="H206" s="62"/>
      <c r="I206" s="62"/>
      <c r="J206" s="62"/>
      <c r="K206" s="1301"/>
      <c r="L206" s="215"/>
      <c r="M206" s="99"/>
      <c r="N206" s="40"/>
    </row>
    <row r="207" spans="1:14" ht="26.25" customHeight="1" x14ac:dyDescent="0.2">
      <c r="A207" s="1294"/>
      <c r="B207" s="1291"/>
      <c r="C207" s="1658"/>
      <c r="D207" s="1379" t="s">
        <v>363</v>
      </c>
      <c r="E207" s="1293"/>
      <c r="F207" s="1296"/>
      <c r="G207" s="62"/>
      <c r="H207" s="62"/>
      <c r="I207" s="62"/>
      <c r="J207" s="62"/>
      <c r="K207" s="1301"/>
      <c r="L207" s="215"/>
      <c r="M207" s="99"/>
      <c r="N207" s="40"/>
    </row>
    <row r="208" spans="1:14" ht="27" customHeight="1" x14ac:dyDescent="0.2">
      <c r="A208" s="1294"/>
      <c r="B208" s="1291"/>
      <c r="C208" s="1658"/>
      <c r="D208" s="222" t="s">
        <v>365</v>
      </c>
      <c r="E208" s="1293"/>
      <c r="F208" s="1296"/>
      <c r="G208" s="62"/>
      <c r="H208" s="62"/>
      <c r="I208" s="62"/>
      <c r="J208" s="62"/>
      <c r="K208" s="1301"/>
      <c r="L208" s="215"/>
      <c r="M208" s="99"/>
      <c r="N208" s="40"/>
    </row>
    <row r="209" spans="1:14" ht="27" customHeight="1" x14ac:dyDescent="0.2">
      <c r="A209" s="1294"/>
      <c r="B209" s="1291"/>
      <c r="C209" s="1391"/>
      <c r="D209" s="1388" t="s">
        <v>364</v>
      </c>
      <c r="E209" s="1293"/>
      <c r="F209" s="1296"/>
      <c r="G209" s="62"/>
      <c r="H209" s="62"/>
      <c r="I209" s="62"/>
      <c r="J209" s="62"/>
      <c r="K209" s="1301"/>
      <c r="L209" s="215"/>
      <c r="M209" s="99"/>
      <c r="N209" s="40"/>
    </row>
    <row r="210" spans="1:14" ht="15" customHeight="1" x14ac:dyDescent="0.2">
      <c r="A210" s="1294"/>
      <c r="B210" s="1291"/>
      <c r="C210" s="1659" t="s">
        <v>380</v>
      </c>
      <c r="D210" s="1396" t="s">
        <v>188</v>
      </c>
      <c r="E210" s="1397"/>
      <c r="F210" s="1398"/>
      <c r="G210" s="75"/>
      <c r="H210" s="75"/>
      <c r="I210" s="75"/>
      <c r="J210" s="75"/>
      <c r="K210" s="1385" t="s">
        <v>66</v>
      </c>
      <c r="L210" s="789"/>
      <c r="M210" s="979">
        <v>7.9</v>
      </c>
      <c r="N210" s="1399">
        <v>7.5</v>
      </c>
    </row>
    <row r="211" spans="1:14" ht="16.5" customHeight="1" x14ac:dyDescent="0.2">
      <c r="A211" s="1294"/>
      <c r="B211" s="1291"/>
      <c r="C211" s="1658"/>
      <c r="D211" s="1379" t="s">
        <v>177</v>
      </c>
      <c r="E211" s="1386"/>
      <c r="F211" s="1387"/>
      <c r="G211" s="62"/>
      <c r="H211" s="62"/>
      <c r="I211" s="62"/>
      <c r="J211" s="62"/>
      <c r="K211" s="1392"/>
      <c r="L211" s="215"/>
      <c r="M211" s="99"/>
      <c r="N211" s="40"/>
    </row>
    <row r="212" spans="1:14" ht="15.75" customHeight="1" x14ac:dyDescent="0.2">
      <c r="A212" s="1294"/>
      <c r="B212" s="1291"/>
      <c r="C212" s="1658"/>
      <c r="D212" s="222" t="s">
        <v>190</v>
      </c>
      <c r="E212" s="1386"/>
      <c r="F212" s="1387"/>
      <c r="G212" s="62"/>
      <c r="H212" s="62"/>
      <c r="I212" s="62"/>
      <c r="J212" s="62"/>
      <c r="K212" s="1392"/>
      <c r="L212" s="215"/>
      <c r="M212" s="99"/>
      <c r="N212" s="40"/>
    </row>
    <row r="213" spans="1:14" ht="15.75" customHeight="1" x14ac:dyDescent="0.2">
      <c r="A213" s="1294"/>
      <c r="B213" s="1291"/>
      <c r="C213" s="1658"/>
      <c r="D213" s="222" t="s">
        <v>288</v>
      </c>
      <c r="E213" s="1386"/>
      <c r="F213" s="1387"/>
      <c r="G213" s="62"/>
      <c r="H213" s="62"/>
      <c r="I213" s="62"/>
      <c r="J213" s="62"/>
      <c r="K213" s="1392"/>
      <c r="L213" s="215"/>
      <c r="M213" s="99"/>
      <c r="N213" s="40"/>
    </row>
    <row r="214" spans="1:14" ht="14.25" customHeight="1" x14ac:dyDescent="0.2">
      <c r="A214" s="1294"/>
      <c r="B214" s="1291"/>
      <c r="C214" s="1660"/>
      <c r="D214" s="1389" t="s">
        <v>366</v>
      </c>
      <c r="E214" s="1394"/>
      <c r="F214" s="1390"/>
      <c r="G214" s="1182"/>
      <c r="H214" s="1182"/>
      <c r="I214" s="1182"/>
      <c r="J214" s="1182"/>
      <c r="K214" s="1393"/>
      <c r="L214" s="42"/>
      <c r="M214" s="41"/>
      <c r="N214" s="43"/>
    </row>
    <row r="215" spans="1:14" ht="27" customHeight="1" x14ac:dyDescent="0.2">
      <c r="A215" s="1294"/>
      <c r="B215" s="1291"/>
      <c r="C215" s="209"/>
      <c r="D215" s="1655" t="s">
        <v>105</v>
      </c>
      <c r="E215" s="1386"/>
      <c r="F215" s="1307"/>
      <c r="G215" s="62"/>
      <c r="H215" s="215"/>
      <c r="I215" s="62"/>
      <c r="J215" s="62"/>
      <c r="K215" s="1395" t="s">
        <v>320</v>
      </c>
      <c r="L215" s="37" t="s">
        <v>319</v>
      </c>
      <c r="M215" s="1079" t="s">
        <v>319</v>
      </c>
      <c r="N215" s="1080" t="s">
        <v>319</v>
      </c>
    </row>
    <row r="216" spans="1:14" ht="26.25" customHeight="1" x14ac:dyDescent="0.2">
      <c r="A216" s="1294"/>
      <c r="B216" s="1291"/>
      <c r="C216" s="209"/>
      <c r="D216" s="1655"/>
      <c r="E216" s="1293"/>
      <c r="F216" s="1307"/>
      <c r="G216" s="62"/>
      <c r="H216" s="215"/>
      <c r="I216" s="62"/>
      <c r="J216" s="62"/>
      <c r="K216" s="85" t="s">
        <v>40</v>
      </c>
      <c r="L216" s="183" t="s">
        <v>321</v>
      </c>
      <c r="M216" s="641" t="s">
        <v>321</v>
      </c>
      <c r="N216" s="765" t="s">
        <v>321</v>
      </c>
    </row>
    <row r="217" spans="1:14" ht="17.25" customHeight="1" x14ac:dyDescent="0.2">
      <c r="A217" s="1294"/>
      <c r="B217" s="1291"/>
      <c r="C217" s="209"/>
      <c r="D217" s="1656"/>
      <c r="E217" s="1330"/>
      <c r="F217" s="1307"/>
      <c r="G217" s="73"/>
      <c r="H217" s="1182"/>
      <c r="I217" s="1182"/>
      <c r="J217" s="1182"/>
      <c r="K217" s="1331" t="s">
        <v>65</v>
      </c>
      <c r="L217" s="1209" t="s">
        <v>315</v>
      </c>
      <c r="M217" s="1061" t="s">
        <v>315</v>
      </c>
      <c r="N217" s="1062" t="s">
        <v>315</v>
      </c>
    </row>
    <row r="218" spans="1:14" ht="15.75" customHeight="1" x14ac:dyDescent="0.2">
      <c r="A218" s="1632"/>
      <c r="B218" s="1633"/>
      <c r="C218" s="1634"/>
      <c r="D218" s="1625" t="s">
        <v>53</v>
      </c>
      <c r="E218" s="1293"/>
      <c r="F218" s="1307"/>
      <c r="G218" s="62"/>
      <c r="H218" s="62"/>
      <c r="I218" s="62"/>
      <c r="J218" s="62"/>
      <c r="K218" s="1726" t="s">
        <v>317</v>
      </c>
      <c r="L218" s="341" t="s">
        <v>316</v>
      </c>
      <c r="M218" s="835" t="s">
        <v>316</v>
      </c>
      <c r="N218" s="437" t="s">
        <v>316</v>
      </c>
    </row>
    <row r="219" spans="1:14" ht="18" customHeight="1" x14ac:dyDescent="0.2">
      <c r="A219" s="1632"/>
      <c r="B219" s="1633"/>
      <c r="C219" s="1634"/>
      <c r="D219" s="1626"/>
      <c r="E219" s="1330"/>
      <c r="F219" s="1307"/>
      <c r="G219" s="767"/>
      <c r="H219" s="767"/>
      <c r="I219" s="767"/>
      <c r="J219" s="1182"/>
      <c r="K219" s="1727"/>
      <c r="L219" s="42"/>
      <c r="M219" s="147"/>
      <c r="N219" s="43"/>
    </row>
    <row r="220" spans="1:14" ht="14.25" customHeight="1" x14ac:dyDescent="0.2">
      <c r="A220" s="1632"/>
      <c r="B220" s="1633"/>
      <c r="C220" s="1634"/>
      <c r="D220" s="1729" t="s">
        <v>296</v>
      </c>
      <c r="E220" s="1718"/>
      <c r="F220" s="1634"/>
      <c r="G220" s="62"/>
      <c r="H220" s="62"/>
      <c r="I220" s="62"/>
      <c r="J220" s="62"/>
      <c r="K220" s="1326" t="s">
        <v>322</v>
      </c>
      <c r="L220" s="837" t="s">
        <v>326</v>
      </c>
      <c r="M220" s="649" t="s">
        <v>326</v>
      </c>
      <c r="N220" s="524" t="s">
        <v>326</v>
      </c>
    </row>
    <row r="221" spans="1:14" ht="13.5" customHeight="1" x14ac:dyDescent="0.2">
      <c r="A221" s="1632"/>
      <c r="B221" s="1633"/>
      <c r="C221" s="1634"/>
      <c r="D221" s="1730"/>
      <c r="E221" s="1718"/>
      <c r="F221" s="1634"/>
      <c r="G221" s="62"/>
      <c r="H221" s="62"/>
      <c r="I221" s="62"/>
      <c r="J221" s="62"/>
      <c r="K221" s="1301" t="s">
        <v>318</v>
      </c>
      <c r="L221" s="37" t="s">
        <v>339</v>
      </c>
      <c r="M221" s="37" t="s">
        <v>339</v>
      </c>
      <c r="N221" s="332" t="s">
        <v>339</v>
      </c>
    </row>
    <row r="222" spans="1:14" ht="28.5" customHeight="1" x14ac:dyDescent="0.2">
      <c r="A222" s="1632"/>
      <c r="B222" s="1633"/>
      <c r="C222" s="1634"/>
      <c r="D222" s="1081"/>
      <c r="E222" s="1718"/>
      <c r="F222" s="1634"/>
      <c r="G222" s="62"/>
      <c r="H222" s="62"/>
      <c r="I222" s="62"/>
      <c r="J222" s="62"/>
      <c r="K222" s="1603" t="s">
        <v>367</v>
      </c>
      <c r="L222" s="367" t="s">
        <v>312</v>
      </c>
      <c r="M222" s="1059"/>
      <c r="N222" s="439"/>
    </row>
    <row r="223" spans="1:14" ht="39" customHeight="1" x14ac:dyDescent="0.2">
      <c r="A223" s="1632"/>
      <c r="B223" s="1633"/>
      <c r="C223" s="1728"/>
      <c r="D223" s="1081"/>
      <c r="E223" s="1718"/>
      <c r="F223" s="1634"/>
      <c r="G223" s="62"/>
      <c r="H223" s="62"/>
      <c r="I223" s="62"/>
      <c r="J223" s="62"/>
      <c r="K223" s="85" t="s">
        <v>324</v>
      </c>
      <c r="L223" s="183" t="s">
        <v>313</v>
      </c>
      <c r="M223" s="1614"/>
      <c r="N223" s="1615"/>
    </row>
    <row r="224" spans="1:14" ht="25.5" customHeight="1" x14ac:dyDescent="0.2">
      <c r="A224" s="1632"/>
      <c r="B224" s="1633"/>
      <c r="C224" s="1728"/>
      <c r="D224" s="1297"/>
      <c r="E224" s="1718"/>
      <c r="F224" s="1634"/>
      <c r="G224" s="1182"/>
      <c r="H224" s="1182"/>
      <c r="I224" s="1182"/>
      <c r="J224" s="1182"/>
      <c r="K224" s="1607" t="s">
        <v>379</v>
      </c>
      <c r="L224" s="304" t="s">
        <v>55</v>
      </c>
      <c r="M224" s="503"/>
      <c r="N224" s="440"/>
    </row>
    <row r="225" spans="1:14" ht="17.25" customHeight="1" x14ac:dyDescent="0.2">
      <c r="A225" s="1294"/>
      <c r="B225" s="1291"/>
      <c r="C225" s="1307"/>
      <c r="D225" s="1714" t="s">
        <v>104</v>
      </c>
      <c r="E225" s="1293"/>
      <c r="F225" s="1307"/>
      <c r="G225" s="62"/>
      <c r="H225" s="62"/>
      <c r="I225" s="62"/>
      <c r="J225" s="62"/>
      <c r="K225" s="1716" t="s">
        <v>153</v>
      </c>
      <c r="L225" s="1328">
        <v>14</v>
      </c>
      <c r="M225" s="428">
        <v>12</v>
      </c>
      <c r="N225" s="1323">
        <v>6</v>
      </c>
    </row>
    <row r="226" spans="1:14" ht="15" customHeight="1" x14ac:dyDescent="0.2">
      <c r="A226" s="1294"/>
      <c r="B226" s="1291"/>
      <c r="C226" s="1307"/>
      <c r="D226" s="1715"/>
      <c r="E226" s="1330"/>
      <c r="F226" s="1307"/>
      <c r="G226" s="1182"/>
      <c r="H226" s="1182"/>
      <c r="I226" s="1182"/>
      <c r="J226" s="1182"/>
      <c r="K226" s="1717"/>
      <c r="L226" s="20"/>
      <c r="M226" s="301"/>
      <c r="N226" s="21"/>
    </row>
    <row r="227" spans="1:14" ht="15.75" customHeight="1" x14ac:dyDescent="0.2">
      <c r="A227" s="1314"/>
      <c r="B227" s="1291"/>
      <c r="C227" s="1307"/>
      <c r="D227" s="1625" t="s">
        <v>39</v>
      </c>
      <c r="E227" s="1299"/>
      <c r="F227" s="1307"/>
      <c r="G227" s="58"/>
      <c r="H227" s="62"/>
      <c r="I227" s="62"/>
      <c r="J227" s="62"/>
      <c r="K227" s="1290" t="s">
        <v>295</v>
      </c>
      <c r="L227" s="1318">
        <v>14</v>
      </c>
      <c r="M227" s="1321">
        <v>14</v>
      </c>
      <c r="N227" s="1329">
        <v>14</v>
      </c>
    </row>
    <row r="228" spans="1:14" ht="16.5" customHeight="1" x14ac:dyDescent="0.2">
      <c r="A228" s="1314"/>
      <c r="B228" s="1291"/>
      <c r="C228" s="1307"/>
      <c r="D228" s="1626"/>
      <c r="E228" s="1330"/>
      <c r="F228" s="1307"/>
      <c r="G228" s="1182"/>
      <c r="H228" s="1182"/>
      <c r="I228" s="1182"/>
      <c r="J228" s="86"/>
      <c r="K228" s="1301"/>
      <c r="L228" s="20"/>
      <c r="M228" s="301"/>
      <c r="N228" s="21"/>
    </row>
    <row r="229" spans="1:14" ht="15" customHeight="1" x14ac:dyDescent="0.2">
      <c r="A229" s="1314"/>
      <c r="B229" s="1291"/>
      <c r="C229" s="1307"/>
      <c r="D229" s="1625" t="s">
        <v>258</v>
      </c>
      <c r="E229" s="1293"/>
      <c r="F229" s="1307"/>
      <c r="G229" s="1177"/>
      <c r="H229" s="1181"/>
      <c r="I229" s="1181"/>
      <c r="J229" s="1181"/>
      <c r="K229" s="896" t="s">
        <v>93</v>
      </c>
      <c r="L229" s="682">
        <v>1</v>
      </c>
      <c r="M229" s="300"/>
      <c r="N229" s="1319"/>
    </row>
    <row r="230" spans="1:14" ht="27.75" customHeight="1" x14ac:dyDescent="0.2">
      <c r="A230" s="1314"/>
      <c r="B230" s="1291"/>
      <c r="C230" s="1307"/>
      <c r="D230" s="1626"/>
      <c r="E230" s="1293"/>
      <c r="F230" s="1307"/>
      <c r="G230" s="1178" t="s">
        <v>100</v>
      </c>
      <c r="H230" s="1182">
        <v>15</v>
      </c>
      <c r="I230" s="1182">
        <v>63</v>
      </c>
      <c r="J230" s="1182"/>
      <c r="K230" s="475" t="s">
        <v>274</v>
      </c>
      <c r="L230" s="903"/>
      <c r="M230" s="904">
        <v>100</v>
      </c>
      <c r="N230" s="906"/>
    </row>
    <row r="231" spans="1:14" ht="14.25" customHeight="1" x14ac:dyDescent="0.2">
      <c r="A231" s="1314"/>
      <c r="B231" s="1291"/>
      <c r="C231" s="1292"/>
      <c r="D231" s="1309" t="s">
        <v>369</v>
      </c>
      <c r="E231" s="135"/>
      <c r="F231" s="1307"/>
      <c r="G231" s="978" t="s">
        <v>100</v>
      </c>
      <c r="H231" s="75"/>
      <c r="I231" s="979">
        <v>5</v>
      </c>
      <c r="J231" s="1181">
        <v>10</v>
      </c>
      <c r="K231" s="980" t="s">
        <v>46</v>
      </c>
      <c r="L231" s="507"/>
      <c r="M231" s="507">
        <v>1</v>
      </c>
      <c r="N231" s="195">
        <v>2</v>
      </c>
    </row>
    <row r="232" spans="1:14" ht="26.25" customHeight="1" x14ac:dyDescent="0.2">
      <c r="A232" s="1286"/>
      <c r="B232" s="1287"/>
      <c r="C232" s="1288"/>
      <c r="D232" s="983" t="s">
        <v>372</v>
      </c>
      <c r="E232" s="1627"/>
      <c r="F232" s="1629"/>
      <c r="G232" s="974"/>
      <c r="H232" s="64"/>
      <c r="I232" s="99"/>
      <c r="J232" s="62"/>
      <c r="K232" s="474" t="s">
        <v>290</v>
      </c>
      <c r="L232" s="1346"/>
      <c r="M232" s="1346"/>
      <c r="N232" s="318"/>
    </row>
    <row r="233" spans="1:14" ht="12.75" customHeight="1" x14ac:dyDescent="0.2">
      <c r="A233" s="1286"/>
      <c r="B233" s="1287"/>
      <c r="C233" s="1288"/>
      <c r="D233" s="983" t="s">
        <v>370</v>
      </c>
      <c r="E233" s="1627"/>
      <c r="F233" s="1629"/>
      <c r="G233" s="974"/>
      <c r="H233" s="64"/>
      <c r="I233" s="99"/>
      <c r="J233" s="62"/>
      <c r="K233" s="474"/>
      <c r="L233" s="1346"/>
      <c r="M233" s="1346"/>
      <c r="N233" s="318"/>
    </row>
    <row r="234" spans="1:14" ht="13.5" customHeight="1" x14ac:dyDescent="0.2">
      <c r="A234" s="1286"/>
      <c r="B234" s="1287"/>
      <c r="C234" s="1288"/>
      <c r="D234" s="1315" t="s">
        <v>371</v>
      </c>
      <c r="E234" s="1628"/>
      <c r="F234" s="1630"/>
      <c r="G234" s="975"/>
      <c r="H234" s="1178"/>
      <c r="I234" s="147"/>
      <c r="J234" s="1182"/>
      <c r="K234" s="475"/>
      <c r="L234" s="1346"/>
      <c r="M234" s="380"/>
      <c r="N234" s="318"/>
    </row>
    <row r="235" spans="1:14" ht="13.5" customHeight="1" x14ac:dyDescent="0.2">
      <c r="A235" s="1314"/>
      <c r="B235" s="1311"/>
      <c r="C235" s="93"/>
      <c r="D235" s="1625" t="s">
        <v>368</v>
      </c>
      <c r="E235" s="1086" t="s">
        <v>47</v>
      </c>
      <c r="F235" s="600"/>
      <c r="G235" s="1184" t="s">
        <v>100</v>
      </c>
      <c r="H235" s="1181">
        <v>20</v>
      </c>
      <c r="I235" s="1181">
        <v>100</v>
      </c>
      <c r="J235" s="1181">
        <v>200</v>
      </c>
      <c r="K235" s="896" t="s">
        <v>93</v>
      </c>
      <c r="L235" s="898">
        <v>1</v>
      </c>
      <c r="M235" s="899"/>
      <c r="N235" s="900"/>
    </row>
    <row r="236" spans="1:14" ht="25.5" customHeight="1" x14ac:dyDescent="0.2">
      <c r="A236" s="1314"/>
      <c r="B236" s="1311"/>
      <c r="C236" s="93"/>
      <c r="D236" s="1631"/>
      <c r="E236" s="327"/>
      <c r="F236" s="1312"/>
      <c r="G236" s="1185"/>
      <c r="H236" s="1182"/>
      <c r="I236" s="1182"/>
      <c r="J236" s="1182"/>
      <c r="K236" s="474" t="s">
        <v>309</v>
      </c>
      <c r="L236" s="1380"/>
      <c r="M236" s="507">
        <v>20</v>
      </c>
      <c r="N236" s="1381">
        <v>100</v>
      </c>
    </row>
    <row r="237" spans="1:14" ht="16.5" customHeight="1" thickBot="1" x14ac:dyDescent="0.25">
      <c r="A237" s="68"/>
      <c r="B237" s="1305"/>
      <c r="C237" s="52"/>
      <c r="D237" s="1376"/>
      <c r="E237" s="1377"/>
      <c r="F237" s="52"/>
      <c r="G237" s="133" t="s">
        <v>6</v>
      </c>
      <c r="H237" s="146">
        <f>SUM(H196:H236)</f>
        <v>3683.8</v>
      </c>
      <c r="I237" s="146">
        <f>SUM(I196:I236)</f>
        <v>3635.8</v>
      </c>
      <c r="J237" s="146">
        <f>SUM(J196:J236)</f>
        <v>3748.4</v>
      </c>
      <c r="K237" s="517"/>
      <c r="L237" s="178"/>
      <c r="M237" s="636"/>
      <c r="N237" s="534"/>
    </row>
    <row r="238" spans="1:14" ht="26.25" customHeight="1" x14ac:dyDescent="0.2">
      <c r="A238" s="1225" t="s">
        <v>5</v>
      </c>
      <c r="B238" s="1220" t="s">
        <v>33</v>
      </c>
      <c r="C238" s="209" t="s">
        <v>7</v>
      </c>
      <c r="D238" s="1631" t="s">
        <v>138</v>
      </c>
      <c r="E238" s="1677" t="s">
        <v>47</v>
      </c>
      <c r="F238" s="1679" t="s">
        <v>43</v>
      </c>
      <c r="G238" s="62" t="s">
        <v>25</v>
      </c>
      <c r="H238" s="62"/>
      <c r="I238" s="62">
        <v>111</v>
      </c>
      <c r="J238" s="62">
        <v>199.3</v>
      </c>
      <c r="K238" s="1326" t="s">
        <v>147</v>
      </c>
      <c r="L238" s="682"/>
      <c r="M238" s="310">
        <v>1</v>
      </c>
      <c r="N238" s="731"/>
    </row>
    <row r="239" spans="1:14" ht="26.25" customHeight="1" x14ac:dyDescent="0.2">
      <c r="A239" s="1225"/>
      <c r="B239" s="1220"/>
      <c r="C239" s="209"/>
      <c r="D239" s="1631"/>
      <c r="E239" s="1677"/>
      <c r="F239" s="1679"/>
      <c r="G239" s="62" t="s">
        <v>60</v>
      </c>
      <c r="H239" s="62">
        <v>83.9</v>
      </c>
      <c r="I239" s="62"/>
      <c r="J239" s="62"/>
      <c r="K239" s="85" t="s">
        <v>229</v>
      </c>
      <c r="L239" s="25">
        <v>100</v>
      </c>
      <c r="M239" s="309"/>
      <c r="N239" s="26"/>
    </row>
    <row r="240" spans="1:14" ht="26.25" customHeight="1" x14ac:dyDescent="0.2">
      <c r="A240" s="1225"/>
      <c r="B240" s="1220"/>
      <c r="C240" s="209"/>
      <c r="D240" s="1631"/>
      <c r="E240" s="1677"/>
      <c r="F240" s="1680"/>
      <c r="G240" s="1182"/>
      <c r="H240" s="1182"/>
      <c r="I240" s="1182"/>
      <c r="J240" s="1182"/>
      <c r="K240" s="1267" t="s">
        <v>142</v>
      </c>
      <c r="L240" s="367"/>
      <c r="M240" s="1164">
        <v>30</v>
      </c>
      <c r="N240" s="195">
        <v>100</v>
      </c>
    </row>
    <row r="241" spans="1:16" ht="17.25" customHeight="1" thickBot="1" x14ac:dyDescent="0.25">
      <c r="A241" s="68"/>
      <c r="B241" s="1243"/>
      <c r="C241" s="95"/>
      <c r="D241" s="1676"/>
      <c r="E241" s="1678"/>
      <c r="F241" s="1681"/>
      <c r="G241" s="133" t="s">
        <v>6</v>
      </c>
      <c r="H241" s="133">
        <f>SUM(H238:H239)</f>
        <v>83.9</v>
      </c>
      <c r="I241" s="133">
        <f t="shared" ref="I241:J241" si="10">SUM(I238:I239)</f>
        <v>111</v>
      </c>
      <c r="J241" s="133">
        <f t="shared" si="10"/>
        <v>199.3</v>
      </c>
      <c r="K241" s="1254"/>
      <c r="L241" s="189"/>
      <c r="M241" s="642"/>
      <c r="N241" s="674"/>
    </row>
    <row r="242" spans="1:16" ht="14.25" customHeight="1" thickBot="1" x14ac:dyDescent="0.25">
      <c r="A242" s="68" t="s">
        <v>5</v>
      </c>
      <c r="B242" s="1243" t="s">
        <v>33</v>
      </c>
      <c r="C242" s="1682" t="s">
        <v>8</v>
      </c>
      <c r="D242" s="1682"/>
      <c r="E242" s="1682"/>
      <c r="F242" s="1682"/>
      <c r="G242" s="1683"/>
      <c r="H242" s="610">
        <f>H241+H237</f>
        <v>3767.7</v>
      </c>
      <c r="I242" s="610">
        <f t="shared" ref="I242:J242" si="11">I241+I237</f>
        <v>3746.8</v>
      </c>
      <c r="J242" s="610">
        <f t="shared" si="11"/>
        <v>3947.7</v>
      </c>
      <c r="K242" s="1719"/>
      <c r="L242" s="1719"/>
      <c r="M242" s="1719"/>
      <c r="N242" s="1720"/>
    </row>
    <row r="243" spans="1:16" ht="14.25" customHeight="1" thickBot="1" x14ac:dyDescent="0.25">
      <c r="A243" s="90" t="s">
        <v>5</v>
      </c>
      <c r="B243" s="1721" t="s">
        <v>9</v>
      </c>
      <c r="C243" s="1722"/>
      <c r="D243" s="1722"/>
      <c r="E243" s="1722"/>
      <c r="F243" s="1722"/>
      <c r="G243" s="1723"/>
      <c r="H243" s="137">
        <f>H242+H194+H148+H106</f>
        <v>27558.6</v>
      </c>
      <c r="I243" s="137">
        <f>I242+I194+I148+I106</f>
        <v>33927.599999999999</v>
      </c>
      <c r="J243" s="137">
        <f>J242+J194+J148+J106</f>
        <v>27569.599999999999</v>
      </c>
      <c r="K243" s="1724"/>
      <c r="L243" s="1724"/>
      <c r="M243" s="1724"/>
      <c r="N243" s="1725"/>
    </row>
    <row r="244" spans="1:16" ht="14.25" customHeight="1" thickBot="1" x14ac:dyDescent="0.25">
      <c r="A244" s="101" t="s">
        <v>35</v>
      </c>
      <c r="B244" s="1652" t="s">
        <v>57</v>
      </c>
      <c r="C244" s="1653"/>
      <c r="D244" s="1653"/>
      <c r="E244" s="1653"/>
      <c r="F244" s="1653"/>
      <c r="G244" s="1654"/>
      <c r="H244" s="138">
        <f>SUM(H243)</f>
        <v>27558.6</v>
      </c>
      <c r="I244" s="138">
        <f>SUM(I243)</f>
        <v>33927.599999999999</v>
      </c>
      <c r="J244" s="138">
        <f t="shared" ref="J244" si="12">SUM(J243)</f>
        <v>27569.599999999999</v>
      </c>
      <c r="K244" s="1674"/>
      <c r="L244" s="1674"/>
      <c r="M244" s="1674"/>
      <c r="N244" s="1675"/>
    </row>
    <row r="245" spans="1:16" s="5" customFormat="1" ht="17.25" customHeight="1" x14ac:dyDescent="0.2">
      <c r="A245" s="1332"/>
      <c r="B245" s="1333"/>
      <c r="C245" s="1333"/>
      <c r="D245" s="1333"/>
      <c r="E245" s="1333"/>
      <c r="F245" s="1333"/>
      <c r="G245" s="1333"/>
      <c r="H245" s="1333"/>
      <c r="I245" s="1333"/>
      <c r="J245" s="1333"/>
      <c r="K245" s="776"/>
      <c r="L245" s="776"/>
      <c r="M245" s="776"/>
      <c r="N245" s="776"/>
      <c r="P245" s="1"/>
    </row>
    <row r="246" spans="1:16" s="4" customFormat="1" ht="12" customHeight="1" x14ac:dyDescent="0.2">
      <c r="A246" s="776"/>
      <c r="B246" s="698"/>
      <c r="C246" s="698"/>
      <c r="D246" s="698"/>
      <c r="E246" s="698"/>
      <c r="F246" s="698"/>
      <c r="G246" s="698"/>
      <c r="H246" s="698"/>
      <c r="I246" s="698"/>
      <c r="J246" s="698"/>
      <c r="K246" s="698"/>
      <c r="L246" s="776"/>
      <c r="M246" s="776"/>
      <c r="N246" s="776"/>
      <c r="P246" s="1"/>
    </row>
    <row r="247" spans="1:16" s="5" customFormat="1" ht="15" customHeight="1" thickBot="1" x14ac:dyDescent="0.25">
      <c r="A247" s="1644" t="s">
        <v>13</v>
      </c>
      <c r="B247" s="1644"/>
      <c r="C247" s="1644"/>
      <c r="D247" s="1644"/>
      <c r="E247" s="1644"/>
      <c r="F247" s="1644"/>
      <c r="G247" s="1644"/>
      <c r="H247" s="148"/>
      <c r="I247" s="148"/>
      <c r="J247" s="148"/>
      <c r="K247" s="102"/>
      <c r="L247" s="102"/>
      <c r="M247" s="102"/>
      <c r="N247" s="102"/>
      <c r="P247" s="1"/>
    </row>
    <row r="248" spans="1:16" ht="62.25" customHeight="1" thickBot="1" x14ac:dyDescent="0.25">
      <c r="A248" s="1645" t="s">
        <v>10</v>
      </c>
      <c r="B248" s="1646"/>
      <c r="C248" s="1646"/>
      <c r="D248" s="1646"/>
      <c r="E248" s="1646"/>
      <c r="F248" s="1646"/>
      <c r="G248" s="1647"/>
      <c r="H248" s="723" t="s">
        <v>349</v>
      </c>
      <c r="I248" s="747" t="s">
        <v>167</v>
      </c>
      <c r="J248" s="747" t="s">
        <v>247</v>
      </c>
      <c r="K248" s="14"/>
      <c r="L248" s="14"/>
      <c r="M248" s="14"/>
      <c r="N248" s="14"/>
    </row>
    <row r="249" spans="1:16" ht="14.25" customHeight="1" x14ac:dyDescent="0.2">
      <c r="A249" s="1648" t="s">
        <v>14</v>
      </c>
      <c r="B249" s="1649"/>
      <c r="C249" s="1649"/>
      <c r="D249" s="1649"/>
      <c r="E249" s="1649"/>
      <c r="F249" s="1649"/>
      <c r="G249" s="1650"/>
      <c r="H249" s="724">
        <f t="shared" ref="H249:J249" si="13">H250+H258+H259+H260+H257</f>
        <v>24850.7</v>
      </c>
      <c r="I249" s="724">
        <f t="shared" si="13"/>
        <v>15639.6</v>
      </c>
      <c r="J249" s="1171">
        <f t="shared" si="13"/>
        <v>16160.8</v>
      </c>
      <c r="K249" s="14"/>
      <c r="L249" s="14"/>
      <c r="M249" s="14"/>
      <c r="N249" s="14"/>
    </row>
    <row r="250" spans="1:16" ht="14.25" customHeight="1" x14ac:dyDescent="0.2">
      <c r="A250" s="1619" t="s">
        <v>92</v>
      </c>
      <c r="B250" s="1620"/>
      <c r="C250" s="1620"/>
      <c r="D250" s="1620"/>
      <c r="E250" s="1620"/>
      <c r="F250" s="1620"/>
      <c r="G250" s="1621"/>
      <c r="H250" s="725">
        <f>SUM(H251:H256)</f>
        <v>17657.5</v>
      </c>
      <c r="I250" s="725">
        <f t="shared" ref="I250:J250" si="14">SUM(I251:I256)</f>
        <v>11023.1</v>
      </c>
      <c r="J250" s="1170">
        <f t="shared" si="14"/>
        <v>11414.1</v>
      </c>
      <c r="K250" s="14"/>
      <c r="L250" s="14"/>
      <c r="M250" s="14"/>
      <c r="N250" s="14"/>
    </row>
    <row r="251" spans="1:16" ht="14.25" customHeight="1" x14ac:dyDescent="0.2">
      <c r="A251" s="1622" t="s">
        <v>19</v>
      </c>
      <c r="B251" s="1623"/>
      <c r="C251" s="1623"/>
      <c r="D251" s="1623"/>
      <c r="E251" s="1623"/>
      <c r="F251" s="1623"/>
      <c r="G251" s="1624"/>
      <c r="H251" s="1182">
        <f>SUMIF(G13:G244,"SB",H13:H244)</f>
        <v>10056.9</v>
      </c>
      <c r="I251" s="1182">
        <f>SUMIF(G15:G244,"SB",I15:I244)</f>
        <v>9129.7000000000007</v>
      </c>
      <c r="J251" s="1182">
        <f>SUMIF(G15:G244,"SB",J15:J244)</f>
        <v>9598.7999999999993</v>
      </c>
      <c r="K251" s="14"/>
      <c r="L251" s="14"/>
      <c r="M251" s="14"/>
      <c r="N251" s="14"/>
    </row>
    <row r="252" spans="1:16" ht="14.25" customHeight="1" x14ac:dyDescent="0.2">
      <c r="A252" s="1616" t="s">
        <v>20</v>
      </c>
      <c r="B252" s="1617"/>
      <c r="C252" s="1617"/>
      <c r="D252" s="1617"/>
      <c r="E252" s="1617"/>
      <c r="F252" s="1617"/>
      <c r="G252" s="1618"/>
      <c r="H252" s="56">
        <f>SUMIF(G26:G244,"SB(P)",H26:H244)</f>
        <v>0</v>
      </c>
      <c r="I252" s="56">
        <f>SUMIF(G26:G244,"SB(P)",I26:I244)</f>
        <v>0</v>
      </c>
      <c r="J252" s="56">
        <f>SUMIF(G26:G244,"SB(P)",J26:J244)</f>
        <v>0</v>
      </c>
      <c r="K252" s="14"/>
      <c r="L252" s="14"/>
      <c r="M252" s="14"/>
      <c r="N252" s="14"/>
    </row>
    <row r="253" spans="1:16" ht="14.25" customHeight="1" x14ac:dyDescent="0.2">
      <c r="A253" s="1616" t="s">
        <v>69</v>
      </c>
      <c r="B253" s="1617"/>
      <c r="C253" s="1617"/>
      <c r="D253" s="1617"/>
      <c r="E253" s="1617"/>
      <c r="F253" s="1617"/>
      <c r="G253" s="1618"/>
      <c r="H253" s="1182">
        <f>SUMIF(G26:G244,"SB(VR)",H26:H244)</f>
        <v>1770.6</v>
      </c>
      <c r="I253" s="1182">
        <f>SUMIF(G26:G244,"SB(VR)",I26:I244)</f>
        <v>1770.6</v>
      </c>
      <c r="J253" s="1182">
        <f>SUMIF(G26:G244,"SB(VR)",J26:J244)</f>
        <v>1770.6</v>
      </c>
      <c r="K253" s="14"/>
      <c r="L253" s="14"/>
      <c r="M253" s="14"/>
      <c r="N253" s="14"/>
    </row>
    <row r="254" spans="1:16" ht="14.25" customHeight="1" x14ac:dyDescent="0.2">
      <c r="A254" s="1708" t="s">
        <v>237</v>
      </c>
      <c r="B254" s="1709"/>
      <c r="C254" s="1709"/>
      <c r="D254" s="1709"/>
      <c r="E254" s="1709"/>
      <c r="F254" s="1709"/>
      <c r="G254" s="1710"/>
      <c r="H254" s="56">
        <f>SUMIF(G16:G238,"SB(ES)",H16:H238)</f>
        <v>5830</v>
      </c>
      <c r="I254" s="56">
        <f>SUMIF(G16:G239,"SB(ES)",I16:I239)</f>
        <v>122.8</v>
      </c>
      <c r="J254" s="56">
        <f>SUMIF(G16:G238,"SB(ES)",J16:J238)</f>
        <v>0</v>
      </c>
      <c r="K254" s="14"/>
      <c r="L254" s="14"/>
      <c r="M254" s="14"/>
      <c r="N254" s="14"/>
    </row>
    <row r="255" spans="1:16" ht="14.25" customHeight="1" x14ac:dyDescent="0.2">
      <c r="A255" s="1708" t="s">
        <v>272</v>
      </c>
      <c r="B255" s="1709"/>
      <c r="C255" s="1709"/>
      <c r="D255" s="1709"/>
      <c r="E255" s="1709"/>
      <c r="F255" s="1709"/>
      <c r="G255" s="1710"/>
      <c r="H255" s="56">
        <f>SUMIF(G26:G239,"SB(VB)",H26:H239)</f>
        <v>0</v>
      </c>
      <c r="I255" s="56">
        <f>SUMIF(G26:G240,"SB(VB)",I26:I240)</f>
        <v>0</v>
      </c>
      <c r="J255" s="56">
        <f>SUMIF(G14:G239,"SB(VB)",J14:J239)</f>
        <v>44.7</v>
      </c>
      <c r="K255" s="14"/>
      <c r="L255" s="14"/>
      <c r="M255" s="14"/>
      <c r="N255" s="14"/>
    </row>
    <row r="256" spans="1:16" ht="29.25" customHeight="1" x14ac:dyDescent="0.2">
      <c r="A256" s="1635" t="s">
        <v>333</v>
      </c>
      <c r="B256" s="1636"/>
      <c r="C256" s="1636"/>
      <c r="D256" s="1636"/>
      <c r="E256" s="1636"/>
      <c r="F256" s="1636"/>
      <c r="G256" s="1637"/>
      <c r="H256" s="56">
        <f>SUMIF(G24:G245,"SB(KP)",H24:H245)</f>
        <v>0</v>
      </c>
      <c r="I256" s="56">
        <f>SUMIF(G24:G245,"SB(KP)",I24:I245)</f>
        <v>0</v>
      </c>
      <c r="J256" s="56">
        <f>SUMIF(G24:G245,"SB(KP)",J24:J245)</f>
        <v>0</v>
      </c>
      <c r="K256" s="14"/>
      <c r="L256" s="14"/>
      <c r="M256" s="14"/>
      <c r="N256" s="14"/>
    </row>
    <row r="257" spans="1:14" ht="15.75" customHeight="1" x14ac:dyDescent="0.2">
      <c r="A257" s="1638" t="s">
        <v>334</v>
      </c>
      <c r="B257" s="1639"/>
      <c r="C257" s="1639"/>
      <c r="D257" s="1639"/>
      <c r="E257" s="1639"/>
      <c r="F257" s="1639"/>
      <c r="G257" s="1640"/>
      <c r="H257" s="266">
        <f>SUMIF(G15:G244,"SB(KPP)",H15:H244)</f>
        <v>4877.8</v>
      </c>
      <c r="I257" s="266">
        <f>SUMIF(G13:G244,"SB(KPP)",I13:I244)</f>
        <v>4616.5</v>
      </c>
      <c r="J257" s="266">
        <f>SUMIF(G15:G244,"SB(KPP)",J15:J244)</f>
        <v>4746.7</v>
      </c>
      <c r="K257" s="14"/>
      <c r="L257" s="14"/>
      <c r="M257" s="14"/>
      <c r="N257" s="14"/>
    </row>
    <row r="258" spans="1:14" ht="14.25" customHeight="1" x14ac:dyDescent="0.2">
      <c r="A258" s="1641" t="s">
        <v>97</v>
      </c>
      <c r="B258" s="1642"/>
      <c r="C258" s="1642"/>
      <c r="D258" s="1642"/>
      <c r="E258" s="1642"/>
      <c r="F258" s="1642"/>
      <c r="G258" s="1643"/>
      <c r="H258" s="266">
        <f>SUMIF(G26:G243,"SB(VRL)",H26:H243)</f>
        <v>761.9</v>
      </c>
      <c r="I258" s="266">
        <f>SUMIF(G14:G243,"SB(VRL)",I14:I243)</f>
        <v>0</v>
      </c>
      <c r="J258" s="266">
        <f>SUMIF(G14:G243,"SB(VRL)",J14:J243)</f>
        <v>0</v>
      </c>
      <c r="K258" s="14"/>
      <c r="L258" s="14"/>
      <c r="M258" s="14"/>
      <c r="N258" s="14"/>
    </row>
    <row r="259" spans="1:14" ht="14.25" customHeight="1" x14ac:dyDescent="0.2">
      <c r="A259" s="1638" t="s">
        <v>98</v>
      </c>
      <c r="B259" s="1642"/>
      <c r="C259" s="1642"/>
      <c r="D259" s="1642"/>
      <c r="E259" s="1642"/>
      <c r="F259" s="1642"/>
      <c r="G259" s="1643"/>
      <c r="H259" s="266">
        <f>SUMIF(G14:G244,"SB(ŽPL)",H14:H244)</f>
        <v>480.6</v>
      </c>
      <c r="I259" s="266">
        <f>SUMIF(G26:G244,"SB(ŽPL)",I26:I244)</f>
        <v>0</v>
      </c>
      <c r="J259" s="266">
        <f>SUMIF(G26:G244,"SB(ŽPL)",J26:J244)</f>
        <v>0</v>
      </c>
      <c r="K259" s="14"/>
      <c r="L259" s="14"/>
      <c r="M259" s="14"/>
      <c r="N259" s="14"/>
    </row>
    <row r="260" spans="1:14" ht="14.25" customHeight="1" x14ac:dyDescent="0.2">
      <c r="A260" s="1702" t="s">
        <v>172</v>
      </c>
      <c r="B260" s="1703"/>
      <c r="C260" s="1703"/>
      <c r="D260" s="1703"/>
      <c r="E260" s="1703"/>
      <c r="F260" s="1703"/>
      <c r="G260" s="1704"/>
      <c r="H260" s="266">
        <f>SUMIF(G14:G244,"SB(L)",H14:H244)</f>
        <v>1072.9000000000001</v>
      </c>
      <c r="I260" s="266">
        <f>SUMIF(G14:G244,"SB(L)",I14:I244)</f>
        <v>0</v>
      </c>
      <c r="J260" s="266">
        <f>SUMIF(G14:G244,"SB(L)",J14:J244)</f>
        <v>0</v>
      </c>
      <c r="K260" s="14"/>
      <c r="L260" s="14"/>
      <c r="M260" s="14"/>
      <c r="N260" s="14"/>
    </row>
    <row r="261" spans="1:14" ht="14.25" customHeight="1" x14ac:dyDescent="0.2">
      <c r="A261" s="1705" t="s">
        <v>15</v>
      </c>
      <c r="B261" s="1706"/>
      <c r="C261" s="1706"/>
      <c r="D261" s="1706"/>
      <c r="E261" s="1706"/>
      <c r="F261" s="1706"/>
      <c r="G261" s="1707"/>
      <c r="H261" s="267">
        <f>H264+H265+H266+H262+H263</f>
        <v>2707.9</v>
      </c>
      <c r="I261" s="267">
        <f>I264+I265+I266+I262+I263</f>
        <v>18288</v>
      </c>
      <c r="J261" s="267">
        <f t="shared" ref="J261" si="15">J264+J265+J266+J262+J263</f>
        <v>11408.8</v>
      </c>
      <c r="K261" s="14"/>
      <c r="L261" s="14"/>
      <c r="M261" s="14"/>
      <c r="N261" s="14"/>
    </row>
    <row r="262" spans="1:14" ht="14.25" customHeight="1" x14ac:dyDescent="0.2">
      <c r="A262" s="1708" t="s">
        <v>21</v>
      </c>
      <c r="B262" s="1709"/>
      <c r="C262" s="1709"/>
      <c r="D262" s="1709"/>
      <c r="E262" s="1709"/>
      <c r="F262" s="1709"/>
      <c r="G262" s="1710"/>
      <c r="H262" s="56">
        <f>SUMIF(G12:G244,"ES",H12:H244)</f>
        <v>919.1</v>
      </c>
      <c r="I262" s="56">
        <f>SUMIF(G12:G244,"ES",I12:I244)</f>
        <v>1653</v>
      </c>
      <c r="J262" s="56">
        <f>SUMIF(G12:G244,"ES",J12:J244)</f>
        <v>1799.7</v>
      </c>
      <c r="K262" s="14"/>
      <c r="L262" s="14"/>
      <c r="M262" s="14"/>
      <c r="N262" s="14"/>
    </row>
    <row r="263" spans="1:14" ht="14.25" customHeight="1" x14ac:dyDescent="0.2">
      <c r="A263" s="1711" t="s">
        <v>332</v>
      </c>
      <c r="B263" s="1712"/>
      <c r="C263" s="1712"/>
      <c r="D263" s="1712"/>
      <c r="E263" s="1712"/>
      <c r="F263" s="1712"/>
      <c r="G263" s="1713"/>
      <c r="H263" s="727">
        <f>SUMIF(G15:G243,"KPP(VIP)",H15:H243)</f>
        <v>0</v>
      </c>
      <c r="I263" s="727">
        <f>SUMIF(G15:G243,"KPP(VIP)",I15:I243)</f>
        <v>10000</v>
      </c>
      <c r="J263" s="1169">
        <f>SUMIF(G15:G243,"KPP(VIP)",J15:J243)</f>
        <v>0</v>
      </c>
      <c r="K263" s="14"/>
      <c r="L263" s="14"/>
      <c r="M263" s="14"/>
      <c r="N263" s="14"/>
    </row>
    <row r="264" spans="1:14" ht="14.25" customHeight="1" x14ac:dyDescent="0.2">
      <c r="A264" s="1711" t="s">
        <v>22</v>
      </c>
      <c r="B264" s="1712"/>
      <c r="C264" s="1712"/>
      <c r="D264" s="1712"/>
      <c r="E264" s="1712"/>
      <c r="F264" s="1712"/>
      <c r="G264" s="1713"/>
      <c r="H264" s="56">
        <f>SUMIF(G14:G244,"KVJUD",H14:H244)</f>
        <v>1662.4</v>
      </c>
      <c r="I264" s="56">
        <f>SUMIF(G16:G244,"KVJUD",I16:I244)</f>
        <v>1500</v>
      </c>
      <c r="J264" s="56">
        <f>SUMIF(G16:G244,"KVJUD",J16:J244)</f>
        <v>1000</v>
      </c>
      <c r="K264" s="50"/>
      <c r="L264" s="50"/>
      <c r="M264" s="50"/>
      <c r="N264" s="50"/>
    </row>
    <row r="265" spans="1:14" ht="14.25" customHeight="1" x14ac:dyDescent="0.2">
      <c r="A265" s="1616" t="s">
        <v>23</v>
      </c>
      <c r="B265" s="1617"/>
      <c r="C265" s="1617"/>
      <c r="D265" s="1617"/>
      <c r="E265" s="1617"/>
      <c r="F265" s="1617"/>
      <c r="G265" s="1618"/>
      <c r="H265" s="56">
        <f>SUMIF(G26:G244,"LRVB",H26:H244)</f>
        <v>0</v>
      </c>
      <c r="I265" s="56">
        <f>SUMIF(G26:G244,"LRVB",I26:I244)</f>
        <v>5000</v>
      </c>
      <c r="J265" s="56">
        <f>SUMIF(G26:G244,"LRVB",J26:J244)</f>
        <v>8609.1</v>
      </c>
      <c r="K265" s="50"/>
      <c r="L265" s="50"/>
      <c r="M265" s="50"/>
      <c r="N265" s="50"/>
    </row>
    <row r="266" spans="1:14" ht="14.25" customHeight="1" x14ac:dyDescent="0.2">
      <c r="A266" s="1684" t="s">
        <v>24</v>
      </c>
      <c r="B266" s="1685"/>
      <c r="C266" s="1685"/>
      <c r="D266" s="1685"/>
      <c r="E266" s="1685"/>
      <c r="F266" s="1685"/>
      <c r="G266" s="1686"/>
      <c r="H266" s="56">
        <f>SUMIF(G16:G244,"Kt",H16:H244)</f>
        <v>126.4</v>
      </c>
      <c r="I266" s="56">
        <f>SUMIF(G16:G244,"Kt",I16:I244)</f>
        <v>135</v>
      </c>
      <c r="J266" s="56">
        <f>SUMIF(G16:G244,"Kt",J16:J244)</f>
        <v>0</v>
      </c>
      <c r="K266" s="50"/>
      <c r="L266" s="50"/>
      <c r="M266" s="50"/>
      <c r="N266" s="50"/>
    </row>
    <row r="267" spans="1:14" ht="14.25" customHeight="1" thickBot="1" x14ac:dyDescent="0.25">
      <c r="A267" s="1687" t="s">
        <v>16</v>
      </c>
      <c r="B267" s="1688"/>
      <c r="C267" s="1688"/>
      <c r="D267" s="1688"/>
      <c r="E267" s="1688"/>
      <c r="F267" s="1688"/>
      <c r="G267" s="1689"/>
      <c r="H267" s="268">
        <f>SUM(H249,H261)</f>
        <v>27558.6</v>
      </c>
      <c r="I267" s="268">
        <f>SUM(I249,I261)</f>
        <v>33927.599999999999</v>
      </c>
      <c r="J267" s="268">
        <f>SUM(J249,J261)</f>
        <v>27569.599999999999</v>
      </c>
      <c r="K267" s="50"/>
      <c r="L267" s="50"/>
      <c r="M267" s="50"/>
      <c r="N267" s="50"/>
    </row>
    <row r="268" spans="1:14" x14ac:dyDescent="0.2">
      <c r="G268" s="678"/>
      <c r="H268" s="679"/>
      <c r="I268" s="679"/>
      <c r="J268" s="679"/>
      <c r="K268" s="4"/>
    </row>
    <row r="269" spans="1:14" x14ac:dyDescent="0.2">
      <c r="E269" s="1863" t="s">
        <v>348</v>
      </c>
      <c r="F269" s="1863"/>
      <c r="G269" s="1863"/>
      <c r="H269" s="1863"/>
      <c r="I269" s="1863"/>
      <c r="J269" s="1863"/>
      <c r="K269" s="4"/>
    </row>
    <row r="270" spans="1:14" x14ac:dyDescent="0.2">
      <c r="G270" s="678"/>
      <c r="H270" s="700"/>
      <c r="I270" s="700"/>
      <c r="J270" s="700"/>
      <c r="K270" s="4"/>
    </row>
    <row r="271" spans="1:14" x14ac:dyDescent="0.2">
      <c r="A271" s="1"/>
      <c r="B271" s="1"/>
      <c r="C271" s="1"/>
      <c r="D271" s="1"/>
      <c r="E271" s="1"/>
      <c r="F271" s="1"/>
      <c r="G271" s="1"/>
      <c r="H271" s="50"/>
      <c r="I271" s="50"/>
      <c r="J271" s="50"/>
      <c r="K271" s="1"/>
      <c r="L271" s="1"/>
      <c r="M271" s="1"/>
      <c r="N271" s="1"/>
    </row>
    <row r="272" spans="1:14" x14ac:dyDescent="0.2">
      <c r="A272" s="1"/>
      <c r="B272" s="1"/>
      <c r="C272" s="1"/>
      <c r="D272" s="1"/>
      <c r="E272" s="1"/>
      <c r="F272" s="1"/>
      <c r="G272" s="1"/>
      <c r="H272" s="50"/>
      <c r="I272" s="50"/>
      <c r="J272" s="50"/>
      <c r="K272" s="1"/>
      <c r="L272" s="1"/>
      <c r="M272" s="1"/>
      <c r="N272" s="1"/>
    </row>
    <row r="273" spans="9:10" x14ac:dyDescent="0.2">
      <c r="I273" s="14"/>
      <c r="J273" s="14"/>
    </row>
  </sheetData>
  <mergeCells count="252">
    <mergeCell ref="E269:J269"/>
    <mergeCell ref="D84:D86"/>
    <mergeCell ref="D150:D154"/>
    <mergeCell ref="D196:D200"/>
    <mergeCell ref="I9:I11"/>
    <mergeCell ref="J9:J11"/>
    <mergeCell ref="K9:N9"/>
    <mergeCell ref="K10:K11"/>
    <mergeCell ref="L10:N10"/>
    <mergeCell ref="A12:N12"/>
    <mergeCell ref="E9:E11"/>
    <mergeCell ref="F9:F11"/>
    <mergeCell ref="G9:G11"/>
    <mergeCell ref="H9:H11"/>
    <mergeCell ref="A9:A11"/>
    <mergeCell ref="B9:B11"/>
    <mergeCell ref="C9:C11"/>
    <mergeCell ref="D9:D11"/>
    <mergeCell ref="F37:F39"/>
    <mergeCell ref="K37:K38"/>
    <mergeCell ref="E38:E39"/>
    <mergeCell ref="A13:N13"/>
    <mergeCell ref="B14:N14"/>
    <mergeCell ref="C15:N15"/>
    <mergeCell ref="D23:D25"/>
    <mergeCell ref="K23:K24"/>
    <mergeCell ref="E24:E25"/>
    <mergeCell ref="E27:E29"/>
    <mergeCell ref="K28:K29"/>
    <mergeCell ref="A30:A31"/>
    <mergeCell ref="B30:B31"/>
    <mergeCell ref="C30:C31"/>
    <mergeCell ref="D30:D31"/>
    <mergeCell ref="F30:F31"/>
    <mergeCell ref="A26:A29"/>
    <mergeCell ref="B26:B29"/>
    <mergeCell ref="C26:C29"/>
    <mergeCell ref="D26:D29"/>
    <mergeCell ref="F26:F29"/>
    <mergeCell ref="D40:D41"/>
    <mergeCell ref="F40:F41"/>
    <mergeCell ref="D32:D34"/>
    <mergeCell ref="K32:K33"/>
    <mergeCell ref="E33:E34"/>
    <mergeCell ref="D35:D36"/>
    <mergeCell ref="K46:K47"/>
    <mergeCell ref="A51:A53"/>
    <mergeCell ref="B51:B53"/>
    <mergeCell ref="C51:C53"/>
    <mergeCell ref="D51:D53"/>
    <mergeCell ref="F51:F53"/>
    <mergeCell ref="K51:K52"/>
    <mergeCell ref="A46:A50"/>
    <mergeCell ref="B46:B50"/>
    <mergeCell ref="C46:C50"/>
    <mergeCell ref="D46:D50"/>
    <mergeCell ref="F46:F50"/>
    <mergeCell ref="E43:E45"/>
    <mergeCell ref="D43:D45"/>
    <mergeCell ref="A37:A39"/>
    <mergeCell ref="B37:B39"/>
    <mergeCell ref="C37:C39"/>
    <mergeCell ref="D37:D39"/>
    <mergeCell ref="A64:A67"/>
    <mergeCell ref="B64:B67"/>
    <mergeCell ref="C64:C67"/>
    <mergeCell ref="D64:D65"/>
    <mergeCell ref="E64:E67"/>
    <mergeCell ref="D54:D55"/>
    <mergeCell ref="E54:E55"/>
    <mergeCell ref="F54:F55"/>
    <mergeCell ref="D56:D57"/>
    <mergeCell ref="E56:E57"/>
    <mergeCell ref="F56:F57"/>
    <mergeCell ref="D59:D61"/>
    <mergeCell ref="E59:E63"/>
    <mergeCell ref="D71:D72"/>
    <mergeCell ref="E71:E72"/>
    <mergeCell ref="F71:F72"/>
    <mergeCell ref="K71:K72"/>
    <mergeCell ref="D78:D79"/>
    <mergeCell ref="E78:E79"/>
    <mergeCell ref="F78:F79"/>
    <mergeCell ref="F64:F67"/>
    <mergeCell ref="K64:K65"/>
    <mergeCell ref="D68:D70"/>
    <mergeCell ref="F68:F70"/>
    <mergeCell ref="D74:D75"/>
    <mergeCell ref="E74:E77"/>
    <mergeCell ref="K78:K79"/>
    <mergeCell ref="D91:D92"/>
    <mergeCell ref="E91:E92"/>
    <mergeCell ref="D93:D94"/>
    <mergeCell ref="M93:M94"/>
    <mergeCell ref="K81:K82"/>
    <mergeCell ref="D87:D88"/>
    <mergeCell ref="D89:D90"/>
    <mergeCell ref="A80:A82"/>
    <mergeCell ref="B80:B82"/>
    <mergeCell ref="C80:C82"/>
    <mergeCell ref="D80:D82"/>
    <mergeCell ref="E80:E82"/>
    <mergeCell ref="F80:F82"/>
    <mergeCell ref="K89:K90"/>
    <mergeCell ref="E84:E86"/>
    <mergeCell ref="C106:G106"/>
    <mergeCell ref="C107:N107"/>
    <mergeCell ref="D112:D113"/>
    <mergeCell ref="D116:D117"/>
    <mergeCell ref="K116:K117"/>
    <mergeCell ref="D97:D99"/>
    <mergeCell ref="E97:E99"/>
    <mergeCell ref="K98:K99"/>
    <mergeCell ref="K102:K104"/>
    <mergeCell ref="E108:E110"/>
    <mergeCell ref="D120:D121"/>
    <mergeCell ref="K120:K121"/>
    <mergeCell ref="A122:A123"/>
    <mergeCell ref="B122:B123"/>
    <mergeCell ref="C122:C123"/>
    <mergeCell ref="D122:D123"/>
    <mergeCell ref="E122:E123"/>
    <mergeCell ref="F122:F123"/>
    <mergeCell ref="K122:K123"/>
    <mergeCell ref="D130:D131"/>
    <mergeCell ref="E130:E131"/>
    <mergeCell ref="F130:F131"/>
    <mergeCell ref="L122:L123"/>
    <mergeCell ref="M122:M123"/>
    <mergeCell ref="N122:N123"/>
    <mergeCell ref="A124:A126"/>
    <mergeCell ref="B124:B126"/>
    <mergeCell ref="C124:C126"/>
    <mergeCell ref="D124:D126"/>
    <mergeCell ref="E124:E126"/>
    <mergeCell ref="F124:F126"/>
    <mergeCell ref="A130:A131"/>
    <mergeCell ref="B130:B131"/>
    <mergeCell ref="C130:C131"/>
    <mergeCell ref="K144:K146"/>
    <mergeCell ref="C148:G148"/>
    <mergeCell ref="K148:N148"/>
    <mergeCell ref="C149:N149"/>
    <mergeCell ref="A144:A147"/>
    <mergeCell ref="B144:B147"/>
    <mergeCell ref="C144:C147"/>
    <mergeCell ref="D144:D146"/>
    <mergeCell ref="D132:D133"/>
    <mergeCell ref="E136:E137"/>
    <mergeCell ref="D139:D141"/>
    <mergeCell ref="F144:F147"/>
    <mergeCell ref="D136:D138"/>
    <mergeCell ref="K158:K159"/>
    <mergeCell ref="K161:K162"/>
    <mergeCell ref="D165:D166"/>
    <mergeCell ref="E155:E157"/>
    <mergeCell ref="K165:K166"/>
    <mergeCell ref="B181:B182"/>
    <mergeCell ref="C181:C182"/>
    <mergeCell ref="D181:D182"/>
    <mergeCell ref="E181:E182"/>
    <mergeCell ref="D168:D169"/>
    <mergeCell ref="K168:K169"/>
    <mergeCell ref="F171:F173"/>
    <mergeCell ref="D174:D178"/>
    <mergeCell ref="E174:E178"/>
    <mergeCell ref="K184:K185"/>
    <mergeCell ref="A186:A188"/>
    <mergeCell ref="B186:B188"/>
    <mergeCell ref="C186:C188"/>
    <mergeCell ref="D186:D188"/>
    <mergeCell ref="E186:E188"/>
    <mergeCell ref="F186:F188"/>
    <mergeCell ref="A183:A184"/>
    <mergeCell ref="B183:B184"/>
    <mergeCell ref="C183:C184"/>
    <mergeCell ref="D183:D185"/>
    <mergeCell ref="E183:E185"/>
    <mergeCell ref="K190:K191"/>
    <mergeCell ref="C194:G194"/>
    <mergeCell ref="K194:N194"/>
    <mergeCell ref="C195:N195"/>
    <mergeCell ref="A190:A192"/>
    <mergeCell ref="B190:B192"/>
    <mergeCell ref="C190:C192"/>
    <mergeCell ref="D190:D192"/>
    <mergeCell ref="E190:E192"/>
    <mergeCell ref="K225:K226"/>
    <mergeCell ref="D227:D228"/>
    <mergeCell ref="E220:E224"/>
    <mergeCell ref="F220:F224"/>
    <mergeCell ref="K242:N242"/>
    <mergeCell ref="B243:G243"/>
    <mergeCell ref="K243:N243"/>
    <mergeCell ref="K218:K219"/>
    <mergeCell ref="B220:B224"/>
    <mergeCell ref="C220:C224"/>
    <mergeCell ref="D220:D221"/>
    <mergeCell ref="K244:N244"/>
    <mergeCell ref="D238:D241"/>
    <mergeCell ref="E238:E241"/>
    <mergeCell ref="F238:F241"/>
    <mergeCell ref="C242:G242"/>
    <mergeCell ref="A266:G266"/>
    <mergeCell ref="A267:G267"/>
    <mergeCell ref="K1:N1"/>
    <mergeCell ref="A5:N5"/>
    <mergeCell ref="A6:N6"/>
    <mergeCell ref="A7:N7"/>
    <mergeCell ref="K8:N8"/>
    <mergeCell ref="D16:D18"/>
    <mergeCell ref="E16:E18"/>
    <mergeCell ref="A259:G259"/>
    <mergeCell ref="A260:G260"/>
    <mergeCell ref="A261:G261"/>
    <mergeCell ref="A262:G262"/>
    <mergeCell ref="A263:G263"/>
    <mergeCell ref="A264:G264"/>
    <mergeCell ref="A253:G253"/>
    <mergeCell ref="A254:G254"/>
    <mergeCell ref="A255:G255"/>
    <mergeCell ref="D225:D226"/>
    <mergeCell ref="A181:A182"/>
    <mergeCell ref="B244:G244"/>
    <mergeCell ref="A220:A224"/>
    <mergeCell ref="D215:D217"/>
    <mergeCell ref="F190:F192"/>
    <mergeCell ref="C202:C208"/>
    <mergeCell ref="C210:C214"/>
    <mergeCell ref="A171:A173"/>
    <mergeCell ref="B171:B173"/>
    <mergeCell ref="C171:C173"/>
    <mergeCell ref="D171:D173"/>
    <mergeCell ref="E171:E173"/>
    <mergeCell ref="A265:G265"/>
    <mergeCell ref="A250:G250"/>
    <mergeCell ref="A251:G251"/>
    <mergeCell ref="A252:G252"/>
    <mergeCell ref="D229:D230"/>
    <mergeCell ref="E232:E234"/>
    <mergeCell ref="F232:F234"/>
    <mergeCell ref="D235:D236"/>
    <mergeCell ref="A218:A219"/>
    <mergeCell ref="B218:B219"/>
    <mergeCell ref="C218:C219"/>
    <mergeCell ref="D218:D219"/>
    <mergeCell ref="A256:G256"/>
    <mergeCell ref="A257:G257"/>
    <mergeCell ref="A258:G258"/>
    <mergeCell ref="A247:G247"/>
    <mergeCell ref="A248:G248"/>
    <mergeCell ref="A249:G249"/>
  </mergeCells>
  <printOptions horizontalCentered="1"/>
  <pageMargins left="0.59055118110236227" right="0.19685039370078741" top="0.59055118110236227" bottom="0.39370078740157483" header="0" footer="0"/>
  <pageSetup paperSize="9" scale="70" orientation="portrait" r:id="rId1"/>
  <headerFooter alignWithMargins="0"/>
  <rowBreaks count="1" manualBreakCount="1">
    <brk id="226"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73"/>
  <sheetViews>
    <sheetView topLeftCell="A70" zoomScaleNormal="100" zoomScaleSheetLayoutView="100" workbookViewId="0">
      <selection activeCell="R88" sqref="R88"/>
    </sheetView>
  </sheetViews>
  <sheetFormatPr defaultRowHeight="12.75" x14ac:dyDescent="0.2"/>
  <cols>
    <col min="1" max="3" width="2.7109375" style="2" customWidth="1"/>
    <col min="4" max="4" width="36.28515625" style="2" customWidth="1"/>
    <col min="5" max="5" width="3.28515625" style="8" customWidth="1"/>
    <col min="6" max="6" width="3" style="11" customWidth="1"/>
    <col min="7" max="7" width="7.85546875" style="3" customWidth="1"/>
    <col min="8" max="16" width="8.7109375" style="2" customWidth="1"/>
    <col min="17" max="17" width="39.85546875" style="2" customWidth="1"/>
    <col min="18" max="20" width="4.7109375" style="2" customWidth="1"/>
    <col min="21" max="21" width="35" style="2" customWidth="1"/>
    <col min="22" max="16384" width="9.140625" style="1"/>
  </cols>
  <sheetData>
    <row r="1" spans="1:60" ht="18" customHeight="1" x14ac:dyDescent="0.2">
      <c r="F1" s="1528"/>
      <c r="O1" s="643"/>
      <c r="P1" s="644"/>
      <c r="Q1" s="644"/>
      <c r="R1" s="644"/>
      <c r="S1" s="645"/>
      <c r="T1" s="1"/>
      <c r="U1" s="1529" t="s">
        <v>239</v>
      </c>
    </row>
    <row r="2" spans="1:60" s="150" customFormat="1" ht="12.75" customHeight="1" x14ac:dyDescent="0.25">
      <c r="B2" s="521"/>
      <c r="C2" s="521"/>
      <c r="D2" s="521"/>
      <c r="E2" s="521"/>
      <c r="Q2" s="1218"/>
      <c r="R2" s="1218"/>
      <c r="S2" s="1218"/>
      <c r="T2" s="1218"/>
      <c r="U2" s="1218"/>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row>
    <row r="3" spans="1:60" s="150" customFormat="1" ht="12" customHeight="1" x14ac:dyDescent="0.25">
      <c r="B3" s="521"/>
      <c r="C3" s="521"/>
      <c r="D3" s="521"/>
      <c r="E3" s="521"/>
      <c r="Q3" s="1218"/>
      <c r="R3" s="1218"/>
      <c r="S3" s="1218"/>
      <c r="T3" s="1218"/>
      <c r="U3" s="1218"/>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row>
    <row r="4" spans="1:60" s="38" customFormat="1" ht="15" x14ac:dyDescent="0.2">
      <c r="A4" s="1691" t="s">
        <v>343</v>
      </c>
      <c r="B4" s="1691"/>
      <c r="C4" s="1691"/>
      <c r="D4" s="1691"/>
      <c r="E4" s="1691"/>
      <c r="F4" s="1691"/>
      <c r="G4" s="1691"/>
      <c r="H4" s="1691"/>
      <c r="I4" s="1691"/>
      <c r="J4" s="1691"/>
      <c r="K4" s="1691"/>
      <c r="L4" s="1691"/>
      <c r="M4" s="1691"/>
      <c r="N4" s="1691"/>
      <c r="O4" s="1691"/>
      <c r="P4" s="1691"/>
      <c r="Q4" s="1691"/>
      <c r="R4" s="1691"/>
      <c r="S4" s="1691"/>
      <c r="T4" s="1691"/>
      <c r="U4" s="1691"/>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699"/>
      <c r="AZ4" s="699"/>
      <c r="BA4" s="699"/>
      <c r="BB4" s="699"/>
      <c r="BC4" s="699"/>
      <c r="BD4" s="699"/>
      <c r="BE4" s="699"/>
      <c r="BF4" s="699"/>
      <c r="BG4" s="699"/>
      <c r="BH4" s="699"/>
    </row>
    <row r="5" spans="1:60" ht="15.75" customHeight="1" x14ac:dyDescent="0.2">
      <c r="A5" s="1692" t="s">
        <v>29</v>
      </c>
      <c r="B5" s="1692"/>
      <c r="C5" s="1692"/>
      <c r="D5" s="1692"/>
      <c r="E5" s="1692"/>
      <c r="F5" s="1692"/>
      <c r="G5" s="1692"/>
      <c r="H5" s="1692"/>
      <c r="I5" s="1692"/>
      <c r="J5" s="1692"/>
      <c r="K5" s="1692"/>
      <c r="L5" s="1692"/>
      <c r="M5" s="1692"/>
      <c r="N5" s="1692"/>
      <c r="O5" s="1692"/>
      <c r="P5" s="1692"/>
      <c r="Q5" s="1692"/>
      <c r="R5" s="1692"/>
      <c r="S5" s="1692"/>
      <c r="T5" s="1692"/>
      <c r="U5" s="1692"/>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row>
    <row r="6" spans="1:60" ht="15" customHeight="1" x14ac:dyDescent="0.2">
      <c r="A6" s="1693" t="s">
        <v>17</v>
      </c>
      <c r="B6" s="1693"/>
      <c r="C6" s="1693"/>
      <c r="D6" s="1693"/>
      <c r="E6" s="1693"/>
      <c r="F6" s="1693"/>
      <c r="G6" s="1693"/>
      <c r="H6" s="1693"/>
      <c r="I6" s="1693"/>
      <c r="J6" s="1693"/>
      <c r="K6" s="1693"/>
      <c r="L6" s="1693"/>
      <c r="M6" s="1693"/>
      <c r="N6" s="1693"/>
      <c r="O6" s="1693"/>
      <c r="P6" s="1693"/>
      <c r="Q6" s="1693"/>
      <c r="R6" s="1693"/>
      <c r="S6" s="1693"/>
      <c r="T6" s="1693"/>
      <c r="U6" s="169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c r="BC6" s="683"/>
      <c r="BD6" s="683"/>
      <c r="BE6" s="683"/>
      <c r="BF6" s="683"/>
      <c r="BG6" s="683"/>
      <c r="BH6" s="683"/>
    </row>
    <row r="7" spans="1:60" ht="14.25" customHeight="1" thickBot="1" x14ac:dyDescent="0.25">
      <c r="A7" s="15"/>
      <c r="B7" s="15"/>
      <c r="C7" s="520"/>
      <c r="D7" s="15"/>
      <c r="E7" s="16"/>
      <c r="F7" s="17"/>
      <c r="G7" s="232"/>
      <c r="H7" s="15"/>
      <c r="I7" s="15"/>
      <c r="J7" s="15"/>
      <c r="K7" s="15"/>
      <c r="L7" s="15"/>
      <c r="M7" s="15"/>
      <c r="N7" s="15"/>
      <c r="O7" s="15"/>
      <c r="P7" s="15"/>
      <c r="Q7" s="1694" t="s">
        <v>111</v>
      </c>
      <c r="R7" s="1694"/>
      <c r="S7" s="1694"/>
      <c r="T7" s="1694"/>
      <c r="U7" s="1695"/>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c r="BC7" s="683"/>
      <c r="BD7" s="683"/>
      <c r="BE7" s="683"/>
      <c r="BF7" s="683"/>
      <c r="BG7" s="683"/>
      <c r="BH7" s="683"/>
    </row>
    <row r="8" spans="1:60" s="38" customFormat="1" ht="30" customHeight="1" x14ac:dyDescent="0.2">
      <c r="A8" s="1891" t="s">
        <v>18</v>
      </c>
      <c r="B8" s="1894" t="s">
        <v>0</v>
      </c>
      <c r="C8" s="1894" t="s">
        <v>1</v>
      </c>
      <c r="D8" s="1897" t="s">
        <v>12</v>
      </c>
      <c r="E8" s="1882" t="s">
        <v>2</v>
      </c>
      <c r="F8" s="1885" t="s">
        <v>3</v>
      </c>
      <c r="G8" s="1888" t="s">
        <v>4</v>
      </c>
      <c r="H8" s="1909" t="s">
        <v>251</v>
      </c>
      <c r="I8" s="1912" t="s">
        <v>373</v>
      </c>
      <c r="J8" s="1917" t="s">
        <v>242</v>
      </c>
      <c r="K8" s="1909" t="s">
        <v>167</v>
      </c>
      <c r="L8" s="1912" t="s">
        <v>243</v>
      </c>
      <c r="M8" s="1917" t="s">
        <v>242</v>
      </c>
      <c r="N8" s="1909" t="s">
        <v>247</v>
      </c>
      <c r="O8" s="1912" t="s">
        <v>374</v>
      </c>
      <c r="P8" s="1917" t="s">
        <v>242</v>
      </c>
      <c r="Q8" s="1872" t="s">
        <v>11</v>
      </c>
      <c r="R8" s="1873"/>
      <c r="S8" s="1873"/>
      <c r="T8" s="1873"/>
      <c r="U8" s="646"/>
      <c r="W8" s="1"/>
    </row>
    <row r="9" spans="1:60" s="38" customFormat="1" ht="18.75" customHeight="1" x14ac:dyDescent="0.2">
      <c r="A9" s="1892"/>
      <c r="B9" s="1895"/>
      <c r="C9" s="1895"/>
      <c r="D9" s="1898"/>
      <c r="E9" s="1883"/>
      <c r="F9" s="1886"/>
      <c r="G9" s="1889"/>
      <c r="H9" s="1910"/>
      <c r="I9" s="1913"/>
      <c r="J9" s="1918"/>
      <c r="K9" s="1910"/>
      <c r="L9" s="1913"/>
      <c r="M9" s="1918"/>
      <c r="N9" s="1910"/>
      <c r="O9" s="1913"/>
      <c r="P9" s="1918"/>
      <c r="Q9" s="1875" t="s">
        <v>12</v>
      </c>
      <c r="R9" s="1877" t="s">
        <v>94</v>
      </c>
      <c r="S9" s="1877"/>
      <c r="T9" s="1877"/>
      <c r="U9" s="1527" t="s">
        <v>240</v>
      </c>
      <c r="W9" s="1"/>
    </row>
    <row r="10" spans="1:60" s="38" customFormat="1" ht="82.5" customHeight="1" thickBot="1" x14ac:dyDescent="0.25">
      <c r="A10" s="1893"/>
      <c r="B10" s="1896"/>
      <c r="C10" s="1896"/>
      <c r="D10" s="1899"/>
      <c r="E10" s="1884"/>
      <c r="F10" s="1887"/>
      <c r="G10" s="1890"/>
      <c r="H10" s="1911"/>
      <c r="I10" s="1914"/>
      <c r="J10" s="1919"/>
      <c r="K10" s="1911"/>
      <c r="L10" s="1914"/>
      <c r="M10" s="1919"/>
      <c r="N10" s="1911"/>
      <c r="O10" s="1914"/>
      <c r="P10" s="1919"/>
      <c r="Q10" s="1876"/>
      <c r="R10" s="647" t="s">
        <v>120</v>
      </c>
      <c r="S10" s="647" t="s">
        <v>168</v>
      </c>
      <c r="T10" s="647" t="s">
        <v>248</v>
      </c>
      <c r="U10" s="648"/>
      <c r="W10" s="1"/>
    </row>
    <row r="11" spans="1:60" s="10" customFormat="1" ht="14.25" customHeight="1" x14ac:dyDescent="0.2">
      <c r="A11" s="1879" t="s">
        <v>61</v>
      </c>
      <c r="B11" s="1880"/>
      <c r="C11" s="1880"/>
      <c r="D11" s="1880"/>
      <c r="E11" s="1880"/>
      <c r="F11" s="1880"/>
      <c r="G11" s="1880"/>
      <c r="H11" s="1880"/>
      <c r="I11" s="1880"/>
      <c r="J11" s="1880"/>
      <c r="K11" s="1880"/>
      <c r="L11" s="1880"/>
      <c r="M11" s="1880"/>
      <c r="N11" s="1880"/>
      <c r="O11" s="1880"/>
      <c r="P11" s="1880"/>
      <c r="Q11" s="1880"/>
      <c r="R11" s="1880"/>
      <c r="S11" s="1880"/>
      <c r="T11" s="1880"/>
      <c r="U11" s="1881"/>
      <c r="W11" s="1"/>
    </row>
    <row r="12" spans="1:60" s="10" customFormat="1" ht="14.25" customHeight="1" x14ac:dyDescent="0.2">
      <c r="A12" s="1900" t="s">
        <v>26</v>
      </c>
      <c r="B12" s="1901"/>
      <c r="C12" s="1901"/>
      <c r="D12" s="1901"/>
      <c r="E12" s="1901"/>
      <c r="F12" s="1901"/>
      <c r="G12" s="1901"/>
      <c r="H12" s="1901"/>
      <c r="I12" s="1901"/>
      <c r="J12" s="1901"/>
      <c r="K12" s="1901"/>
      <c r="L12" s="1901"/>
      <c r="M12" s="1901"/>
      <c r="N12" s="1901"/>
      <c r="O12" s="1901"/>
      <c r="P12" s="1901"/>
      <c r="Q12" s="1901"/>
      <c r="R12" s="1901"/>
      <c r="S12" s="1901"/>
      <c r="T12" s="1901"/>
      <c r="U12" s="1902"/>
      <c r="W12" s="1"/>
    </row>
    <row r="13" spans="1:60" ht="16.5" customHeight="1" x14ac:dyDescent="0.2">
      <c r="A13" s="18" t="s">
        <v>5</v>
      </c>
      <c r="B13" s="1903" t="s">
        <v>30</v>
      </c>
      <c r="C13" s="1904"/>
      <c r="D13" s="1904"/>
      <c r="E13" s="1904"/>
      <c r="F13" s="1904"/>
      <c r="G13" s="1904"/>
      <c r="H13" s="1904"/>
      <c r="I13" s="1904"/>
      <c r="J13" s="1904"/>
      <c r="K13" s="1904"/>
      <c r="L13" s="1904"/>
      <c r="M13" s="1904"/>
      <c r="N13" s="1904"/>
      <c r="O13" s="1904"/>
      <c r="P13" s="1904"/>
      <c r="Q13" s="1904"/>
      <c r="R13" s="1904"/>
      <c r="S13" s="1904"/>
      <c r="T13" s="1904"/>
      <c r="U13" s="1905"/>
    </row>
    <row r="14" spans="1:60" ht="15" customHeight="1" x14ac:dyDescent="0.2">
      <c r="A14" s="231" t="s">
        <v>5</v>
      </c>
      <c r="B14" s="13" t="s">
        <v>5</v>
      </c>
      <c r="C14" s="1906" t="s">
        <v>31</v>
      </c>
      <c r="D14" s="1907"/>
      <c r="E14" s="1907"/>
      <c r="F14" s="1907"/>
      <c r="G14" s="1907"/>
      <c r="H14" s="1907"/>
      <c r="I14" s="1907"/>
      <c r="J14" s="1907"/>
      <c r="K14" s="1907"/>
      <c r="L14" s="1907"/>
      <c r="M14" s="1907"/>
      <c r="N14" s="1907"/>
      <c r="O14" s="1907"/>
      <c r="P14" s="1907"/>
      <c r="Q14" s="1907"/>
      <c r="R14" s="1907"/>
      <c r="S14" s="1907"/>
      <c r="T14" s="1907"/>
      <c r="U14" s="1908"/>
    </row>
    <row r="15" spans="1:60" ht="14.1" customHeight="1" x14ac:dyDescent="0.2">
      <c r="A15" s="1465" t="s">
        <v>5</v>
      </c>
      <c r="B15" s="1466" t="s">
        <v>5</v>
      </c>
      <c r="C15" s="1467" t="s">
        <v>5</v>
      </c>
      <c r="D15" s="1696" t="s">
        <v>49</v>
      </c>
      <c r="E15" s="1699" t="s">
        <v>87</v>
      </c>
      <c r="F15" s="1464" t="s">
        <v>43</v>
      </c>
      <c r="G15" s="46" t="s">
        <v>25</v>
      </c>
      <c r="H15" s="656">
        <v>914.8</v>
      </c>
      <c r="I15" s="792">
        <v>914.8</v>
      </c>
      <c r="J15" s="662"/>
      <c r="K15" s="656">
        <v>233</v>
      </c>
      <c r="L15" s="792">
        <v>233</v>
      </c>
      <c r="M15" s="662"/>
      <c r="N15" s="656">
        <v>563.6</v>
      </c>
      <c r="O15" s="792">
        <v>563.6</v>
      </c>
      <c r="P15" s="662"/>
      <c r="Q15" s="319"/>
      <c r="R15" s="320"/>
      <c r="S15" s="333"/>
      <c r="T15" s="1538"/>
      <c r="U15" s="322"/>
    </row>
    <row r="16" spans="1:60" ht="14.1" customHeight="1" x14ac:dyDescent="0.2">
      <c r="A16" s="1465"/>
      <c r="B16" s="1466"/>
      <c r="C16" s="1467"/>
      <c r="D16" s="1697"/>
      <c r="E16" s="1700"/>
      <c r="F16" s="1464"/>
      <c r="G16" s="46" t="s">
        <v>60</v>
      </c>
      <c r="H16" s="656">
        <v>101.5</v>
      </c>
      <c r="I16" s="654">
        <v>101.5</v>
      </c>
      <c r="J16" s="662"/>
      <c r="K16" s="522"/>
      <c r="L16" s="654"/>
      <c r="M16" s="522"/>
      <c r="N16" s="656"/>
      <c r="O16" s="654"/>
      <c r="P16" s="662"/>
      <c r="Q16" s="319"/>
      <c r="R16" s="320"/>
      <c r="S16" s="333"/>
      <c r="T16" s="321"/>
      <c r="U16" s="323"/>
    </row>
    <row r="17" spans="1:21" ht="14.1" customHeight="1" x14ac:dyDescent="0.2">
      <c r="A17" s="1465"/>
      <c r="B17" s="1466"/>
      <c r="C17" s="1467"/>
      <c r="D17" s="1698"/>
      <c r="E17" s="1701"/>
      <c r="F17" s="1464"/>
      <c r="G17" s="46" t="s">
        <v>99</v>
      </c>
      <c r="H17" s="656">
        <v>480.6</v>
      </c>
      <c r="I17" s="654">
        <v>480.6</v>
      </c>
      <c r="J17" s="662"/>
      <c r="K17" s="522"/>
      <c r="L17" s="654"/>
      <c r="M17" s="522"/>
      <c r="N17" s="656"/>
      <c r="O17" s="654"/>
      <c r="P17" s="662"/>
      <c r="Q17" s="319"/>
      <c r="R17" s="320"/>
      <c r="S17" s="333"/>
      <c r="T17" s="321"/>
      <c r="U17" s="323"/>
    </row>
    <row r="18" spans="1:21" ht="14.1" customHeight="1" x14ac:dyDescent="0.2">
      <c r="A18" s="1465"/>
      <c r="B18" s="1466"/>
      <c r="C18" s="1467"/>
      <c r="D18" s="54"/>
      <c r="E18" s="1495"/>
      <c r="F18" s="1464"/>
      <c r="G18" s="46" t="s">
        <v>100</v>
      </c>
      <c r="H18" s="656">
        <v>1100</v>
      </c>
      <c r="I18" s="654">
        <v>1100</v>
      </c>
      <c r="J18" s="662"/>
      <c r="K18" s="522"/>
      <c r="L18" s="654"/>
      <c r="M18" s="522"/>
      <c r="N18" s="656">
        <v>96.4</v>
      </c>
      <c r="O18" s="654">
        <v>96.4</v>
      </c>
      <c r="P18" s="662"/>
      <c r="Q18" s="319"/>
      <c r="R18" s="320"/>
      <c r="S18" s="333"/>
      <c r="T18" s="321"/>
      <c r="U18" s="323"/>
    </row>
    <row r="19" spans="1:21" ht="14.1" customHeight="1" x14ac:dyDescent="0.2">
      <c r="A19" s="1465"/>
      <c r="B19" s="1466"/>
      <c r="C19" s="1467"/>
      <c r="D19" s="54"/>
      <c r="E19" s="1495"/>
      <c r="F19" s="1464"/>
      <c r="G19" s="46" t="s">
        <v>264</v>
      </c>
      <c r="H19" s="656"/>
      <c r="I19" s="654"/>
      <c r="J19" s="662"/>
      <c r="K19" s="656"/>
      <c r="L19" s="654"/>
      <c r="M19" s="522"/>
      <c r="N19" s="656">
        <v>44.7</v>
      </c>
      <c r="O19" s="654">
        <v>44.7</v>
      </c>
      <c r="P19" s="662"/>
      <c r="Q19" s="319"/>
      <c r="R19" s="320"/>
      <c r="S19" s="333"/>
      <c r="T19" s="321"/>
      <c r="U19" s="323"/>
    </row>
    <row r="20" spans="1:21" ht="14.1" customHeight="1" x14ac:dyDescent="0.2">
      <c r="A20" s="1465"/>
      <c r="B20" s="1466"/>
      <c r="C20" s="1467"/>
      <c r="D20" s="54"/>
      <c r="E20" s="1495"/>
      <c r="F20" s="1464"/>
      <c r="G20" s="46" t="s">
        <v>48</v>
      </c>
      <c r="H20" s="656">
        <v>162.4</v>
      </c>
      <c r="I20" s="654">
        <v>162.4</v>
      </c>
      <c r="J20" s="662"/>
      <c r="K20" s="522"/>
      <c r="L20" s="654"/>
      <c r="M20" s="522"/>
      <c r="N20" s="656"/>
      <c r="O20" s="654"/>
      <c r="P20" s="662"/>
      <c r="Q20" s="319"/>
      <c r="R20" s="320"/>
      <c r="S20" s="333"/>
      <c r="T20" s="321"/>
      <c r="U20" s="323"/>
    </row>
    <row r="21" spans="1:21" ht="14.1" customHeight="1" x14ac:dyDescent="0.2">
      <c r="A21" s="1465"/>
      <c r="B21" s="1466"/>
      <c r="C21" s="1467"/>
      <c r="D21" s="54"/>
      <c r="E21" s="1495"/>
      <c r="F21" s="1464"/>
      <c r="G21" s="46" t="s">
        <v>44</v>
      </c>
      <c r="H21" s="656"/>
      <c r="I21" s="654"/>
      <c r="J21" s="662"/>
      <c r="K21" s="522">
        <v>850</v>
      </c>
      <c r="L21" s="654">
        <v>850</v>
      </c>
      <c r="M21" s="522"/>
      <c r="N21" s="656">
        <v>1329.7</v>
      </c>
      <c r="O21" s="654">
        <v>1329.7</v>
      </c>
      <c r="P21" s="662"/>
      <c r="Q21" s="319"/>
      <c r="R21" s="320"/>
      <c r="S21" s="333"/>
      <c r="T21" s="321"/>
      <c r="U21" s="323"/>
    </row>
    <row r="22" spans="1:21" ht="18.75" customHeight="1" x14ac:dyDescent="0.2">
      <c r="A22" s="1465"/>
      <c r="B22" s="1466"/>
      <c r="C22" s="1467"/>
      <c r="D22" s="1729" t="s">
        <v>231</v>
      </c>
      <c r="E22" s="858" t="s">
        <v>47</v>
      </c>
      <c r="F22" s="1467"/>
      <c r="G22" s="1181"/>
      <c r="H22" s="87"/>
      <c r="I22" s="49"/>
      <c r="J22" s="187"/>
      <c r="K22" s="87"/>
      <c r="L22" s="49"/>
      <c r="M22" s="121"/>
      <c r="N22" s="87"/>
      <c r="O22" s="49"/>
      <c r="P22" s="187"/>
      <c r="Q22" s="1757" t="s">
        <v>350</v>
      </c>
      <c r="R22" s="341"/>
      <c r="S22" s="835" t="s">
        <v>55</v>
      </c>
      <c r="T22" s="436"/>
      <c r="U22" s="437"/>
    </row>
    <row r="23" spans="1:21" ht="33" customHeight="1" x14ac:dyDescent="0.2">
      <c r="A23" s="1465"/>
      <c r="B23" s="1466"/>
      <c r="C23" s="1467"/>
      <c r="D23" s="1714"/>
      <c r="E23" s="1858" t="s">
        <v>255</v>
      </c>
      <c r="F23" s="1464"/>
      <c r="G23" s="62"/>
      <c r="H23" s="83"/>
      <c r="I23" s="215"/>
      <c r="J23" s="60"/>
      <c r="K23" s="83"/>
      <c r="L23" s="215"/>
      <c r="M23" s="99"/>
      <c r="N23" s="83"/>
      <c r="O23" s="215"/>
      <c r="P23" s="60"/>
      <c r="Q23" s="1857"/>
      <c r="R23" s="837"/>
      <c r="S23" s="838"/>
      <c r="T23" s="649"/>
      <c r="U23" s="332"/>
    </row>
    <row r="24" spans="1:21" ht="24.75" customHeight="1" x14ac:dyDescent="0.2">
      <c r="A24" s="1465"/>
      <c r="B24" s="1466"/>
      <c r="C24" s="1467"/>
      <c r="D24" s="1714"/>
      <c r="E24" s="1859"/>
      <c r="F24" s="1464"/>
      <c r="G24" s="62"/>
      <c r="H24" s="83"/>
      <c r="I24" s="215"/>
      <c r="J24" s="60"/>
      <c r="K24" s="83"/>
      <c r="L24" s="215"/>
      <c r="M24" s="99"/>
      <c r="N24" s="86"/>
      <c r="O24" s="42"/>
      <c r="P24" s="167"/>
      <c r="Q24" s="220" t="s">
        <v>266</v>
      </c>
      <c r="R24" s="837"/>
      <c r="S24" s="838" t="s">
        <v>262</v>
      </c>
      <c r="T24" s="649" t="s">
        <v>263</v>
      </c>
      <c r="U24" s="332"/>
    </row>
    <row r="25" spans="1:21" ht="27.75" customHeight="1" x14ac:dyDescent="0.2">
      <c r="A25" s="1632"/>
      <c r="B25" s="1633"/>
      <c r="C25" s="1634"/>
      <c r="D25" s="1753" t="s">
        <v>265</v>
      </c>
      <c r="E25" s="291" t="s">
        <v>47</v>
      </c>
      <c r="F25" s="1634"/>
      <c r="G25" s="296"/>
      <c r="H25" s="374"/>
      <c r="I25" s="691"/>
      <c r="J25" s="692"/>
      <c r="K25" s="121"/>
      <c r="L25" s="49"/>
      <c r="M25" s="121"/>
      <c r="N25" s="87"/>
      <c r="O25" s="49"/>
      <c r="P25" s="187"/>
      <c r="Q25" s="1508" t="s">
        <v>144</v>
      </c>
      <c r="R25" s="1481">
        <v>2</v>
      </c>
      <c r="S25" s="436"/>
      <c r="T25" s="436"/>
      <c r="U25" s="332"/>
    </row>
    <row r="26" spans="1:21" ht="27.75" customHeight="1" x14ac:dyDescent="0.2">
      <c r="A26" s="1632"/>
      <c r="B26" s="1633"/>
      <c r="C26" s="1634"/>
      <c r="D26" s="1862"/>
      <c r="E26" s="1860" t="s">
        <v>110</v>
      </c>
      <c r="F26" s="1634"/>
      <c r="G26" s="46"/>
      <c r="H26" s="324"/>
      <c r="I26" s="370"/>
      <c r="J26" s="325"/>
      <c r="K26" s="99"/>
      <c r="L26" s="215"/>
      <c r="M26" s="99"/>
      <c r="N26" s="83"/>
      <c r="O26" s="215"/>
      <c r="P26" s="60"/>
      <c r="Q26" s="44" t="s">
        <v>250</v>
      </c>
      <c r="R26" s="337">
        <v>1</v>
      </c>
      <c r="S26" s="649"/>
      <c r="T26" s="649"/>
      <c r="U26" s="332"/>
    </row>
    <row r="27" spans="1:21" ht="23.25" customHeight="1" x14ac:dyDescent="0.2">
      <c r="A27" s="1632"/>
      <c r="B27" s="1633"/>
      <c r="C27" s="1634"/>
      <c r="D27" s="1862"/>
      <c r="E27" s="1861"/>
      <c r="F27" s="1634"/>
      <c r="G27" s="46"/>
      <c r="H27" s="324"/>
      <c r="I27" s="370"/>
      <c r="J27" s="325"/>
      <c r="K27" s="99"/>
      <c r="L27" s="215"/>
      <c r="M27" s="99"/>
      <c r="N27" s="83"/>
      <c r="O27" s="215"/>
      <c r="P27" s="60"/>
      <c r="Q27" s="1805" t="s">
        <v>273</v>
      </c>
      <c r="R27" s="1509"/>
      <c r="S27" s="188"/>
      <c r="T27" s="188" t="s">
        <v>43</v>
      </c>
      <c r="U27" s="332"/>
    </row>
    <row r="28" spans="1:21" ht="9.75" customHeight="1" x14ac:dyDescent="0.2">
      <c r="A28" s="1632"/>
      <c r="B28" s="1633"/>
      <c r="C28" s="1634"/>
      <c r="D28" s="1833"/>
      <c r="E28" s="1815"/>
      <c r="F28" s="1634"/>
      <c r="G28" s="45"/>
      <c r="H28" s="124"/>
      <c r="I28" s="768"/>
      <c r="J28" s="794"/>
      <c r="K28" s="147"/>
      <c r="L28" s="42"/>
      <c r="M28" s="147"/>
      <c r="N28" s="86"/>
      <c r="O28" s="42"/>
      <c r="P28" s="167"/>
      <c r="Q28" s="1796"/>
      <c r="R28" s="47"/>
      <c r="S28" s="305"/>
      <c r="T28" s="305"/>
      <c r="U28" s="332"/>
    </row>
    <row r="29" spans="1:21" ht="15.75" customHeight="1" x14ac:dyDescent="0.2">
      <c r="A29" s="1632"/>
      <c r="B29" s="1633"/>
      <c r="C29" s="1634"/>
      <c r="D29" s="1625" t="s">
        <v>215</v>
      </c>
      <c r="E29" s="1488" t="s">
        <v>47</v>
      </c>
      <c r="F29" s="1728"/>
      <c r="G29" s="87"/>
      <c r="H29" s="87"/>
      <c r="I29" s="49"/>
      <c r="J29" s="187"/>
      <c r="K29" s="121"/>
      <c r="L29" s="49"/>
      <c r="M29" s="121"/>
      <c r="N29" s="87"/>
      <c r="O29" s="49"/>
      <c r="P29" s="187"/>
      <c r="Q29" s="1496" t="s">
        <v>169</v>
      </c>
      <c r="R29" s="477">
        <v>100</v>
      </c>
      <c r="S29" s="650"/>
      <c r="T29" s="650"/>
      <c r="U29" s="197"/>
    </row>
    <row r="30" spans="1:21" ht="16.5" customHeight="1" x14ac:dyDescent="0.2">
      <c r="A30" s="1632"/>
      <c r="B30" s="1633"/>
      <c r="C30" s="1634"/>
      <c r="D30" s="1626"/>
      <c r="E30" s="496"/>
      <c r="F30" s="1728"/>
      <c r="G30" s="124"/>
      <c r="H30" s="86"/>
      <c r="I30" s="42"/>
      <c r="J30" s="167"/>
      <c r="K30" s="147"/>
      <c r="L30" s="42"/>
      <c r="M30" s="147"/>
      <c r="N30" s="86"/>
      <c r="O30" s="42"/>
      <c r="P30" s="167"/>
      <c r="Q30" s="416"/>
      <c r="R30" s="297"/>
      <c r="S30" s="651"/>
      <c r="T30" s="651"/>
      <c r="U30" s="573"/>
    </row>
    <row r="31" spans="1:21" ht="18.75" customHeight="1" x14ac:dyDescent="0.2">
      <c r="A31" s="1459"/>
      <c r="B31" s="1460"/>
      <c r="C31" s="209"/>
      <c r="D31" s="1807" t="s">
        <v>214</v>
      </c>
      <c r="E31" s="291" t="s">
        <v>47</v>
      </c>
      <c r="F31" s="88"/>
      <c r="G31" s="83"/>
      <c r="H31" s="83"/>
      <c r="I31" s="215"/>
      <c r="J31" s="60"/>
      <c r="K31" s="99"/>
      <c r="L31" s="215"/>
      <c r="M31" s="99"/>
      <c r="N31" s="83"/>
      <c r="O31" s="215"/>
      <c r="P31" s="60"/>
      <c r="Q31" s="1848" t="s">
        <v>148</v>
      </c>
      <c r="R31" s="1481">
        <v>1</v>
      </c>
      <c r="S31" s="1521"/>
      <c r="T31" s="1521"/>
      <c r="U31" s="318"/>
    </row>
    <row r="32" spans="1:21" ht="21" customHeight="1" x14ac:dyDescent="0.2">
      <c r="A32" s="1459"/>
      <c r="B32" s="1460"/>
      <c r="C32" s="209"/>
      <c r="D32" s="1655"/>
      <c r="E32" s="1849" t="s">
        <v>110</v>
      </c>
      <c r="F32" s="88"/>
      <c r="G32" s="83"/>
      <c r="H32" s="83"/>
      <c r="I32" s="215"/>
      <c r="J32" s="60"/>
      <c r="K32" s="99"/>
      <c r="L32" s="215"/>
      <c r="M32" s="99"/>
      <c r="N32" s="83"/>
      <c r="O32" s="215"/>
      <c r="P32" s="60"/>
      <c r="Q32" s="1822"/>
      <c r="R32" s="1509"/>
      <c r="S32" s="380"/>
      <c r="T32" s="380"/>
      <c r="U32" s="318"/>
    </row>
    <row r="33" spans="1:21" ht="29.25" customHeight="1" x14ac:dyDescent="0.2">
      <c r="A33" s="1459"/>
      <c r="B33" s="1460"/>
      <c r="C33" s="209"/>
      <c r="D33" s="1656"/>
      <c r="E33" s="1850"/>
      <c r="F33" s="88"/>
      <c r="G33" s="86"/>
      <c r="H33" s="86"/>
      <c r="I33" s="42"/>
      <c r="J33" s="167"/>
      <c r="K33" s="147"/>
      <c r="L33" s="42"/>
      <c r="M33" s="147"/>
      <c r="N33" s="86"/>
      <c r="O33" s="42"/>
      <c r="P33" s="167"/>
      <c r="Q33" s="1158" t="s">
        <v>149</v>
      </c>
      <c r="R33" s="1160"/>
      <c r="S33" s="1160">
        <v>1</v>
      </c>
      <c r="T33" s="1160"/>
      <c r="U33" s="573"/>
    </row>
    <row r="34" spans="1:21" ht="17.25" customHeight="1" x14ac:dyDescent="0.2">
      <c r="A34" s="1459"/>
      <c r="B34" s="1460"/>
      <c r="C34" s="209"/>
      <c r="D34" s="1714" t="s">
        <v>220</v>
      </c>
      <c r="E34" s="780" t="s">
        <v>47</v>
      </c>
      <c r="F34" s="1478"/>
      <c r="G34" s="83" t="s">
        <v>45</v>
      </c>
      <c r="H34" s="83">
        <v>21.5</v>
      </c>
      <c r="I34" s="215">
        <v>21.5</v>
      </c>
      <c r="J34" s="60"/>
      <c r="K34" s="513"/>
      <c r="L34" s="164"/>
      <c r="M34" s="513"/>
      <c r="N34" s="166"/>
      <c r="O34" s="164"/>
      <c r="P34" s="202"/>
      <c r="Q34" s="1496" t="s">
        <v>46</v>
      </c>
      <c r="R34" s="1509">
        <v>1</v>
      </c>
      <c r="S34" s="1509"/>
      <c r="T34" s="1509"/>
      <c r="U34" s="1471"/>
    </row>
    <row r="35" spans="1:21" ht="18" customHeight="1" x14ac:dyDescent="0.2">
      <c r="A35" s="1459"/>
      <c r="B35" s="1460"/>
      <c r="C35" s="93"/>
      <c r="D35" s="1783"/>
      <c r="E35" s="782" t="s">
        <v>253</v>
      </c>
      <c r="F35" s="1478"/>
      <c r="G35" s="86"/>
      <c r="H35" s="192"/>
      <c r="I35" s="191"/>
      <c r="J35" s="193"/>
      <c r="K35" s="514"/>
      <c r="L35" s="191"/>
      <c r="M35" s="514"/>
      <c r="N35" s="192"/>
      <c r="O35" s="191"/>
      <c r="P35" s="193"/>
      <c r="Q35" s="200"/>
      <c r="R35" s="47"/>
      <c r="S35" s="47"/>
      <c r="T35" s="47"/>
      <c r="U35" s="1471"/>
    </row>
    <row r="36" spans="1:21" ht="15" customHeight="1" x14ac:dyDescent="0.2">
      <c r="A36" s="1632"/>
      <c r="B36" s="1633"/>
      <c r="C36" s="1634"/>
      <c r="D36" s="1807" t="s">
        <v>154</v>
      </c>
      <c r="E36" s="291" t="s">
        <v>47</v>
      </c>
      <c r="F36" s="1728"/>
      <c r="G36" s="83"/>
      <c r="H36" s="83"/>
      <c r="I36" s="215"/>
      <c r="J36" s="60"/>
      <c r="K36" s="99"/>
      <c r="L36" s="215"/>
      <c r="M36" s="99"/>
      <c r="N36" s="83"/>
      <c r="O36" s="215"/>
      <c r="P36" s="60"/>
      <c r="Q36" s="1726" t="s">
        <v>261</v>
      </c>
      <c r="R36" s="510"/>
      <c r="S36" s="793"/>
      <c r="T36" s="510"/>
      <c r="U36" s="573"/>
    </row>
    <row r="37" spans="1:21" ht="15" customHeight="1" x14ac:dyDescent="0.2">
      <c r="A37" s="1632"/>
      <c r="B37" s="1633"/>
      <c r="C37" s="1634"/>
      <c r="D37" s="1655"/>
      <c r="E37" s="1860" t="s">
        <v>110</v>
      </c>
      <c r="F37" s="1728"/>
      <c r="G37" s="83"/>
      <c r="H37" s="83"/>
      <c r="I37" s="215"/>
      <c r="J37" s="60"/>
      <c r="K37" s="99"/>
      <c r="L37" s="215"/>
      <c r="M37" s="99"/>
      <c r="N37" s="83"/>
      <c r="O37" s="215"/>
      <c r="P37" s="60"/>
      <c r="Q37" s="1731"/>
      <c r="R37" s="572"/>
      <c r="S37" s="572"/>
      <c r="T37" s="572"/>
      <c r="U37" s="573"/>
    </row>
    <row r="38" spans="1:21" ht="18" customHeight="1" x14ac:dyDescent="0.2">
      <c r="A38" s="1632"/>
      <c r="B38" s="1633"/>
      <c r="C38" s="1634"/>
      <c r="D38" s="1656"/>
      <c r="E38" s="1815"/>
      <c r="F38" s="1728"/>
      <c r="G38" s="86"/>
      <c r="H38" s="657"/>
      <c r="I38" s="450"/>
      <c r="J38" s="663"/>
      <c r="K38" s="451"/>
      <c r="L38" s="450"/>
      <c r="M38" s="451"/>
      <c r="N38" s="657"/>
      <c r="O38" s="450"/>
      <c r="P38" s="663"/>
      <c r="Q38" s="1515"/>
      <c r="R38" s="47"/>
      <c r="S38" s="156"/>
      <c r="T38" s="156"/>
      <c r="U38" s="318"/>
    </row>
    <row r="39" spans="1:21" ht="13.5" customHeight="1" x14ac:dyDescent="0.2">
      <c r="A39" s="1459"/>
      <c r="B39" s="1460"/>
      <c r="C39" s="1461"/>
      <c r="D39" s="1729" t="s">
        <v>216</v>
      </c>
      <c r="E39" s="1488" t="s">
        <v>47</v>
      </c>
      <c r="F39" s="1847"/>
      <c r="G39" s="83"/>
      <c r="H39" s="83"/>
      <c r="I39" s="215"/>
      <c r="J39" s="60"/>
      <c r="K39" s="99"/>
      <c r="L39" s="215"/>
      <c r="M39" s="99"/>
      <c r="N39" s="83"/>
      <c r="O39" s="215"/>
      <c r="P39" s="60"/>
      <c r="Q39" s="1498" t="s">
        <v>150</v>
      </c>
      <c r="R39" s="1482"/>
      <c r="S39" s="1454"/>
      <c r="T39" s="1481">
        <v>1</v>
      </c>
      <c r="U39" s="1471"/>
    </row>
    <row r="40" spans="1:21" ht="9.75" customHeight="1" x14ac:dyDescent="0.2">
      <c r="A40" s="1459"/>
      <c r="B40" s="1460"/>
      <c r="C40" s="1461"/>
      <c r="D40" s="1714"/>
      <c r="E40" s="1441"/>
      <c r="F40" s="1847"/>
      <c r="G40" s="86"/>
      <c r="H40" s="86"/>
      <c r="I40" s="42"/>
      <c r="J40" s="167"/>
      <c r="K40" s="147"/>
      <c r="L40" s="42"/>
      <c r="M40" s="147"/>
      <c r="N40" s="86"/>
      <c r="O40" s="42"/>
      <c r="P40" s="167"/>
      <c r="Q40" s="1496"/>
      <c r="R40" s="1524"/>
      <c r="S40" s="300"/>
      <c r="T40" s="1509"/>
      <c r="U40" s="1471"/>
    </row>
    <row r="41" spans="1:21" ht="16.5" customHeight="1" thickBot="1" x14ac:dyDescent="0.25">
      <c r="A41" s="68"/>
      <c r="B41" s="1475"/>
      <c r="C41" s="95"/>
      <c r="D41" s="223"/>
      <c r="E41" s="781"/>
      <c r="F41" s="95"/>
      <c r="G41" s="89" t="s">
        <v>6</v>
      </c>
      <c r="H41" s="172">
        <f>SUM(H15:H40)</f>
        <v>2780.8</v>
      </c>
      <c r="I41" s="174">
        <f>SUM(I15:I40)</f>
        <v>2780.8</v>
      </c>
      <c r="J41" s="204">
        <f>SUM(J15:J40)</f>
        <v>0</v>
      </c>
      <c r="K41" s="172">
        <f t="shared" ref="K41:L41" si="0">SUM(K15:K40)</f>
        <v>1083</v>
      </c>
      <c r="L41" s="174">
        <f t="shared" si="0"/>
        <v>1083</v>
      </c>
      <c r="M41" s="204">
        <f t="shared" ref="M41:P41" si="1">SUM(M15:M40)</f>
        <v>0</v>
      </c>
      <c r="N41" s="172">
        <f t="shared" ref="N41:O41" si="2">SUM(N15:N40)</f>
        <v>2034.4</v>
      </c>
      <c r="O41" s="174">
        <f t="shared" si="2"/>
        <v>2034.4</v>
      </c>
      <c r="P41" s="204">
        <f t="shared" si="1"/>
        <v>0</v>
      </c>
      <c r="Q41" s="757"/>
      <c r="R41" s="178"/>
      <c r="S41" s="636"/>
      <c r="T41" s="177"/>
      <c r="U41" s="40"/>
    </row>
    <row r="42" spans="1:21" ht="14.1" customHeight="1" x14ac:dyDescent="0.2">
      <c r="A42" s="1473" t="s">
        <v>5</v>
      </c>
      <c r="B42" s="1474" t="s">
        <v>5</v>
      </c>
      <c r="C42" s="1520" t="s">
        <v>7</v>
      </c>
      <c r="D42" s="1837" t="s">
        <v>50</v>
      </c>
      <c r="E42" s="1853" t="s">
        <v>89</v>
      </c>
      <c r="F42" s="1477" t="s">
        <v>43</v>
      </c>
      <c r="G42" s="176" t="s">
        <v>25</v>
      </c>
      <c r="H42" s="206">
        <v>406.6</v>
      </c>
      <c r="I42" s="173">
        <v>406.6</v>
      </c>
      <c r="J42" s="335"/>
      <c r="K42" s="206">
        <v>464.9</v>
      </c>
      <c r="L42" s="173">
        <v>464.9</v>
      </c>
      <c r="M42" s="335"/>
      <c r="N42" s="206">
        <v>1300</v>
      </c>
      <c r="O42" s="173">
        <v>1300</v>
      </c>
      <c r="P42" s="335"/>
      <c r="Q42" s="326"/>
      <c r="R42" s="262"/>
      <c r="S42" s="736"/>
      <c r="T42" s="596"/>
      <c r="U42" s="1471"/>
    </row>
    <row r="43" spans="1:21" ht="14.1" customHeight="1" x14ac:dyDescent="0.2">
      <c r="A43" s="1490"/>
      <c r="B43" s="1460"/>
      <c r="C43" s="1461"/>
      <c r="D43" s="1838"/>
      <c r="E43" s="1854"/>
      <c r="F43" s="1478"/>
      <c r="G43" s="62" t="s">
        <v>60</v>
      </c>
      <c r="H43" s="83">
        <v>0.8</v>
      </c>
      <c r="I43" s="215">
        <v>0.8</v>
      </c>
      <c r="J43" s="60"/>
      <c r="K43" s="99"/>
      <c r="L43" s="215"/>
      <c r="M43" s="99"/>
      <c r="N43" s="83"/>
      <c r="O43" s="215"/>
      <c r="P43" s="60"/>
      <c r="Q43" s="1496"/>
      <c r="R43" s="1524"/>
      <c r="S43" s="300"/>
      <c r="T43" s="1509"/>
      <c r="U43" s="1471"/>
    </row>
    <row r="44" spans="1:21" ht="14.1" customHeight="1" x14ac:dyDescent="0.2">
      <c r="A44" s="1490"/>
      <c r="B44" s="1460"/>
      <c r="C44" s="1461"/>
      <c r="D44" s="1856"/>
      <c r="E44" s="1855"/>
      <c r="F44" s="1514"/>
      <c r="G44" s="1182" t="s">
        <v>100</v>
      </c>
      <c r="H44" s="83">
        <v>200</v>
      </c>
      <c r="I44" s="215">
        <v>200</v>
      </c>
      <c r="J44" s="60"/>
      <c r="K44" s="83">
        <v>1496.4</v>
      </c>
      <c r="L44" s="215">
        <v>1496.4</v>
      </c>
      <c r="M44" s="60"/>
      <c r="N44" s="83">
        <v>600</v>
      </c>
      <c r="O44" s="215">
        <v>600</v>
      </c>
      <c r="P44" s="60"/>
      <c r="Q44" s="1496"/>
      <c r="R44" s="1524"/>
      <c r="S44" s="300"/>
      <c r="T44" s="1509"/>
      <c r="U44" s="1471"/>
    </row>
    <row r="45" spans="1:21" ht="16.5" customHeight="1" x14ac:dyDescent="0.2">
      <c r="A45" s="1852"/>
      <c r="B45" s="1633"/>
      <c r="C45" s="1634"/>
      <c r="D45" s="1655" t="s">
        <v>212</v>
      </c>
      <c r="E45" s="1441" t="s">
        <v>47</v>
      </c>
      <c r="F45" s="1728"/>
      <c r="G45" s="83"/>
      <c r="H45" s="87"/>
      <c r="I45" s="49"/>
      <c r="J45" s="187"/>
      <c r="K45" s="121"/>
      <c r="L45" s="49"/>
      <c r="M45" s="121"/>
      <c r="N45" s="87"/>
      <c r="O45" s="49"/>
      <c r="P45" s="187"/>
      <c r="Q45" s="1848" t="s">
        <v>157</v>
      </c>
      <c r="R45" s="1152">
        <v>1</v>
      </c>
      <c r="S45" s="1153"/>
      <c r="T45" s="1539"/>
      <c r="U45" s="318"/>
    </row>
    <row r="46" spans="1:21" ht="23.25" customHeight="1" x14ac:dyDescent="0.2">
      <c r="A46" s="1852"/>
      <c r="B46" s="1633"/>
      <c r="C46" s="1634"/>
      <c r="D46" s="1655"/>
      <c r="E46" s="1441"/>
      <c r="F46" s="1728"/>
      <c r="G46" s="83"/>
      <c r="H46" s="83"/>
      <c r="I46" s="215"/>
      <c r="J46" s="60"/>
      <c r="K46" s="99"/>
      <c r="L46" s="215"/>
      <c r="M46" s="99"/>
      <c r="N46" s="83"/>
      <c r="O46" s="215"/>
      <c r="P46" s="60"/>
      <c r="Q46" s="1851"/>
      <c r="R46" s="622"/>
      <c r="S46" s="626"/>
      <c r="T46" s="1523"/>
      <c r="U46" s="318"/>
    </row>
    <row r="47" spans="1:21" ht="39.75" customHeight="1" x14ac:dyDescent="0.2">
      <c r="A47" s="1852"/>
      <c r="B47" s="1633"/>
      <c r="C47" s="1634"/>
      <c r="D47" s="1655"/>
      <c r="E47" s="1441"/>
      <c r="F47" s="1728"/>
      <c r="G47" s="83"/>
      <c r="H47" s="83"/>
      <c r="I47" s="215"/>
      <c r="J47" s="60"/>
      <c r="K47" s="99"/>
      <c r="L47" s="215"/>
      <c r="M47" s="99"/>
      <c r="N47" s="83"/>
      <c r="O47" s="215"/>
      <c r="P47" s="60"/>
      <c r="Q47" s="30" t="s">
        <v>193</v>
      </c>
      <c r="R47" s="48">
        <v>100</v>
      </c>
      <c r="S47" s="627"/>
      <c r="T47" s="1540"/>
      <c r="U47" s="318"/>
    </row>
    <row r="48" spans="1:21" ht="28.5" customHeight="1" x14ac:dyDescent="0.2">
      <c r="A48" s="1852"/>
      <c r="B48" s="1633"/>
      <c r="C48" s="1634"/>
      <c r="D48" s="1655"/>
      <c r="E48" s="1441"/>
      <c r="F48" s="1728"/>
      <c r="G48" s="1342"/>
      <c r="H48" s="83"/>
      <c r="I48" s="215"/>
      <c r="J48" s="60"/>
      <c r="K48" s="99"/>
      <c r="L48" s="215"/>
      <c r="M48" s="99"/>
      <c r="N48" s="83"/>
      <c r="O48" s="215"/>
      <c r="P48" s="60"/>
      <c r="Q48" s="30" t="s">
        <v>194</v>
      </c>
      <c r="R48" s="48">
        <v>30</v>
      </c>
      <c r="S48" s="627">
        <v>80</v>
      </c>
      <c r="T48" s="1540">
        <v>100</v>
      </c>
      <c r="U48" s="318"/>
    </row>
    <row r="49" spans="1:21" ht="54" customHeight="1" x14ac:dyDescent="0.2">
      <c r="A49" s="1852"/>
      <c r="B49" s="1633"/>
      <c r="C49" s="1634"/>
      <c r="D49" s="1655"/>
      <c r="E49" s="1489"/>
      <c r="F49" s="1728"/>
      <c r="G49" s="83"/>
      <c r="H49" s="83"/>
      <c r="I49" s="215"/>
      <c r="J49" s="60"/>
      <c r="K49" s="99"/>
      <c r="L49" s="215"/>
      <c r="M49" s="99"/>
      <c r="N49" s="83"/>
      <c r="O49" s="215"/>
      <c r="P49" s="60"/>
      <c r="Q49" s="1224" t="s">
        <v>195</v>
      </c>
      <c r="R49" s="48"/>
      <c r="S49" s="627"/>
      <c r="T49" s="1540">
        <v>5</v>
      </c>
      <c r="U49" s="318"/>
    </row>
    <row r="50" spans="1:21" ht="18.75" customHeight="1" x14ac:dyDescent="0.2">
      <c r="A50" s="1852"/>
      <c r="B50" s="1633"/>
      <c r="C50" s="1634"/>
      <c r="D50" s="1807" t="s">
        <v>58</v>
      </c>
      <c r="E50" s="1506" t="s">
        <v>47</v>
      </c>
      <c r="F50" s="1728"/>
      <c r="G50" s="87"/>
      <c r="H50" s="87"/>
      <c r="I50" s="49"/>
      <c r="J50" s="187"/>
      <c r="K50" s="121"/>
      <c r="L50" s="49"/>
      <c r="M50" s="121"/>
      <c r="N50" s="87"/>
      <c r="O50" s="49"/>
      <c r="P50" s="187"/>
      <c r="Q50" s="1726" t="s">
        <v>351</v>
      </c>
      <c r="R50" s="1450">
        <v>5</v>
      </c>
      <c r="S50" s="628">
        <v>50</v>
      </c>
      <c r="T50" s="1521">
        <v>80</v>
      </c>
      <c r="U50" s="318"/>
    </row>
    <row r="51" spans="1:21" ht="12" customHeight="1" x14ac:dyDescent="0.2">
      <c r="A51" s="1852"/>
      <c r="B51" s="1633"/>
      <c r="C51" s="1634"/>
      <c r="D51" s="1655"/>
      <c r="E51" s="1461"/>
      <c r="F51" s="1728"/>
      <c r="G51" s="83"/>
      <c r="H51" s="83"/>
      <c r="I51" s="215"/>
      <c r="J51" s="60"/>
      <c r="K51" s="99"/>
      <c r="L51" s="215"/>
      <c r="M51" s="99"/>
      <c r="N51" s="83"/>
      <c r="O51" s="215"/>
      <c r="P51" s="60"/>
      <c r="Q51" s="1822"/>
      <c r="R51" s="1505"/>
      <c r="S51" s="633"/>
      <c r="T51" s="380"/>
      <c r="U51" s="318"/>
    </row>
    <row r="52" spans="1:21" ht="9.75" customHeight="1" x14ac:dyDescent="0.2">
      <c r="A52" s="1852"/>
      <c r="B52" s="1633"/>
      <c r="C52" s="1634"/>
      <c r="D52" s="1656"/>
      <c r="E52" s="1507"/>
      <c r="F52" s="1728"/>
      <c r="G52" s="124"/>
      <c r="H52" s="86"/>
      <c r="I52" s="42"/>
      <c r="J52" s="167"/>
      <c r="K52" s="147"/>
      <c r="L52" s="42"/>
      <c r="M52" s="147"/>
      <c r="N52" s="86"/>
      <c r="O52" s="42"/>
      <c r="P52" s="167"/>
      <c r="Q52" s="243"/>
      <c r="R52" s="1452"/>
      <c r="S52" s="629"/>
      <c r="T52" s="156"/>
      <c r="U52" s="318"/>
    </row>
    <row r="53" spans="1:21" ht="17.25" customHeight="1" x14ac:dyDescent="0.2">
      <c r="A53" s="1459"/>
      <c r="B53" s="1460"/>
      <c r="C53" s="88"/>
      <c r="D53" s="1807" t="s">
        <v>217</v>
      </c>
      <c r="E53" s="1808" t="s">
        <v>47</v>
      </c>
      <c r="F53" s="1829"/>
      <c r="G53" s="87"/>
      <c r="H53" s="374"/>
      <c r="I53" s="691"/>
      <c r="J53" s="692"/>
      <c r="K53" s="368"/>
      <c r="L53" s="691"/>
      <c r="M53" s="368"/>
      <c r="N53" s="374"/>
      <c r="O53" s="691"/>
      <c r="P53" s="692"/>
      <c r="Q53" s="1437" t="s">
        <v>93</v>
      </c>
      <c r="R53" s="430">
        <v>1</v>
      </c>
      <c r="S53" s="1454"/>
      <c r="T53" s="1481"/>
      <c r="U53" s="1471"/>
    </row>
    <row r="54" spans="1:21" ht="21.75" customHeight="1" x14ac:dyDescent="0.2">
      <c r="A54" s="1459"/>
      <c r="B54" s="1460"/>
      <c r="C54" s="88"/>
      <c r="D54" s="1655"/>
      <c r="E54" s="1844"/>
      <c r="F54" s="1829"/>
      <c r="G54" s="86"/>
      <c r="H54" s="695"/>
      <c r="I54" s="694"/>
      <c r="J54" s="696"/>
      <c r="K54" s="693"/>
      <c r="L54" s="694"/>
      <c r="M54" s="693"/>
      <c r="N54" s="695"/>
      <c r="O54" s="694"/>
      <c r="P54" s="696"/>
      <c r="Q54" s="19"/>
      <c r="R54" s="444"/>
      <c r="S54" s="301"/>
      <c r="T54" s="47"/>
      <c r="U54" s="1471"/>
    </row>
    <row r="55" spans="1:21" ht="16.5" customHeight="1" x14ac:dyDescent="0.2">
      <c r="A55" s="1459"/>
      <c r="B55" s="1460"/>
      <c r="C55" s="88"/>
      <c r="D55" s="1807" t="s">
        <v>234</v>
      </c>
      <c r="E55" s="1808" t="s">
        <v>47</v>
      </c>
      <c r="F55" s="1829"/>
      <c r="G55" s="83" t="s">
        <v>45</v>
      </c>
      <c r="H55" s="324"/>
      <c r="I55" s="370"/>
      <c r="J55" s="325"/>
      <c r="K55" s="327">
        <v>95</v>
      </c>
      <c r="L55" s="370">
        <v>95</v>
      </c>
      <c r="M55" s="327"/>
      <c r="N55" s="324"/>
      <c r="O55" s="370"/>
      <c r="P55" s="325"/>
      <c r="Q55" s="818" t="s">
        <v>93</v>
      </c>
      <c r="R55" s="430"/>
      <c r="S55" s="1454">
        <v>1</v>
      </c>
      <c r="T55" s="1481"/>
      <c r="U55" s="1471"/>
    </row>
    <row r="56" spans="1:21" ht="17.25" customHeight="1" x14ac:dyDescent="0.2">
      <c r="A56" s="1459"/>
      <c r="B56" s="1460"/>
      <c r="C56" s="88"/>
      <c r="D56" s="1655"/>
      <c r="E56" s="1828"/>
      <c r="F56" s="1829"/>
      <c r="G56" s="739"/>
      <c r="H56" s="86"/>
      <c r="I56" s="42"/>
      <c r="J56" s="167"/>
      <c r="K56" s="147"/>
      <c r="L56" s="42"/>
      <c r="M56" s="147"/>
      <c r="N56" s="86"/>
      <c r="O56" s="42"/>
      <c r="P56" s="167"/>
      <c r="Q56" s="1513"/>
      <c r="R56" s="442"/>
      <c r="S56" s="300"/>
      <c r="T56" s="1509"/>
      <c r="U56" s="1471"/>
    </row>
    <row r="57" spans="1:21" ht="16.5" customHeight="1" thickBot="1" x14ac:dyDescent="0.25">
      <c r="A57" s="68"/>
      <c r="B57" s="1475"/>
      <c r="C57" s="95"/>
      <c r="D57" s="223"/>
      <c r="E57" s="781"/>
      <c r="F57" s="95"/>
      <c r="G57" s="89" t="s">
        <v>6</v>
      </c>
      <c r="H57" s="172">
        <f>SUM(H42:H56)</f>
        <v>607.4</v>
      </c>
      <c r="I57" s="174">
        <f>SUM(I42:I56)</f>
        <v>607.4</v>
      </c>
      <c r="J57" s="204">
        <f>SUM(J42:J56)</f>
        <v>0</v>
      </c>
      <c r="K57" s="172">
        <f t="shared" ref="K57:L57" si="3">SUM(K42:K56)</f>
        <v>2056.3000000000002</v>
      </c>
      <c r="L57" s="174">
        <f t="shared" si="3"/>
        <v>2056.3000000000002</v>
      </c>
      <c r="M57" s="204">
        <f t="shared" ref="M57:P57" si="4">SUM(M42:M56)</f>
        <v>0</v>
      </c>
      <c r="N57" s="172">
        <f t="shared" ref="N57:O57" si="5">SUM(N42:N56)</f>
        <v>1900</v>
      </c>
      <c r="O57" s="174">
        <f t="shared" si="5"/>
        <v>1900</v>
      </c>
      <c r="P57" s="204">
        <f t="shared" si="4"/>
        <v>0</v>
      </c>
      <c r="Q57" s="757"/>
      <c r="R57" s="178"/>
      <c r="S57" s="636"/>
      <c r="T57" s="177"/>
      <c r="U57" s="40"/>
    </row>
    <row r="58" spans="1:21" ht="14.1" customHeight="1" x14ac:dyDescent="0.2">
      <c r="A58" s="1459" t="s">
        <v>5</v>
      </c>
      <c r="B58" s="1486" t="s">
        <v>5</v>
      </c>
      <c r="C58" s="1461" t="s">
        <v>28</v>
      </c>
      <c r="D58" s="1845" t="s">
        <v>96</v>
      </c>
      <c r="E58" s="1846" t="s">
        <v>91</v>
      </c>
      <c r="F58" s="1477" t="s">
        <v>43</v>
      </c>
      <c r="G58" s="206" t="s">
        <v>25</v>
      </c>
      <c r="H58" s="206">
        <v>875.5</v>
      </c>
      <c r="I58" s="173">
        <v>875.5</v>
      </c>
      <c r="J58" s="335"/>
      <c r="K58" s="206">
        <v>374</v>
      </c>
      <c r="L58" s="173">
        <v>374</v>
      </c>
      <c r="M58" s="335"/>
      <c r="N58" s="206">
        <v>100</v>
      </c>
      <c r="O58" s="173">
        <v>100</v>
      </c>
      <c r="P58" s="335"/>
      <c r="Q58" s="326"/>
      <c r="R58" s="526"/>
      <c r="S58" s="526"/>
      <c r="T58" s="526"/>
      <c r="U58" s="318"/>
    </row>
    <row r="59" spans="1:21" ht="14.1" customHeight="1" x14ac:dyDescent="0.2">
      <c r="A59" s="1459"/>
      <c r="B59" s="1486"/>
      <c r="C59" s="1461"/>
      <c r="D59" s="1843"/>
      <c r="E59" s="1701"/>
      <c r="F59" s="1478"/>
      <c r="G59" s="83" t="s">
        <v>60</v>
      </c>
      <c r="H59" s="83">
        <v>298.7</v>
      </c>
      <c r="I59" s="215">
        <v>298.7</v>
      </c>
      <c r="J59" s="60"/>
      <c r="K59" s="83"/>
      <c r="L59" s="215"/>
      <c r="M59" s="60"/>
      <c r="N59" s="83"/>
      <c r="O59" s="215"/>
      <c r="P59" s="60"/>
      <c r="Q59" s="1496"/>
      <c r="R59" s="380"/>
      <c r="S59" s="380"/>
      <c r="T59" s="380"/>
      <c r="U59" s="318"/>
    </row>
    <row r="60" spans="1:21" ht="14.1" customHeight="1" x14ac:dyDescent="0.2">
      <c r="A60" s="1459"/>
      <c r="B60" s="1486"/>
      <c r="C60" s="1461"/>
      <c r="D60" s="1843"/>
      <c r="E60" s="1701"/>
      <c r="F60" s="1478"/>
      <c r="G60" s="83" t="s">
        <v>100</v>
      </c>
      <c r="H60" s="83">
        <v>755.4</v>
      </c>
      <c r="I60" s="215">
        <v>755.4</v>
      </c>
      <c r="J60" s="60"/>
      <c r="K60" s="83">
        <v>711.8</v>
      </c>
      <c r="L60" s="215">
        <v>711.8</v>
      </c>
      <c r="M60" s="60"/>
      <c r="N60" s="83">
        <v>400</v>
      </c>
      <c r="O60" s="215">
        <v>400</v>
      </c>
      <c r="P60" s="60"/>
      <c r="Q60" s="1496"/>
      <c r="R60" s="380"/>
      <c r="S60" s="380"/>
      <c r="T60" s="380"/>
      <c r="U60" s="318"/>
    </row>
    <row r="61" spans="1:21" ht="14.1" customHeight="1" x14ac:dyDescent="0.2">
      <c r="A61" s="1459"/>
      <c r="B61" s="1486"/>
      <c r="C61" s="1461"/>
      <c r="D61" s="1344"/>
      <c r="E61" s="1701"/>
      <c r="F61" s="1478"/>
      <c r="G61" s="83" t="s">
        <v>245</v>
      </c>
      <c r="H61" s="83">
        <v>1482.2</v>
      </c>
      <c r="I61" s="215">
        <v>1482.2</v>
      </c>
      <c r="J61" s="60"/>
      <c r="K61" s="83">
        <v>122.8</v>
      </c>
      <c r="L61" s="215">
        <v>122.8</v>
      </c>
      <c r="M61" s="60"/>
      <c r="N61" s="83"/>
      <c r="O61" s="215"/>
      <c r="P61" s="60"/>
      <c r="Q61" s="1496"/>
      <c r="R61" s="380"/>
      <c r="S61" s="380"/>
      <c r="T61" s="380"/>
      <c r="U61" s="318"/>
    </row>
    <row r="62" spans="1:21" ht="14.1" customHeight="1" x14ac:dyDescent="0.2">
      <c r="A62" s="1459"/>
      <c r="B62" s="1486"/>
      <c r="C62" s="1461"/>
      <c r="D62" s="1344"/>
      <c r="E62" s="1815"/>
      <c r="F62" s="1478"/>
      <c r="G62" s="86" t="s">
        <v>48</v>
      </c>
      <c r="H62" s="86">
        <v>200</v>
      </c>
      <c r="I62" s="42">
        <v>200</v>
      </c>
      <c r="J62" s="167"/>
      <c r="K62" s="147"/>
      <c r="L62" s="42"/>
      <c r="M62" s="167"/>
      <c r="N62" s="83"/>
      <c r="O62" s="215"/>
      <c r="P62" s="60"/>
      <c r="Q62" s="1496"/>
      <c r="R62" s="380"/>
      <c r="S62" s="380"/>
      <c r="T62" s="380"/>
      <c r="U62" s="318"/>
    </row>
    <row r="63" spans="1:21" ht="14.1" customHeight="1" x14ac:dyDescent="0.2">
      <c r="A63" s="1632"/>
      <c r="B63" s="1791"/>
      <c r="C63" s="1634"/>
      <c r="D63" s="1625" t="s">
        <v>310</v>
      </c>
      <c r="E63" s="1780" t="s">
        <v>47</v>
      </c>
      <c r="F63" s="1831"/>
      <c r="G63" s="83" t="s">
        <v>45</v>
      </c>
      <c r="H63" s="83">
        <v>104.9</v>
      </c>
      <c r="I63" s="215">
        <v>104.9</v>
      </c>
      <c r="J63" s="60"/>
      <c r="K63" s="99"/>
      <c r="L63" s="215"/>
      <c r="M63" s="99"/>
      <c r="N63" s="87"/>
      <c r="O63" s="49"/>
      <c r="P63" s="187"/>
      <c r="Q63" s="1726"/>
      <c r="R63" s="1481"/>
      <c r="S63" s="1481"/>
      <c r="T63" s="1481"/>
      <c r="U63" s="1471"/>
    </row>
    <row r="64" spans="1:21" ht="27" customHeight="1" x14ac:dyDescent="0.2">
      <c r="A64" s="1632"/>
      <c r="B64" s="1791"/>
      <c r="C64" s="1634"/>
      <c r="D64" s="1843"/>
      <c r="E64" s="1781"/>
      <c r="F64" s="1634"/>
      <c r="G64" s="83"/>
      <c r="H64" s="324"/>
      <c r="I64" s="370"/>
      <c r="J64" s="325"/>
      <c r="K64" s="327"/>
      <c r="L64" s="370"/>
      <c r="M64" s="327"/>
      <c r="N64" s="324"/>
      <c r="O64" s="370"/>
      <c r="P64" s="325"/>
      <c r="Q64" s="1822"/>
      <c r="R64" s="1509"/>
      <c r="S64" s="1509"/>
      <c r="T64" s="1509"/>
      <c r="U64" s="1471"/>
    </row>
    <row r="65" spans="1:21" ht="25.5" customHeight="1" x14ac:dyDescent="0.2">
      <c r="A65" s="1632"/>
      <c r="B65" s="1791"/>
      <c r="C65" s="1634"/>
      <c r="D65" s="479" t="s">
        <v>155</v>
      </c>
      <c r="E65" s="1781"/>
      <c r="F65" s="1634"/>
      <c r="G65" s="788"/>
      <c r="H65" s="788"/>
      <c r="I65" s="789"/>
      <c r="J65" s="790"/>
      <c r="K65" s="979"/>
      <c r="L65" s="789"/>
      <c r="M65" s="979"/>
      <c r="N65" s="788"/>
      <c r="O65" s="789"/>
      <c r="P65" s="790"/>
      <c r="Q65" s="85" t="s">
        <v>196</v>
      </c>
      <c r="R65" s="160">
        <v>100</v>
      </c>
      <c r="S65" s="160"/>
      <c r="T65" s="160"/>
      <c r="U65" s="1471"/>
    </row>
    <row r="66" spans="1:21" ht="40.5" customHeight="1" x14ac:dyDescent="0.2">
      <c r="A66" s="1632"/>
      <c r="B66" s="1791"/>
      <c r="C66" s="1634"/>
      <c r="D66" s="1447" t="s">
        <v>127</v>
      </c>
      <c r="E66" s="1784"/>
      <c r="F66" s="1832"/>
      <c r="G66" s="86"/>
      <c r="H66" s="86"/>
      <c r="I66" s="42"/>
      <c r="J66" s="167"/>
      <c r="K66" s="147"/>
      <c r="L66" s="42"/>
      <c r="M66" s="147"/>
      <c r="N66" s="86"/>
      <c r="O66" s="42"/>
      <c r="P66" s="167"/>
      <c r="Q66" s="480" t="s">
        <v>197</v>
      </c>
      <c r="R66" s="47">
        <v>80</v>
      </c>
      <c r="S66" s="47">
        <v>100</v>
      </c>
      <c r="T66" s="47"/>
      <c r="U66" s="1471"/>
    </row>
    <row r="67" spans="1:21" ht="15" customHeight="1" x14ac:dyDescent="0.2">
      <c r="A67" s="1459"/>
      <c r="B67" s="1486"/>
      <c r="C67" s="1478"/>
      <c r="D67" s="1625" t="s">
        <v>311</v>
      </c>
      <c r="E67" s="1449" t="s">
        <v>47</v>
      </c>
      <c r="F67" s="1834"/>
      <c r="G67" s="374" t="s">
        <v>45</v>
      </c>
      <c r="H67" s="87"/>
      <c r="I67" s="49"/>
      <c r="J67" s="187"/>
      <c r="K67" s="121">
        <v>40</v>
      </c>
      <c r="L67" s="49">
        <v>40</v>
      </c>
      <c r="M67" s="187"/>
      <c r="N67" s="87"/>
      <c r="O67" s="49"/>
      <c r="P67" s="187"/>
      <c r="Q67" s="1498" t="s">
        <v>46</v>
      </c>
      <c r="R67" s="430">
        <v>1</v>
      </c>
      <c r="S67" s="630"/>
      <c r="T67" s="1541"/>
      <c r="U67" s="575"/>
    </row>
    <row r="68" spans="1:21" ht="15" customHeight="1" x14ac:dyDescent="0.2">
      <c r="A68" s="1459"/>
      <c r="B68" s="1486"/>
      <c r="C68" s="1478"/>
      <c r="D68" s="1631"/>
      <c r="E68" s="518"/>
      <c r="F68" s="1835"/>
      <c r="G68" s="83"/>
      <c r="H68" s="83"/>
      <c r="I68" s="215"/>
      <c r="J68" s="60"/>
      <c r="K68" s="99"/>
      <c r="L68" s="215"/>
      <c r="M68" s="99"/>
      <c r="N68" s="83"/>
      <c r="O68" s="215"/>
      <c r="P68" s="60"/>
      <c r="Q68" s="1496" t="s">
        <v>151</v>
      </c>
      <c r="R68" s="442"/>
      <c r="S68" s="445">
        <v>30</v>
      </c>
      <c r="T68" s="443">
        <v>60</v>
      </c>
      <c r="U68" s="575"/>
    </row>
    <row r="69" spans="1:21" ht="11.25" customHeight="1" x14ac:dyDescent="0.2">
      <c r="A69" s="1459"/>
      <c r="B69" s="1486"/>
      <c r="C69" s="1478"/>
      <c r="D69" s="1833"/>
      <c r="E69" s="1448"/>
      <c r="F69" s="1836"/>
      <c r="G69" s="124"/>
      <c r="H69" s="86"/>
      <c r="I69" s="42"/>
      <c r="J69" s="167"/>
      <c r="K69" s="147"/>
      <c r="L69" s="42"/>
      <c r="M69" s="147"/>
      <c r="N69" s="86"/>
      <c r="O69" s="42"/>
      <c r="P69" s="167"/>
      <c r="Q69" s="1499"/>
      <c r="R69" s="444"/>
      <c r="S69" s="516"/>
      <c r="T69" s="753"/>
      <c r="U69" s="575"/>
    </row>
    <row r="70" spans="1:21" ht="15" customHeight="1" x14ac:dyDescent="0.2">
      <c r="A70" s="1459"/>
      <c r="B70" s="1486"/>
      <c r="C70" s="1478"/>
      <c r="D70" s="1807" t="s">
        <v>305</v>
      </c>
      <c r="E70" s="1808" t="s">
        <v>47</v>
      </c>
      <c r="F70" s="1829"/>
      <c r="G70" s="324"/>
      <c r="H70" s="83"/>
      <c r="I70" s="215"/>
      <c r="J70" s="60"/>
      <c r="K70" s="99"/>
      <c r="L70" s="215"/>
      <c r="M70" s="99"/>
      <c r="N70" s="83"/>
      <c r="O70" s="215"/>
      <c r="P70" s="60"/>
      <c r="Q70" s="1726" t="s">
        <v>46</v>
      </c>
      <c r="R70" s="1482">
        <v>1</v>
      </c>
      <c r="S70" s="1454"/>
      <c r="T70" s="1481"/>
      <c r="U70" s="1471"/>
    </row>
    <row r="71" spans="1:21" ht="12.75" customHeight="1" x14ac:dyDescent="0.2">
      <c r="A71" s="1459"/>
      <c r="B71" s="1486"/>
      <c r="C71" s="1478"/>
      <c r="D71" s="1655"/>
      <c r="E71" s="1828"/>
      <c r="F71" s="1829"/>
      <c r="G71" s="124"/>
      <c r="H71" s="86"/>
      <c r="I71" s="42"/>
      <c r="J71" s="167"/>
      <c r="K71" s="147"/>
      <c r="L71" s="42"/>
      <c r="M71" s="147"/>
      <c r="N71" s="86"/>
      <c r="O71" s="42"/>
      <c r="P71" s="167"/>
      <c r="Q71" s="1830"/>
      <c r="R71" s="1524"/>
      <c r="S71" s="300"/>
      <c r="T71" s="1509"/>
      <c r="U71" s="1471"/>
    </row>
    <row r="72" spans="1:21" ht="16.5" customHeight="1" thickBot="1" x14ac:dyDescent="0.25">
      <c r="A72" s="68"/>
      <c r="B72" s="1475"/>
      <c r="C72" s="95"/>
      <c r="D72" s="223"/>
      <c r="E72" s="781"/>
      <c r="F72" s="95"/>
      <c r="G72" s="89" t="s">
        <v>6</v>
      </c>
      <c r="H72" s="172">
        <f>SUM(H58:H71)</f>
        <v>3716.7</v>
      </c>
      <c r="I72" s="174">
        <f>SUM(I58:I71)</f>
        <v>3716.7</v>
      </c>
      <c r="J72" s="204">
        <f>SUM(J58:J71)</f>
        <v>0</v>
      </c>
      <c r="K72" s="172">
        <f t="shared" ref="K72:L72" si="6">SUM(K58:K71)</f>
        <v>1248.5999999999999</v>
      </c>
      <c r="L72" s="174">
        <f t="shared" si="6"/>
        <v>1248.5999999999999</v>
      </c>
      <c r="M72" s="204">
        <f t="shared" ref="M72:P72" si="7">SUM(M58:M71)</f>
        <v>0</v>
      </c>
      <c r="N72" s="172">
        <f t="shared" ref="N72:O72" si="8">SUM(N58:N71)</f>
        <v>500</v>
      </c>
      <c r="O72" s="174">
        <f t="shared" si="8"/>
        <v>500</v>
      </c>
      <c r="P72" s="204">
        <f t="shared" si="7"/>
        <v>0</v>
      </c>
      <c r="Q72" s="757"/>
      <c r="R72" s="178"/>
      <c r="S72" s="636"/>
      <c r="T72" s="177"/>
      <c r="U72" s="40"/>
    </row>
    <row r="73" spans="1:21" ht="14.1" customHeight="1" x14ac:dyDescent="0.2">
      <c r="A73" s="1473" t="s">
        <v>5</v>
      </c>
      <c r="B73" s="259" t="s">
        <v>5</v>
      </c>
      <c r="C73" s="1520" t="s">
        <v>33</v>
      </c>
      <c r="D73" s="1837" t="s">
        <v>51</v>
      </c>
      <c r="E73" s="1839" t="s">
        <v>88</v>
      </c>
      <c r="F73" s="115" t="s">
        <v>43</v>
      </c>
      <c r="G73" s="1181" t="s">
        <v>100</v>
      </c>
      <c r="H73" s="87">
        <v>54.3</v>
      </c>
      <c r="I73" s="49">
        <v>54.3</v>
      </c>
      <c r="J73" s="187"/>
      <c r="K73" s="121"/>
      <c r="L73" s="49"/>
      <c r="M73" s="121"/>
      <c r="N73" s="87"/>
      <c r="O73" s="49"/>
      <c r="P73" s="187"/>
      <c r="Q73" s="1345"/>
      <c r="R73" s="255"/>
      <c r="S73" s="625"/>
      <c r="T73" s="1542"/>
      <c r="U73" s="1439"/>
    </row>
    <row r="74" spans="1:21" ht="14.1" customHeight="1" x14ac:dyDescent="0.2">
      <c r="A74" s="1459"/>
      <c r="B74" s="1486"/>
      <c r="C74" s="1461"/>
      <c r="D74" s="1838"/>
      <c r="E74" s="1840"/>
      <c r="F74" s="1445"/>
      <c r="G74" s="62" t="s">
        <v>48</v>
      </c>
      <c r="H74" s="83">
        <v>1300</v>
      </c>
      <c r="I74" s="215">
        <v>1300</v>
      </c>
      <c r="J74" s="60"/>
      <c r="K74" s="99"/>
      <c r="L74" s="215"/>
      <c r="M74" s="99"/>
      <c r="N74" s="83"/>
      <c r="O74" s="215"/>
      <c r="P74" s="60"/>
      <c r="Q74" s="1458"/>
      <c r="R74" s="1524"/>
      <c r="S74" s="300"/>
      <c r="T74" s="1509"/>
      <c r="U74" s="1471"/>
    </row>
    <row r="75" spans="1:21" ht="14.1" customHeight="1" x14ac:dyDescent="0.2">
      <c r="A75" s="1459"/>
      <c r="B75" s="1486"/>
      <c r="C75" s="1461"/>
      <c r="D75" s="525"/>
      <c r="E75" s="1840"/>
      <c r="F75" s="1445"/>
      <c r="G75" s="46" t="s">
        <v>25</v>
      </c>
      <c r="H75" s="83">
        <v>10</v>
      </c>
      <c r="I75" s="215">
        <v>10</v>
      </c>
      <c r="J75" s="60"/>
      <c r="K75" s="99">
        <v>24.6</v>
      </c>
      <c r="L75" s="215">
        <v>24.6</v>
      </c>
      <c r="M75" s="99"/>
      <c r="N75" s="83">
        <v>22.5</v>
      </c>
      <c r="O75" s="215">
        <v>22.5</v>
      </c>
      <c r="P75" s="60"/>
      <c r="Q75" s="1458"/>
      <c r="R75" s="1524"/>
      <c r="S75" s="300"/>
      <c r="T75" s="1509"/>
      <c r="U75" s="1471"/>
    </row>
    <row r="76" spans="1:21" ht="14.1" customHeight="1" x14ac:dyDescent="0.2">
      <c r="A76" s="1459"/>
      <c r="B76" s="1486"/>
      <c r="C76" s="1461"/>
      <c r="D76" s="525"/>
      <c r="E76" s="1841"/>
      <c r="F76" s="1445"/>
      <c r="G76" s="83" t="s">
        <v>44</v>
      </c>
      <c r="H76" s="83"/>
      <c r="I76" s="215"/>
      <c r="J76" s="60"/>
      <c r="K76" s="99">
        <v>425</v>
      </c>
      <c r="L76" s="215">
        <v>425</v>
      </c>
      <c r="M76" s="99"/>
      <c r="N76" s="83">
        <v>425</v>
      </c>
      <c r="O76" s="215">
        <v>425</v>
      </c>
      <c r="P76" s="60"/>
      <c r="Q76" s="1458"/>
      <c r="R76" s="1524"/>
      <c r="S76" s="300"/>
      <c r="T76" s="1509"/>
      <c r="U76" s="1471"/>
    </row>
    <row r="77" spans="1:21" ht="15" customHeight="1" x14ac:dyDescent="0.2">
      <c r="A77" s="1459"/>
      <c r="B77" s="1486"/>
      <c r="C77" s="1461"/>
      <c r="D77" s="1625" t="s">
        <v>59</v>
      </c>
      <c r="E77" s="1808" t="s">
        <v>47</v>
      </c>
      <c r="F77" s="1781"/>
      <c r="G77" s="1181"/>
      <c r="H77" s="87"/>
      <c r="I77" s="49"/>
      <c r="J77" s="187"/>
      <c r="K77" s="121"/>
      <c r="L77" s="49"/>
      <c r="M77" s="121"/>
      <c r="N77" s="87"/>
      <c r="O77" s="49"/>
      <c r="P77" s="187"/>
      <c r="Q77" s="1842" t="s">
        <v>235</v>
      </c>
      <c r="R77" s="1482">
        <v>100</v>
      </c>
      <c r="S77" s="1454"/>
      <c r="T77" s="1481"/>
      <c r="U77" s="1471"/>
    </row>
    <row r="78" spans="1:21" ht="15" customHeight="1" x14ac:dyDescent="0.2">
      <c r="A78" s="1459"/>
      <c r="B78" s="1486"/>
      <c r="C78" s="1461"/>
      <c r="D78" s="1631"/>
      <c r="E78" s="1828"/>
      <c r="F78" s="1781"/>
      <c r="G78" s="1182"/>
      <c r="H78" s="86"/>
      <c r="I78" s="42"/>
      <c r="J78" s="167"/>
      <c r="K78" s="147"/>
      <c r="L78" s="42"/>
      <c r="M78" s="147"/>
      <c r="N78" s="86"/>
      <c r="O78" s="42"/>
      <c r="P78" s="167"/>
      <c r="Q78" s="1758"/>
      <c r="R78" s="1524"/>
      <c r="S78" s="300"/>
      <c r="T78" s="1509"/>
      <c r="U78" s="1471"/>
    </row>
    <row r="79" spans="1:21" ht="14.25" customHeight="1" x14ac:dyDescent="0.2">
      <c r="A79" s="1632"/>
      <c r="B79" s="1791"/>
      <c r="C79" s="1634"/>
      <c r="D79" s="1807" t="s">
        <v>267</v>
      </c>
      <c r="E79" s="1824" t="s">
        <v>47</v>
      </c>
      <c r="F79" s="1825"/>
      <c r="G79" s="46"/>
      <c r="H79" s="83"/>
      <c r="I79" s="215"/>
      <c r="J79" s="60"/>
      <c r="K79" s="99"/>
      <c r="L79" s="215"/>
      <c r="M79" s="99"/>
      <c r="N79" s="83"/>
      <c r="O79" s="215"/>
      <c r="P79" s="60"/>
      <c r="Q79" s="1498" t="s">
        <v>46</v>
      </c>
      <c r="R79" s="1482">
        <v>1</v>
      </c>
      <c r="S79" s="1454"/>
      <c r="T79" s="1481"/>
      <c r="U79" s="1471"/>
    </row>
    <row r="80" spans="1:21" ht="21" customHeight="1" x14ac:dyDescent="0.2">
      <c r="A80" s="1632"/>
      <c r="B80" s="1791"/>
      <c r="C80" s="1634"/>
      <c r="D80" s="1655"/>
      <c r="E80" s="1677"/>
      <c r="F80" s="1825"/>
      <c r="G80" s="83"/>
      <c r="H80" s="83"/>
      <c r="I80" s="215"/>
      <c r="J80" s="60"/>
      <c r="K80" s="99"/>
      <c r="L80" s="215"/>
      <c r="M80" s="99"/>
      <c r="N80" s="83"/>
      <c r="O80" s="215"/>
      <c r="P80" s="60"/>
      <c r="Q80" s="1821" t="s">
        <v>143</v>
      </c>
      <c r="R80" s="1524"/>
      <c r="S80" s="300">
        <v>50</v>
      </c>
      <c r="T80" s="1509">
        <v>100</v>
      </c>
      <c r="U80" s="1471"/>
    </row>
    <row r="81" spans="1:21" ht="18.75" customHeight="1" x14ac:dyDescent="0.2">
      <c r="A81" s="1632"/>
      <c r="B81" s="1791"/>
      <c r="C81" s="1634"/>
      <c r="D81" s="1655"/>
      <c r="E81" s="1677"/>
      <c r="F81" s="1825"/>
      <c r="G81" s="124"/>
      <c r="H81" s="86"/>
      <c r="I81" s="42"/>
      <c r="J81" s="167"/>
      <c r="K81" s="147"/>
      <c r="L81" s="42"/>
      <c r="M81" s="147"/>
      <c r="N81" s="86"/>
      <c r="O81" s="42"/>
      <c r="P81" s="167"/>
      <c r="Q81" s="1822"/>
      <c r="R81" s="1524"/>
      <c r="S81" s="300"/>
      <c r="T81" s="1509"/>
      <c r="U81" s="1471"/>
    </row>
    <row r="82" spans="1:21" ht="16.5" customHeight="1" thickBot="1" x14ac:dyDescent="0.25">
      <c r="A82" s="68"/>
      <c r="B82" s="1475"/>
      <c r="C82" s="95"/>
      <c r="D82" s="223"/>
      <c r="E82" s="781"/>
      <c r="F82" s="95"/>
      <c r="G82" s="89" t="s">
        <v>6</v>
      </c>
      <c r="H82" s="172">
        <f>SUM(H73:H81)</f>
        <v>1364.3</v>
      </c>
      <c r="I82" s="174">
        <f>SUM(I73:I81)</f>
        <v>1364.3</v>
      </c>
      <c r="J82" s="204">
        <f>SUM(J73:J81)</f>
        <v>0</v>
      </c>
      <c r="K82" s="172">
        <f t="shared" ref="K82:L82" si="9">SUM(K73:K81)</f>
        <v>449.6</v>
      </c>
      <c r="L82" s="174">
        <f t="shared" si="9"/>
        <v>449.6</v>
      </c>
      <c r="M82" s="204">
        <f t="shared" ref="M82:P82" si="10">SUM(M73:M81)</f>
        <v>0</v>
      </c>
      <c r="N82" s="172">
        <f t="shared" ref="N82:O82" si="11">SUM(N73:N81)</f>
        <v>447.5</v>
      </c>
      <c r="O82" s="174">
        <f t="shared" si="11"/>
        <v>447.5</v>
      </c>
      <c r="P82" s="204">
        <f t="shared" si="10"/>
        <v>0</v>
      </c>
      <c r="Q82" s="757"/>
      <c r="R82" s="178"/>
      <c r="S82" s="636"/>
      <c r="T82" s="177"/>
      <c r="U82" s="40"/>
    </row>
    <row r="83" spans="1:21" ht="14.1" customHeight="1" x14ac:dyDescent="0.2">
      <c r="A83" s="1473" t="s">
        <v>5</v>
      </c>
      <c r="B83" s="259" t="s">
        <v>5</v>
      </c>
      <c r="C83" s="1520" t="s">
        <v>34</v>
      </c>
      <c r="D83" s="1837" t="s">
        <v>95</v>
      </c>
      <c r="E83" s="1826" t="s">
        <v>86</v>
      </c>
      <c r="F83" s="1477" t="s">
        <v>43</v>
      </c>
      <c r="G83" s="1347" t="s">
        <v>25</v>
      </c>
      <c r="H83" s="206">
        <v>515.79999999999995</v>
      </c>
      <c r="I83" s="173">
        <v>515.79999999999995</v>
      </c>
      <c r="J83" s="335"/>
      <c r="K83" s="206">
        <v>82</v>
      </c>
      <c r="L83" s="173">
        <v>82</v>
      </c>
      <c r="M83" s="207"/>
      <c r="N83" s="206">
        <v>160.6</v>
      </c>
      <c r="O83" s="173">
        <v>160.6</v>
      </c>
      <c r="P83" s="335"/>
      <c r="Q83" s="225"/>
      <c r="R83" s="328"/>
      <c r="S83" s="632"/>
      <c r="T83" s="526"/>
      <c r="U83" s="318"/>
    </row>
    <row r="84" spans="1:21" ht="14.1" customHeight="1" x14ac:dyDescent="0.2">
      <c r="A84" s="1459"/>
      <c r="B84" s="1486"/>
      <c r="C84" s="1461"/>
      <c r="D84" s="1864"/>
      <c r="E84" s="1756"/>
      <c r="F84" s="1478"/>
      <c r="G84" s="751" t="s">
        <v>60</v>
      </c>
      <c r="H84" s="83">
        <v>18.2</v>
      </c>
      <c r="I84" s="215">
        <v>18.2</v>
      </c>
      <c r="J84" s="60"/>
      <c r="K84" s="99"/>
      <c r="L84" s="215"/>
      <c r="M84" s="99"/>
      <c r="N84" s="83"/>
      <c r="O84" s="215"/>
      <c r="P84" s="60"/>
      <c r="Q84" s="1458"/>
      <c r="R84" s="1505"/>
      <c r="S84" s="633"/>
      <c r="T84" s="380"/>
      <c r="U84" s="318"/>
    </row>
    <row r="85" spans="1:21" ht="14.1" customHeight="1" x14ac:dyDescent="0.2">
      <c r="A85" s="1459"/>
      <c r="B85" s="1486"/>
      <c r="C85" s="1461"/>
      <c r="D85" s="1865"/>
      <c r="E85" s="1827"/>
      <c r="F85" s="1478"/>
      <c r="G85" s="86" t="s">
        <v>100</v>
      </c>
      <c r="H85" s="86">
        <v>845.7</v>
      </c>
      <c r="I85" s="42">
        <v>845.7</v>
      </c>
      <c r="J85" s="167"/>
      <c r="K85" s="147">
        <v>800</v>
      </c>
      <c r="L85" s="42">
        <v>800</v>
      </c>
      <c r="M85" s="147"/>
      <c r="N85" s="86">
        <v>800</v>
      </c>
      <c r="O85" s="42">
        <v>800</v>
      </c>
      <c r="P85" s="167"/>
      <c r="Q85" s="200"/>
      <c r="R85" s="1452"/>
      <c r="S85" s="629"/>
      <c r="T85" s="156"/>
      <c r="U85" s="318"/>
    </row>
    <row r="86" spans="1:21" ht="27" customHeight="1" x14ac:dyDescent="0.2">
      <c r="A86" s="1459"/>
      <c r="B86" s="1486"/>
      <c r="C86" s="1461"/>
      <c r="D86" s="1807" t="s">
        <v>352</v>
      </c>
      <c r="E86" s="107" t="s">
        <v>47</v>
      </c>
      <c r="F86" s="1478"/>
      <c r="G86" s="83"/>
      <c r="H86" s="83"/>
      <c r="I86" s="215"/>
      <c r="J86" s="60"/>
      <c r="K86" s="99"/>
      <c r="L86" s="215"/>
      <c r="M86" s="99"/>
      <c r="N86" s="83"/>
      <c r="O86" s="215"/>
      <c r="P86" s="60"/>
      <c r="Q86" s="1496" t="s">
        <v>353</v>
      </c>
      <c r="R86" s="1505">
        <v>100</v>
      </c>
      <c r="S86" s="633"/>
      <c r="T86" s="380"/>
      <c r="U86" s="318"/>
    </row>
    <row r="87" spans="1:21" ht="8.25" customHeight="1" x14ac:dyDescent="0.2">
      <c r="A87" s="1459"/>
      <c r="B87" s="1486"/>
      <c r="C87" s="1461"/>
      <c r="D87" s="1655"/>
      <c r="E87" s="1510"/>
      <c r="F87" s="1478"/>
      <c r="G87" s="541"/>
      <c r="H87" s="1530"/>
      <c r="I87" s="1536"/>
      <c r="J87" s="1533"/>
      <c r="K87" s="147"/>
      <c r="L87" s="42"/>
      <c r="M87" s="147"/>
      <c r="N87" s="86"/>
      <c r="O87" s="42"/>
      <c r="P87" s="167"/>
      <c r="Q87" s="1512"/>
      <c r="R87" s="1452"/>
      <c r="S87" s="633"/>
      <c r="T87" s="380"/>
      <c r="U87" s="318"/>
    </row>
    <row r="88" spans="1:21" ht="15.75" customHeight="1" x14ac:dyDescent="0.2">
      <c r="A88" s="1459"/>
      <c r="B88" s="1486"/>
      <c r="C88" s="1461"/>
      <c r="D88" s="1807" t="s">
        <v>218</v>
      </c>
      <c r="E88" s="107" t="s">
        <v>47</v>
      </c>
      <c r="F88" s="1478"/>
      <c r="G88" s="83"/>
      <c r="H88" s="83"/>
      <c r="I88" s="215"/>
      <c r="J88" s="60"/>
      <c r="K88" s="99"/>
      <c r="L88" s="215"/>
      <c r="M88" s="99"/>
      <c r="N88" s="83"/>
      <c r="O88" s="215"/>
      <c r="P88" s="60"/>
      <c r="Q88" s="1726" t="s">
        <v>222</v>
      </c>
      <c r="R88" s="750">
        <v>10</v>
      </c>
      <c r="S88" s="734">
        <v>40</v>
      </c>
      <c r="T88" s="1543">
        <v>80</v>
      </c>
      <c r="U88" s="1546"/>
    </row>
    <row r="89" spans="1:21" ht="19.5" customHeight="1" x14ac:dyDescent="0.2">
      <c r="A89" s="1459"/>
      <c r="B89" s="1486"/>
      <c r="C89" s="1461"/>
      <c r="D89" s="1823"/>
      <c r="E89" s="542"/>
      <c r="F89" s="1478"/>
      <c r="G89" s="1182"/>
      <c r="H89" s="86"/>
      <c r="I89" s="42"/>
      <c r="J89" s="167"/>
      <c r="K89" s="147"/>
      <c r="L89" s="42"/>
      <c r="M89" s="147"/>
      <c r="N89" s="86"/>
      <c r="O89" s="42"/>
      <c r="P89" s="167"/>
      <c r="Q89" s="1796"/>
      <c r="R89" s="1452"/>
      <c r="S89" s="629"/>
      <c r="T89" s="156"/>
      <c r="U89" s="318"/>
    </row>
    <row r="90" spans="1:21" ht="15" customHeight="1" x14ac:dyDescent="0.2">
      <c r="A90" s="1459"/>
      <c r="B90" s="1486"/>
      <c r="C90" s="1461"/>
      <c r="D90" s="1807" t="s">
        <v>135</v>
      </c>
      <c r="E90" s="1808" t="s">
        <v>336</v>
      </c>
      <c r="F90" s="1478"/>
      <c r="G90" s="83"/>
      <c r="H90" s="83"/>
      <c r="I90" s="215"/>
      <c r="J90" s="60"/>
      <c r="K90" s="121"/>
      <c r="L90" s="49"/>
      <c r="M90" s="121"/>
      <c r="N90" s="87"/>
      <c r="O90" s="49"/>
      <c r="P90" s="187"/>
      <c r="Q90" s="1480" t="s">
        <v>46</v>
      </c>
      <c r="R90" s="1450">
        <v>1</v>
      </c>
      <c r="S90" s="628"/>
      <c r="T90" s="1521"/>
      <c r="U90" s="318"/>
    </row>
    <row r="91" spans="1:21" ht="39.75" customHeight="1" x14ac:dyDescent="0.2">
      <c r="A91" s="1459"/>
      <c r="B91" s="1486"/>
      <c r="C91" s="1478"/>
      <c r="D91" s="1816"/>
      <c r="E91" s="1817"/>
      <c r="F91" s="1478"/>
      <c r="G91" s="86"/>
      <c r="H91" s="86"/>
      <c r="I91" s="42"/>
      <c r="J91" s="167"/>
      <c r="K91" s="147"/>
      <c r="L91" s="42"/>
      <c r="M91" s="147"/>
      <c r="N91" s="86"/>
      <c r="O91" s="42"/>
      <c r="P91" s="167"/>
      <c r="Q91" s="1499" t="s">
        <v>345</v>
      </c>
      <c r="R91" s="20"/>
      <c r="S91" s="301"/>
      <c r="T91" s="47"/>
      <c r="U91" s="1471"/>
    </row>
    <row r="92" spans="1:21" ht="14.25" customHeight="1" x14ac:dyDescent="0.2">
      <c r="A92" s="1459"/>
      <c r="B92" s="1486"/>
      <c r="C92" s="1461"/>
      <c r="D92" s="1807" t="s">
        <v>244</v>
      </c>
      <c r="E92" s="107" t="s">
        <v>47</v>
      </c>
      <c r="F92" s="1478"/>
      <c r="G92" s="83"/>
      <c r="H92" s="83"/>
      <c r="I92" s="215"/>
      <c r="J92" s="60"/>
      <c r="K92" s="99"/>
      <c r="L92" s="215"/>
      <c r="M92" s="99"/>
      <c r="N92" s="83"/>
      <c r="O92" s="215"/>
      <c r="P92" s="60"/>
      <c r="Q92" s="1480" t="s">
        <v>46</v>
      </c>
      <c r="R92" s="543"/>
      <c r="S92" s="1819">
        <v>1</v>
      </c>
      <c r="T92" s="1521"/>
      <c r="U92" s="318"/>
    </row>
    <row r="93" spans="1:21" ht="12.75" customHeight="1" x14ac:dyDescent="0.2">
      <c r="A93" s="1459"/>
      <c r="B93" s="1486"/>
      <c r="C93" s="1461"/>
      <c r="D93" s="1818"/>
      <c r="E93" s="689"/>
      <c r="F93" s="1478"/>
      <c r="G93" s="86"/>
      <c r="H93" s="86"/>
      <c r="I93" s="42"/>
      <c r="J93" s="167"/>
      <c r="K93" s="147"/>
      <c r="L93" s="42"/>
      <c r="M93" s="147"/>
      <c r="N93" s="86"/>
      <c r="O93" s="42"/>
      <c r="P93" s="167"/>
      <c r="Q93" s="819"/>
      <c r="R93" s="1505"/>
      <c r="S93" s="1820"/>
      <c r="T93" s="380"/>
      <c r="U93" s="318"/>
    </row>
    <row r="94" spans="1:21" ht="16.5" customHeight="1" thickBot="1" x14ac:dyDescent="0.25">
      <c r="A94" s="68"/>
      <c r="B94" s="1475"/>
      <c r="C94" s="95"/>
      <c r="D94" s="223"/>
      <c r="E94" s="781"/>
      <c r="F94" s="95"/>
      <c r="G94" s="89" t="s">
        <v>6</v>
      </c>
      <c r="H94" s="172">
        <f t="shared" ref="H94:P94" si="12">SUM(H83:H93)</f>
        <v>1379.7</v>
      </c>
      <c r="I94" s="174">
        <f t="shared" si="12"/>
        <v>1379.7</v>
      </c>
      <c r="J94" s="204">
        <f t="shared" si="12"/>
        <v>0</v>
      </c>
      <c r="K94" s="172">
        <f t="shared" si="12"/>
        <v>882</v>
      </c>
      <c r="L94" s="174">
        <f t="shared" si="12"/>
        <v>882</v>
      </c>
      <c r="M94" s="204">
        <f t="shared" si="12"/>
        <v>0</v>
      </c>
      <c r="N94" s="172">
        <f t="shared" si="12"/>
        <v>960.6</v>
      </c>
      <c r="O94" s="174">
        <f t="shared" si="12"/>
        <v>960.6</v>
      </c>
      <c r="P94" s="204">
        <f t="shared" si="12"/>
        <v>0</v>
      </c>
      <c r="Q94" s="757"/>
      <c r="R94" s="178"/>
      <c r="S94" s="636"/>
      <c r="T94" s="177"/>
      <c r="U94" s="40"/>
    </row>
    <row r="95" spans="1:21" ht="29.25" customHeight="1" x14ac:dyDescent="0.2">
      <c r="A95" s="1459" t="s">
        <v>5</v>
      </c>
      <c r="B95" s="1486" t="s">
        <v>5</v>
      </c>
      <c r="C95" s="1461" t="s">
        <v>35</v>
      </c>
      <c r="D95" s="199" t="s">
        <v>72</v>
      </c>
      <c r="E95" s="389" t="s">
        <v>90</v>
      </c>
      <c r="F95" s="1494" t="s">
        <v>43</v>
      </c>
      <c r="G95" s="69"/>
      <c r="H95" s="1531"/>
      <c r="I95" s="372"/>
      <c r="J95" s="515"/>
      <c r="K95" s="371"/>
      <c r="L95" s="372"/>
      <c r="M95" s="371"/>
      <c r="N95" s="1531"/>
      <c r="O95" s="372"/>
      <c r="P95" s="515"/>
      <c r="Q95" s="63"/>
      <c r="R95" s="53"/>
      <c r="S95" s="157"/>
      <c r="T95" s="157"/>
      <c r="U95" s="1547"/>
    </row>
    <row r="96" spans="1:21" ht="14.25" customHeight="1" x14ac:dyDescent="0.2">
      <c r="A96" s="1459"/>
      <c r="B96" s="1486"/>
      <c r="C96" s="1461"/>
      <c r="D96" s="1807" t="s">
        <v>133</v>
      </c>
      <c r="E96" s="1808" t="s">
        <v>336</v>
      </c>
      <c r="F96" s="1478"/>
      <c r="G96" s="64" t="s">
        <v>100</v>
      </c>
      <c r="H96" s="83">
        <v>243.1</v>
      </c>
      <c r="I96" s="215">
        <v>243.1</v>
      </c>
      <c r="J96" s="60"/>
      <c r="K96" s="99"/>
      <c r="L96" s="215"/>
      <c r="M96" s="99"/>
      <c r="N96" s="83">
        <v>1200</v>
      </c>
      <c r="O96" s="215">
        <v>1200</v>
      </c>
      <c r="P96" s="60"/>
      <c r="Q96" s="1480" t="s">
        <v>46</v>
      </c>
      <c r="R96" s="445">
        <v>1</v>
      </c>
      <c r="S96" s="1481"/>
      <c r="T96" s="1481"/>
      <c r="U96" s="1471"/>
    </row>
    <row r="97" spans="1:23" ht="13.5" customHeight="1" x14ac:dyDescent="0.2">
      <c r="A97" s="1459"/>
      <c r="B97" s="1486"/>
      <c r="C97" s="1461"/>
      <c r="D97" s="1655"/>
      <c r="E97" s="1809"/>
      <c r="F97" s="1478"/>
      <c r="G97" s="64" t="s">
        <v>268</v>
      </c>
      <c r="H97" s="83"/>
      <c r="I97" s="215"/>
      <c r="J97" s="60"/>
      <c r="K97" s="99">
        <v>5000</v>
      </c>
      <c r="L97" s="215">
        <v>5000</v>
      </c>
      <c r="M97" s="99"/>
      <c r="N97" s="83">
        <v>8609.1</v>
      </c>
      <c r="O97" s="215">
        <v>8609.1</v>
      </c>
      <c r="P97" s="60"/>
      <c r="Q97" s="1761" t="s">
        <v>257</v>
      </c>
      <c r="R97" s="445"/>
      <c r="S97" s="1509">
        <v>60</v>
      </c>
      <c r="T97" s="1509">
        <v>90</v>
      </c>
      <c r="U97" s="1471"/>
    </row>
    <row r="98" spans="1:23" ht="14.25" customHeight="1" x14ac:dyDescent="0.2">
      <c r="A98" s="1459"/>
      <c r="B98" s="1486"/>
      <c r="C98" s="1461"/>
      <c r="D98" s="1655"/>
      <c r="E98" s="1809"/>
      <c r="F98" s="1478"/>
      <c r="G98" s="64" t="s">
        <v>331</v>
      </c>
      <c r="H98" s="83"/>
      <c r="I98" s="215"/>
      <c r="J98" s="60"/>
      <c r="K98" s="99">
        <v>10000</v>
      </c>
      <c r="L98" s="215">
        <v>10000</v>
      </c>
      <c r="M98" s="99"/>
      <c r="N98" s="83"/>
      <c r="O98" s="215"/>
      <c r="P98" s="60"/>
      <c r="Q98" s="1810"/>
      <c r="R98" s="445"/>
      <c r="S98" s="1509"/>
      <c r="T98" s="1509"/>
      <c r="U98" s="1471"/>
    </row>
    <row r="99" spans="1:23" ht="16.5" customHeight="1" thickBot="1" x14ac:dyDescent="0.25">
      <c r="A99" s="68"/>
      <c r="B99" s="1475"/>
      <c r="C99" s="95"/>
      <c r="D99" s="223"/>
      <c r="E99" s="781"/>
      <c r="F99" s="95"/>
      <c r="G99" s="89" t="s">
        <v>6</v>
      </c>
      <c r="H99" s="172">
        <f t="shared" ref="H99:P99" si="13">SUM(H96:H98)</f>
        <v>243.1</v>
      </c>
      <c r="I99" s="174">
        <f t="shared" si="13"/>
        <v>243.1</v>
      </c>
      <c r="J99" s="204">
        <f t="shared" si="13"/>
        <v>0</v>
      </c>
      <c r="K99" s="172">
        <f t="shared" si="13"/>
        <v>15000</v>
      </c>
      <c r="L99" s="174">
        <f t="shared" si="13"/>
        <v>15000</v>
      </c>
      <c r="M99" s="204">
        <f t="shared" si="13"/>
        <v>0</v>
      </c>
      <c r="N99" s="172">
        <f t="shared" si="13"/>
        <v>9809.1</v>
      </c>
      <c r="O99" s="174">
        <f t="shared" si="13"/>
        <v>9809.1</v>
      </c>
      <c r="P99" s="204">
        <f t="shared" si="13"/>
        <v>0</v>
      </c>
      <c r="Q99" s="757"/>
      <c r="R99" s="178"/>
      <c r="S99" s="636"/>
      <c r="T99" s="177"/>
      <c r="U99" s="40"/>
    </row>
    <row r="100" spans="1:23" ht="27" customHeight="1" x14ac:dyDescent="0.2">
      <c r="A100" s="1459" t="s">
        <v>5</v>
      </c>
      <c r="B100" s="1486" t="s">
        <v>5</v>
      </c>
      <c r="C100" s="209" t="s">
        <v>36</v>
      </c>
      <c r="D100" s="108" t="s">
        <v>224</v>
      </c>
      <c r="E100" s="125"/>
      <c r="F100" s="1520" t="s">
        <v>43</v>
      </c>
      <c r="G100" s="740" t="s">
        <v>25</v>
      </c>
      <c r="H100" s="1532">
        <v>28</v>
      </c>
      <c r="I100" s="1537">
        <v>28</v>
      </c>
      <c r="J100" s="1534"/>
      <c r="K100" s="123">
        <v>28</v>
      </c>
      <c r="L100" s="154">
        <v>28</v>
      </c>
      <c r="M100" s="123"/>
      <c r="N100" s="143">
        <v>28</v>
      </c>
      <c r="O100" s="154">
        <v>28</v>
      </c>
      <c r="P100" s="376"/>
      <c r="Q100" s="70"/>
      <c r="R100" s="28"/>
      <c r="S100" s="637"/>
      <c r="T100" s="1544"/>
      <c r="U100" s="1439"/>
    </row>
    <row r="101" spans="1:23" ht="13.5" customHeight="1" x14ac:dyDescent="0.2">
      <c r="A101" s="1459"/>
      <c r="B101" s="1486"/>
      <c r="C101" s="93"/>
      <c r="D101" s="407" t="s">
        <v>85</v>
      </c>
      <c r="E101" s="1462"/>
      <c r="F101" s="1461"/>
      <c r="G101" s="87"/>
      <c r="H101" s="87"/>
      <c r="I101" s="49"/>
      <c r="J101" s="187"/>
      <c r="K101" s="121"/>
      <c r="L101" s="49"/>
      <c r="M101" s="121"/>
      <c r="N101" s="87"/>
      <c r="O101" s="49"/>
      <c r="P101" s="187"/>
      <c r="Q101" s="1811" t="s">
        <v>139</v>
      </c>
      <c r="R101" s="430">
        <v>100</v>
      </c>
      <c r="S101" s="630">
        <v>100</v>
      </c>
      <c r="T101" s="1541">
        <v>100</v>
      </c>
      <c r="U101" s="575"/>
    </row>
    <row r="102" spans="1:23" ht="16.5" customHeight="1" x14ac:dyDescent="0.2">
      <c r="A102" s="1459"/>
      <c r="B102" s="1486"/>
      <c r="C102" s="93"/>
      <c r="D102" s="142"/>
      <c r="E102" s="1518"/>
      <c r="F102" s="1478"/>
      <c r="G102" s="83"/>
      <c r="H102" s="83"/>
      <c r="I102" s="215"/>
      <c r="J102" s="60"/>
      <c r="K102" s="99"/>
      <c r="L102" s="215"/>
      <c r="M102" s="99"/>
      <c r="N102" s="83"/>
      <c r="O102" s="215"/>
      <c r="P102" s="60"/>
      <c r="Q102" s="1812"/>
      <c r="R102" s="442"/>
      <c r="S102" s="445"/>
      <c r="T102" s="443"/>
      <c r="U102" s="575"/>
    </row>
    <row r="103" spans="1:23" s="9" customFormat="1" ht="49.5" customHeight="1" x14ac:dyDescent="0.2">
      <c r="A103" s="1459"/>
      <c r="B103" s="1486"/>
      <c r="C103" s="1461"/>
      <c r="D103" s="481" t="s">
        <v>77</v>
      </c>
      <c r="E103" s="241"/>
      <c r="F103" s="1494"/>
      <c r="G103" s="741"/>
      <c r="H103" s="658"/>
      <c r="I103" s="378"/>
      <c r="J103" s="377"/>
      <c r="K103" s="329"/>
      <c r="L103" s="378"/>
      <c r="M103" s="329"/>
      <c r="N103" s="658"/>
      <c r="O103" s="378"/>
      <c r="P103" s="377"/>
      <c r="Q103" s="1813"/>
      <c r="R103" s="431"/>
      <c r="S103" s="634"/>
      <c r="T103" s="1545"/>
      <c r="U103" s="653"/>
      <c r="W103" s="1"/>
    </row>
    <row r="104" spans="1:23" ht="16.5" customHeight="1" thickBot="1" x14ac:dyDescent="0.25">
      <c r="A104" s="68"/>
      <c r="B104" s="1475"/>
      <c r="C104" s="95"/>
      <c r="D104" s="223"/>
      <c r="E104" s="781"/>
      <c r="F104" s="95"/>
      <c r="G104" s="89" t="s">
        <v>6</v>
      </c>
      <c r="H104" s="172">
        <f>SUM(H100:H103)</f>
        <v>28</v>
      </c>
      <c r="I104" s="174">
        <f>SUM(I100:I103)</f>
        <v>28</v>
      </c>
      <c r="J104" s="204">
        <f>SUM(J100:J103)</f>
        <v>0</v>
      </c>
      <c r="K104" s="172">
        <f t="shared" ref="K104:L104" si="14">SUM(K100:K103)</f>
        <v>28</v>
      </c>
      <c r="L104" s="174">
        <f t="shared" si="14"/>
        <v>28</v>
      </c>
      <c r="M104" s="204">
        <f t="shared" ref="M104:P104" si="15">SUM(M100:M103)</f>
        <v>0</v>
      </c>
      <c r="N104" s="172">
        <f t="shared" ref="N104:O104" si="16">SUM(N100:N103)</f>
        <v>28</v>
      </c>
      <c r="O104" s="174">
        <f t="shared" si="16"/>
        <v>28</v>
      </c>
      <c r="P104" s="204">
        <f t="shared" si="15"/>
        <v>0</v>
      </c>
      <c r="Q104" s="757"/>
      <c r="R104" s="178"/>
      <c r="S104" s="636"/>
      <c r="T104" s="177"/>
      <c r="U104" s="534"/>
    </row>
    <row r="105" spans="1:23" ht="14.25" customHeight="1" thickBot="1" x14ac:dyDescent="0.25">
      <c r="A105" s="78" t="s">
        <v>5</v>
      </c>
      <c r="B105" s="260" t="s">
        <v>5</v>
      </c>
      <c r="C105" s="1773" t="s">
        <v>8</v>
      </c>
      <c r="D105" s="1732"/>
      <c r="E105" s="1732"/>
      <c r="F105" s="1732"/>
      <c r="G105" s="1733"/>
      <c r="H105" s="331">
        <f t="shared" ref="H105:P105" si="17">H104+H99+H94+H82+H72+H57+H41</f>
        <v>10120</v>
      </c>
      <c r="I105" s="79">
        <f t="shared" si="17"/>
        <v>10120</v>
      </c>
      <c r="J105" s="1535">
        <f t="shared" si="17"/>
        <v>0</v>
      </c>
      <c r="K105" s="331">
        <f t="shared" si="17"/>
        <v>20747.5</v>
      </c>
      <c r="L105" s="79">
        <f t="shared" si="17"/>
        <v>20747.5</v>
      </c>
      <c r="M105" s="1535">
        <f t="shared" si="17"/>
        <v>0</v>
      </c>
      <c r="N105" s="331">
        <f t="shared" si="17"/>
        <v>15679.6</v>
      </c>
      <c r="O105" s="79">
        <f t="shared" si="17"/>
        <v>15679.6</v>
      </c>
      <c r="P105" s="1535">
        <f t="shared" si="17"/>
        <v>0</v>
      </c>
      <c r="Q105" s="1455"/>
      <c r="R105" s="1497"/>
      <c r="S105" s="1497"/>
      <c r="T105" s="1455"/>
      <c r="U105" s="1456"/>
    </row>
    <row r="106" spans="1:23" ht="14.25" customHeight="1" thickBot="1" x14ac:dyDescent="0.25">
      <c r="A106" s="78" t="s">
        <v>5</v>
      </c>
      <c r="B106" s="260" t="s">
        <v>7</v>
      </c>
      <c r="C106" s="1799" t="s">
        <v>32</v>
      </c>
      <c r="D106" s="1799"/>
      <c r="E106" s="1799"/>
      <c r="F106" s="1799"/>
      <c r="G106" s="1799"/>
      <c r="H106" s="1800"/>
      <c r="I106" s="1800"/>
      <c r="J106" s="1800"/>
      <c r="K106" s="1800"/>
      <c r="L106" s="1800"/>
      <c r="M106" s="1800"/>
      <c r="N106" s="1800"/>
      <c r="O106" s="1800"/>
      <c r="P106" s="1800"/>
      <c r="Q106" s="1799"/>
      <c r="R106" s="1736"/>
      <c r="S106" s="1736"/>
      <c r="T106" s="1736"/>
      <c r="U106" s="1801"/>
    </row>
    <row r="107" spans="1:23" ht="14.1" customHeight="1" x14ac:dyDescent="0.2">
      <c r="A107" s="1473" t="s">
        <v>5</v>
      </c>
      <c r="B107" s="259" t="s">
        <v>7</v>
      </c>
      <c r="C107" s="1520" t="s">
        <v>5</v>
      </c>
      <c r="D107" s="210" t="s">
        <v>56</v>
      </c>
      <c r="E107" s="1814" t="s">
        <v>114</v>
      </c>
      <c r="F107" s="1476">
        <v>6</v>
      </c>
      <c r="G107" s="176" t="s">
        <v>25</v>
      </c>
      <c r="H107" s="206">
        <v>5098.3</v>
      </c>
      <c r="I107" s="173">
        <v>5098.3</v>
      </c>
      <c r="J107" s="207"/>
      <c r="K107" s="206">
        <f>5248-99+5</f>
        <v>5154</v>
      </c>
      <c r="L107" s="173">
        <f>5248-99+5</f>
        <v>5154</v>
      </c>
      <c r="M107" s="207"/>
      <c r="N107" s="206">
        <f>5245.4+5</f>
        <v>5250.4</v>
      </c>
      <c r="O107" s="173">
        <f>5245.4+5</f>
        <v>5250.4</v>
      </c>
      <c r="P107" s="207"/>
      <c r="Q107" s="1348"/>
      <c r="R107" s="1351"/>
      <c r="S107" s="1352"/>
      <c r="T107" s="1565"/>
      <c r="U107" s="1353"/>
    </row>
    <row r="108" spans="1:23" ht="14.1" customHeight="1" x14ac:dyDescent="0.2">
      <c r="A108" s="1459"/>
      <c r="B108" s="1486"/>
      <c r="C108" s="1461"/>
      <c r="D108" s="339"/>
      <c r="E108" s="1701"/>
      <c r="F108" s="1478"/>
      <c r="G108" s="83" t="s">
        <v>68</v>
      </c>
      <c r="H108" s="83">
        <v>198.7</v>
      </c>
      <c r="I108" s="215">
        <v>198.7</v>
      </c>
      <c r="J108" s="99"/>
      <c r="K108" s="83">
        <v>295.7</v>
      </c>
      <c r="L108" s="215">
        <v>295.7</v>
      </c>
      <c r="M108" s="99"/>
      <c r="N108" s="83">
        <v>107</v>
      </c>
      <c r="O108" s="215">
        <v>107</v>
      </c>
      <c r="P108" s="99"/>
      <c r="Q108" s="166"/>
      <c r="R108" s="164"/>
      <c r="S108" s="513"/>
      <c r="T108" s="491"/>
      <c r="U108" s="537"/>
    </row>
    <row r="109" spans="1:23" ht="14.1" customHeight="1" x14ac:dyDescent="0.2">
      <c r="A109" s="1459"/>
      <c r="B109" s="1486"/>
      <c r="C109" s="1461"/>
      <c r="D109" s="340"/>
      <c r="E109" s="1815"/>
      <c r="F109" s="1514"/>
      <c r="G109" s="86" t="s">
        <v>75</v>
      </c>
      <c r="H109" s="86">
        <f>350+55</f>
        <v>405</v>
      </c>
      <c r="I109" s="42">
        <f>350+55</f>
        <v>405</v>
      </c>
      <c r="J109" s="147"/>
      <c r="K109" s="86"/>
      <c r="L109" s="42"/>
      <c r="M109" s="147"/>
      <c r="N109" s="86"/>
      <c r="O109" s="42"/>
      <c r="P109" s="147"/>
      <c r="Q109" s="192"/>
      <c r="R109" s="191"/>
      <c r="S109" s="514"/>
      <c r="T109" s="1566"/>
      <c r="U109" s="1354"/>
    </row>
    <row r="110" spans="1:23" ht="14.25" customHeight="1" x14ac:dyDescent="0.2">
      <c r="A110" s="1459"/>
      <c r="B110" s="1486"/>
      <c r="C110" s="1461"/>
      <c r="D110" s="1457" t="s">
        <v>52</v>
      </c>
      <c r="E110" s="681"/>
      <c r="F110" s="1467"/>
      <c r="G110" s="82"/>
      <c r="H110" s="1356"/>
      <c r="I110" s="1551"/>
      <c r="J110" s="1548"/>
      <c r="K110" s="1356"/>
      <c r="L110" s="1551"/>
      <c r="M110" s="1552"/>
      <c r="N110" s="1356"/>
      <c r="O110" s="1551"/>
      <c r="P110" s="1552"/>
      <c r="Q110" s="1350"/>
      <c r="R110" s="164"/>
      <c r="S110" s="513"/>
      <c r="T110" s="491"/>
      <c r="U110" s="537"/>
    </row>
    <row r="111" spans="1:23" ht="15.75" customHeight="1" x14ac:dyDescent="0.2">
      <c r="A111" s="1459"/>
      <c r="B111" s="1486"/>
      <c r="C111" s="1461"/>
      <c r="D111" s="1802" t="s">
        <v>78</v>
      </c>
      <c r="E111" s="681"/>
      <c r="F111" s="1461"/>
      <c r="G111" s="83"/>
      <c r="H111" s="83"/>
      <c r="I111" s="215"/>
      <c r="J111" s="60"/>
      <c r="K111" s="83"/>
      <c r="L111" s="215"/>
      <c r="M111" s="118"/>
      <c r="N111" s="83"/>
      <c r="O111" s="215"/>
      <c r="P111" s="118"/>
      <c r="Q111" s="1496" t="s">
        <v>41</v>
      </c>
      <c r="R111" s="215">
        <v>6</v>
      </c>
      <c r="S111" s="215">
        <v>6</v>
      </c>
      <c r="T111" s="39">
        <v>6</v>
      </c>
      <c r="U111" s="40"/>
    </row>
    <row r="112" spans="1:23" ht="14.25" customHeight="1" x14ac:dyDescent="0.2">
      <c r="A112" s="1459"/>
      <c r="B112" s="1486"/>
      <c r="C112" s="1461"/>
      <c r="D112" s="1802"/>
      <c r="E112" s="1441"/>
      <c r="F112" s="1461"/>
      <c r="G112" s="83"/>
      <c r="H112" s="83"/>
      <c r="I112" s="215"/>
      <c r="J112" s="60"/>
      <c r="K112" s="83"/>
      <c r="L112" s="215"/>
      <c r="M112" s="118"/>
      <c r="N112" s="83"/>
      <c r="O112" s="215"/>
      <c r="P112" s="118"/>
      <c r="Q112" s="1522"/>
      <c r="R112" s="682"/>
      <c r="S112" s="310"/>
      <c r="T112" s="337"/>
      <c r="U112" s="1471"/>
    </row>
    <row r="113" spans="1:22" ht="19.5" customHeight="1" x14ac:dyDescent="0.2">
      <c r="A113" s="1459"/>
      <c r="B113" s="1486"/>
      <c r="C113" s="1461"/>
      <c r="D113" s="212" t="s">
        <v>79</v>
      </c>
      <c r="E113" s="1441"/>
      <c r="F113" s="1461"/>
      <c r="G113" s="83"/>
      <c r="H113" s="83"/>
      <c r="I113" s="215"/>
      <c r="J113" s="60"/>
      <c r="K113" s="83"/>
      <c r="L113" s="215"/>
      <c r="M113" s="118"/>
      <c r="N113" s="83"/>
      <c r="O113" s="215"/>
      <c r="P113" s="60"/>
      <c r="Q113" s="85" t="s">
        <v>145</v>
      </c>
      <c r="R113" s="34">
        <v>4</v>
      </c>
      <c r="S113" s="635">
        <v>4</v>
      </c>
      <c r="T113" s="635">
        <v>4</v>
      </c>
      <c r="U113" s="35"/>
    </row>
    <row r="114" spans="1:22" ht="26.25" customHeight="1" x14ac:dyDescent="0.2">
      <c r="A114" s="1459"/>
      <c r="B114" s="1486"/>
      <c r="C114" s="1461"/>
      <c r="D114" s="286" t="s">
        <v>80</v>
      </c>
      <c r="E114" s="1441"/>
      <c r="F114" s="1461"/>
      <c r="G114" s="82"/>
      <c r="H114" s="83"/>
      <c r="I114" s="215"/>
      <c r="J114" s="60"/>
      <c r="K114" s="83"/>
      <c r="L114" s="215"/>
      <c r="M114" s="118"/>
      <c r="N114" s="83"/>
      <c r="O114" s="215"/>
      <c r="P114" s="60"/>
      <c r="Q114" s="1522" t="s">
        <v>146</v>
      </c>
      <c r="R114" s="182">
        <v>24.8</v>
      </c>
      <c r="S114" s="422">
        <v>24.8</v>
      </c>
      <c r="T114" s="1567">
        <v>24.8</v>
      </c>
      <c r="U114" s="35"/>
    </row>
    <row r="115" spans="1:22" ht="21.75" customHeight="1" x14ac:dyDescent="0.2">
      <c r="A115" s="1459"/>
      <c r="B115" s="1486"/>
      <c r="C115" s="1461"/>
      <c r="D115" s="1803" t="s">
        <v>134</v>
      </c>
      <c r="E115" s="1441"/>
      <c r="F115" s="1461"/>
      <c r="G115" s="83"/>
      <c r="H115" s="83"/>
      <c r="I115" s="215"/>
      <c r="J115" s="60"/>
      <c r="K115" s="83"/>
      <c r="L115" s="215"/>
      <c r="M115" s="118"/>
      <c r="N115" s="83"/>
      <c r="O115" s="215"/>
      <c r="P115" s="118"/>
      <c r="Q115" s="1805" t="s">
        <v>337</v>
      </c>
      <c r="R115" s="508">
        <v>4</v>
      </c>
      <c r="S115" s="507">
        <v>3</v>
      </c>
      <c r="T115" s="508">
        <v>3</v>
      </c>
      <c r="U115" s="1471"/>
    </row>
    <row r="116" spans="1:22" ht="15.75" customHeight="1" x14ac:dyDescent="0.2">
      <c r="A116" s="1459"/>
      <c r="B116" s="1486"/>
      <c r="C116" s="1461"/>
      <c r="D116" s="1804"/>
      <c r="E116" s="681"/>
      <c r="F116" s="1461"/>
      <c r="G116" s="83"/>
      <c r="H116" s="83"/>
      <c r="I116" s="215"/>
      <c r="J116" s="60"/>
      <c r="K116" s="83"/>
      <c r="L116" s="215"/>
      <c r="M116" s="99"/>
      <c r="N116" s="83"/>
      <c r="O116" s="215"/>
      <c r="P116" s="99"/>
      <c r="Q116" s="1806"/>
      <c r="R116" s="47"/>
      <c r="S116" s="20"/>
      <c r="T116" s="1509"/>
      <c r="U116" s="1471"/>
    </row>
    <row r="117" spans="1:22" ht="14.25" customHeight="1" x14ac:dyDescent="0.2">
      <c r="A117" s="1459"/>
      <c r="B117" s="1486"/>
      <c r="C117" s="1461"/>
      <c r="D117" s="270" t="s">
        <v>163</v>
      </c>
      <c r="E117" s="681"/>
      <c r="F117" s="1461"/>
      <c r="G117" s="145"/>
      <c r="H117" s="139"/>
      <c r="I117" s="161"/>
      <c r="J117" s="1549"/>
      <c r="K117" s="139"/>
      <c r="L117" s="161"/>
      <c r="M117" s="398"/>
      <c r="N117" s="139"/>
      <c r="O117" s="161"/>
      <c r="P117" s="398"/>
      <c r="Q117" s="1496"/>
      <c r="R117" s="188"/>
      <c r="S117" s="491"/>
      <c r="T117" s="162"/>
      <c r="U117" s="537"/>
    </row>
    <row r="118" spans="1:22" ht="52.5" customHeight="1" x14ac:dyDescent="0.2">
      <c r="A118" s="1459"/>
      <c r="B118" s="1486"/>
      <c r="C118" s="1461"/>
      <c r="D118" s="271" t="s">
        <v>164</v>
      </c>
      <c r="E118" s="681"/>
      <c r="F118" s="1461"/>
      <c r="G118" s="83"/>
      <c r="H118" s="83"/>
      <c r="I118" s="215"/>
      <c r="J118" s="60"/>
      <c r="K118" s="83"/>
      <c r="L118" s="215"/>
      <c r="M118" s="118"/>
      <c r="N118" s="83"/>
      <c r="O118" s="215"/>
      <c r="P118" s="60"/>
      <c r="Q118" s="44" t="s">
        <v>159</v>
      </c>
      <c r="R118" s="308">
        <v>21</v>
      </c>
      <c r="S118" s="337">
        <v>21</v>
      </c>
      <c r="T118" s="337">
        <v>21</v>
      </c>
      <c r="U118" s="1471"/>
      <c r="V118" s="683"/>
    </row>
    <row r="119" spans="1:22" ht="22.5" customHeight="1" x14ac:dyDescent="0.2">
      <c r="A119" s="1459"/>
      <c r="B119" s="1486"/>
      <c r="C119" s="1461"/>
      <c r="D119" s="1793" t="s">
        <v>165</v>
      </c>
      <c r="E119" s="681"/>
      <c r="F119" s="1461"/>
      <c r="G119" s="83"/>
      <c r="H119" s="83"/>
      <c r="I119" s="215"/>
      <c r="J119" s="60"/>
      <c r="K119" s="83"/>
      <c r="L119" s="215"/>
      <c r="M119" s="118"/>
      <c r="N119" s="83"/>
      <c r="O119" s="215"/>
      <c r="P119" s="118"/>
      <c r="Q119" s="1795" t="s">
        <v>225</v>
      </c>
      <c r="R119" s="307"/>
      <c r="S119" s="1509"/>
      <c r="T119" s="1509">
        <v>17</v>
      </c>
      <c r="U119" s="1471"/>
    </row>
    <row r="120" spans="1:22" ht="21" customHeight="1" x14ac:dyDescent="0.2">
      <c r="A120" s="1459"/>
      <c r="B120" s="1486"/>
      <c r="C120" s="1461"/>
      <c r="D120" s="1794"/>
      <c r="E120" s="681"/>
      <c r="F120" s="1461"/>
      <c r="G120" s="86"/>
      <c r="H120" s="86"/>
      <c r="I120" s="42"/>
      <c r="J120" s="167"/>
      <c r="K120" s="86"/>
      <c r="L120" s="42"/>
      <c r="M120" s="119"/>
      <c r="N120" s="86"/>
      <c r="O120" s="42"/>
      <c r="P120" s="119"/>
      <c r="Q120" s="1796"/>
      <c r="R120" s="305"/>
      <c r="S120" s="47"/>
      <c r="T120" s="47"/>
      <c r="U120" s="1471"/>
    </row>
    <row r="121" spans="1:22" ht="18" customHeight="1" x14ac:dyDescent="0.2">
      <c r="A121" s="1632"/>
      <c r="B121" s="1633"/>
      <c r="C121" s="1634"/>
      <c r="D121" s="1729" t="s">
        <v>42</v>
      </c>
      <c r="E121" s="1781"/>
      <c r="F121" s="1634"/>
      <c r="G121" s="83"/>
      <c r="H121" s="83"/>
      <c r="I121" s="215"/>
      <c r="J121" s="60"/>
      <c r="K121" s="83"/>
      <c r="L121" s="215"/>
      <c r="M121" s="118"/>
      <c r="N121" s="83"/>
      <c r="O121" s="215"/>
      <c r="P121" s="118"/>
      <c r="Q121" s="1797" t="s">
        <v>54</v>
      </c>
      <c r="R121" s="1785">
        <v>7</v>
      </c>
      <c r="S121" s="1787">
        <v>7</v>
      </c>
      <c r="T121" s="1787">
        <v>7</v>
      </c>
      <c r="U121" s="1916"/>
    </row>
    <row r="122" spans="1:22" ht="15" customHeight="1" x14ac:dyDescent="0.2">
      <c r="A122" s="1632"/>
      <c r="B122" s="1633"/>
      <c r="C122" s="1634"/>
      <c r="D122" s="1783"/>
      <c r="E122" s="1781"/>
      <c r="F122" s="1634"/>
      <c r="G122" s="86"/>
      <c r="H122" s="86"/>
      <c r="I122" s="42"/>
      <c r="J122" s="167"/>
      <c r="K122" s="86"/>
      <c r="L122" s="42"/>
      <c r="M122" s="119"/>
      <c r="N122" s="86"/>
      <c r="O122" s="42"/>
      <c r="P122" s="119"/>
      <c r="Q122" s="1798"/>
      <c r="R122" s="1786"/>
      <c r="S122" s="1788"/>
      <c r="T122" s="1788"/>
      <c r="U122" s="1916"/>
    </row>
    <row r="123" spans="1:22" ht="15" customHeight="1" x14ac:dyDescent="0.2">
      <c r="A123" s="1632"/>
      <c r="B123" s="1791"/>
      <c r="C123" s="1634"/>
      <c r="D123" s="1759" t="s">
        <v>328</v>
      </c>
      <c r="E123" s="1792"/>
      <c r="F123" s="1728"/>
      <c r="G123" s="87"/>
      <c r="H123" s="87"/>
      <c r="I123" s="49"/>
      <c r="J123" s="187"/>
      <c r="K123" s="87"/>
      <c r="L123" s="49"/>
      <c r="M123" s="120"/>
      <c r="N123" s="87"/>
      <c r="O123" s="49"/>
      <c r="P123" s="187"/>
      <c r="Q123" s="1498" t="s">
        <v>191</v>
      </c>
      <c r="R123" s="1454"/>
      <c r="S123" s="1481"/>
      <c r="T123" s="1481"/>
      <c r="U123" s="1471"/>
    </row>
    <row r="124" spans="1:22" ht="15" customHeight="1" x14ac:dyDescent="0.2">
      <c r="A124" s="1632"/>
      <c r="B124" s="1791"/>
      <c r="C124" s="1634"/>
      <c r="D124" s="1669"/>
      <c r="E124" s="1792"/>
      <c r="F124" s="1728"/>
      <c r="G124" s="83"/>
      <c r="H124" s="83"/>
      <c r="I124" s="215"/>
      <c r="J124" s="60"/>
      <c r="K124" s="83"/>
      <c r="L124" s="215"/>
      <c r="M124" s="118"/>
      <c r="N124" s="83"/>
      <c r="O124" s="215"/>
      <c r="P124" s="60"/>
      <c r="Q124" s="1496" t="s">
        <v>355</v>
      </c>
      <c r="R124" s="300">
        <v>1</v>
      </c>
      <c r="S124" s="1509">
        <v>1</v>
      </c>
      <c r="T124" s="1509">
        <v>1</v>
      </c>
      <c r="U124" s="1471"/>
    </row>
    <row r="125" spans="1:22" ht="25.5" customHeight="1" x14ac:dyDescent="0.2">
      <c r="A125" s="1632"/>
      <c r="B125" s="1791"/>
      <c r="C125" s="1634"/>
      <c r="D125" s="1669"/>
      <c r="E125" s="1792"/>
      <c r="F125" s="1728"/>
      <c r="G125" s="83"/>
      <c r="H125" s="83"/>
      <c r="I125" s="215"/>
      <c r="J125" s="60"/>
      <c r="K125" s="83"/>
      <c r="L125" s="215"/>
      <c r="M125" s="99"/>
      <c r="N125" s="83"/>
      <c r="O125" s="215"/>
      <c r="P125" s="60"/>
      <c r="Q125" s="1496" t="s">
        <v>354</v>
      </c>
      <c r="R125" s="300">
        <v>1</v>
      </c>
      <c r="S125" s="1509">
        <v>1</v>
      </c>
      <c r="T125" s="1509">
        <v>1</v>
      </c>
      <c r="U125" s="1471"/>
    </row>
    <row r="126" spans="1:22" ht="12.75" customHeight="1" x14ac:dyDescent="0.2">
      <c r="A126" s="1459"/>
      <c r="B126" s="1486"/>
      <c r="C126" s="1461"/>
      <c r="D126" s="1457"/>
      <c r="E126" s="1441"/>
      <c r="F126" s="1478"/>
      <c r="G126" s="83"/>
      <c r="H126" s="83"/>
      <c r="I126" s="215"/>
      <c r="J126" s="60"/>
      <c r="K126" s="99"/>
      <c r="L126" s="215"/>
      <c r="M126" s="99"/>
      <c r="N126" s="83"/>
      <c r="O126" s="215"/>
      <c r="P126" s="60"/>
      <c r="Q126" s="1496" t="s">
        <v>276</v>
      </c>
      <c r="R126" s="300">
        <v>1</v>
      </c>
      <c r="S126" s="1509">
        <v>1</v>
      </c>
      <c r="T126" s="1509"/>
      <c r="U126" s="1471"/>
    </row>
    <row r="127" spans="1:22" ht="15" customHeight="1" x14ac:dyDescent="0.2">
      <c r="A127" s="1459"/>
      <c r="B127" s="1486"/>
      <c r="C127" s="1461"/>
      <c r="D127" s="1457"/>
      <c r="E127" s="681"/>
      <c r="F127" s="1478"/>
      <c r="G127" s="83"/>
      <c r="H127" s="83"/>
      <c r="I127" s="215"/>
      <c r="J127" s="60"/>
      <c r="K127" s="99"/>
      <c r="L127" s="215"/>
      <c r="M127" s="99"/>
      <c r="N127" s="83"/>
      <c r="O127" s="215"/>
      <c r="P127" s="60"/>
      <c r="Q127" s="1496" t="s">
        <v>275</v>
      </c>
      <c r="R127" s="300">
        <v>1</v>
      </c>
      <c r="S127" s="1509">
        <v>1</v>
      </c>
      <c r="T127" s="1509">
        <v>1</v>
      </c>
      <c r="U127" s="1471"/>
    </row>
    <row r="128" spans="1:22" ht="7.5" customHeight="1" x14ac:dyDescent="0.2">
      <c r="A128" s="1459"/>
      <c r="B128" s="1486"/>
      <c r="C128" s="1461"/>
      <c r="D128" s="1457"/>
      <c r="E128" s="1441"/>
      <c r="F128" s="1478"/>
      <c r="G128" s="83"/>
      <c r="H128" s="83"/>
      <c r="I128" s="215"/>
      <c r="J128" s="60"/>
      <c r="K128" s="99"/>
      <c r="L128" s="215"/>
      <c r="M128" s="99"/>
      <c r="N128" s="83"/>
      <c r="O128" s="215"/>
      <c r="P128" s="60"/>
      <c r="Q128" s="1496"/>
      <c r="R128" s="300"/>
      <c r="S128" s="1509"/>
      <c r="T128" s="1509"/>
      <c r="U128" s="1471"/>
    </row>
    <row r="129" spans="1:25" ht="22.5" customHeight="1" x14ac:dyDescent="0.2">
      <c r="A129" s="1632"/>
      <c r="B129" s="1791"/>
      <c r="C129" s="1634"/>
      <c r="D129" s="1729" t="s">
        <v>132</v>
      </c>
      <c r="E129" s="1780" t="s">
        <v>335</v>
      </c>
      <c r="F129" s="1728"/>
      <c r="G129" s="87"/>
      <c r="H129" s="87"/>
      <c r="I129" s="49"/>
      <c r="J129" s="187"/>
      <c r="K129" s="121"/>
      <c r="L129" s="49"/>
      <c r="M129" s="121"/>
      <c r="N129" s="87"/>
      <c r="O129" s="49"/>
      <c r="P129" s="187"/>
      <c r="Q129" s="1437" t="s">
        <v>277</v>
      </c>
      <c r="R129" s="911">
        <v>205</v>
      </c>
      <c r="S129" s="665"/>
      <c r="T129" s="665"/>
      <c r="U129" s="1568"/>
    </row>
    <row r="130" spans="1:25" ht="26.25" customHeight="1" x14ac:dyDescent="0.2">
      <c r="A130" s="1632"/>
      <c r="B130" s="1791"/>
      <c r="C130" s="1634"/>
      <c r="D130" s="1783"/>
      <c r="E130" s="1784"/>
      <c r="F130" s="1728"/>
      <c r="G130" s="86"/>
      <c r="H130" s="86"/>
      <c r="I130" s="42"/>
      <c r="J130" s="167"/>
      <c r="K130" s="86"/>
      <c r="L130" s="42"/>
      <c r="M130" s="147"/>
      <c r="N130" s="86"/>
      <c r="O130" s="42"/>
      <c r="P130" s="167"/>
      <c r="Q130" s="1499" t="s">
        <v>278</v>
      </c>
      <c r="R130" s="1340">
        <f>65+18</f>
        <v>83</v>
      </c>
      <c r="S130" s="1341">
        <v>100</v>
      </c>
      <c r="T130" s="666"/>
      <c r="U130" s="684"/>
    </row>
    <row r="131" spans="1:25" ht="19.5" customHeight="1" x14ac:dyDescent="0.2">
      <c r="A131" s="1490"/>
      <c r="B131" s="1486"/>
      <c r="C131" s="209"/>
      <c r="D131" s="1669" t="s">
        <v>208</v>
      </c>
      <c r="E131" s="1479"/>
      <c r="F131" s="1478"/>
      <c r="G131" s="62"/>
      <c r="H131" s="83"/>
      <c r="I131" s="215"/>
      <c r="J131" s="60"/>
      <c r="K131" s="83"/>
      <c r="L131" s="215"/>
      <c r="M131" s="99"/>
      <c r="N131" s="83"/>
      <c r="O131" s="215"/>
      <c r="P131" s="60"/>
      <c r="Q131" s="1458" t="s">
        <v>209</v>
      </c>
      <c r="R131" s="245">
        <v>1</v>
      </c>
      <c r="S131" s="428"/>
      <c r="T131" s="754"/>
      <c r="U131" s="1439"/>
      <c r="W131" s="50"/>
      <c r="X131" s="50"/>
      <c r="Y131" s="50"/>
    </row>
    <row r="132" spans="1:25" ht="15" customHeight="1" x14ac:dyDescent="0.2">
      <c r="A132" s="1490"/>
      <c r="B132" s="1486"/>
      <c r="C132" s="209"/>
      <c r="D132" s="1669"/>
      <c r="E132" s="1479"/>
      <c r="F132" s="1478"/>
      <c r="G132" s="1182"/>
      <c r="H132" s="86"/>
      <c r="I132" s="42"/>
      <c r="J132" s="167"/>
      <c r="K132" s="86"/>
      <c r="L132" s="42"/>
      <c r="M132" s="119"/>
      <c r="N132" s="86"/>
      <c r="O132" s="42"/>
      <c r="P132" s="119"/>
      <c r="Q132" s="1458"/>
      <c r="R132" s="316"/>
      <c r="S132" s="300"/>
      <c r="T132" s="1509"/>
      <c r="U132" s="1471"/>
    </row>
    <row r="133" spans="1:25" ht="16.5" customHeight="1" thickBot="1" x14ac:dyDescent="0.25">
      <c r="A133" s="68"/>
      <c r="B133" s="1475"/>
      <c r="C133" s="95"/>
      <c r="D133" s="223"/>
      <c r="E133" s="781"/>
      <c r="F133" s="95"/>
      <c r="G133" s="89" t="s">
        <v>6</v>
      </c>
      <c r="H133" s="172">
        <f>SUM(H107:H132)</f>
        <v>5702</v>
      </c>
      <c r="I133" s="174">
        <f>SUM(I107:I132)</f>
        <v>5702</v>
      </c>
      <c r="J133" s="204">
        <f>SUM(J107:J132)</f>
        <v>0</v>
      </c>
      <c r="K133" s="172">
        <f t="shared" ref="K133:L133" si="18">SUM(K107:K132)</f>
        <v>5449.7</v>
      </c>
      <c r="L133" s="174">
        <f t="shared" si="18"/>
        <v>5449.7</v>
      </c>
      <c r="M133" s="204">
        <f t="shared" ref="M133:P133" si="19">SUM(M107:M132)</f>
        <v>0</v>
      </c>
      <c r="N133" s="172">
        <f t="shared" ref="N133:O133" si="20">SUM(N107:N132)</f>
        <v>5357.4</v>
      </c>
      <c r="O133" s="174">
        <f t="shared" si="20"/>
        <v>5357.4</v>
      </c>
      <c r="P133" s="204">
        <f t="shared" si="19"/>
        <v>0</v>
      </c>
      <c r="Q133" s="757"/>
      <c r="R133" s="178"/>
      <c r="S133" s="636"/>
      <c r="T133" s="177"/>
      <c r="U133" s="40"/>
    </row>
    <row r="134" spans="1:25" ht="27.75" customHeight="1" x14ac:dyDescent="0.2">
      <c r="A134" s="1483" t="s">
        <v>5</v>
      </c>
      <c r="B134" s="1484" t="s">
        <v>7</v>
      </c>
      <c r="C134" s="1476" t="s">
        <v>7</v>
      </c>
      <c r="D134" s="1032" t="s">
        <v>297</v>
      </c>
      <c r="E134" s="1020"/>
      <c r="F134" s="1024"/>
      <c r="G134" s="71"/>
      <c r="H134" s="80"/>
      <c r="I134" s="180"/>
      <c r="J134" s="1550"/>
      <c r="K134" s="1026"/>
      <c r="L134" s="1553"/>
      <c r="M134" s="1026"/>
      <c r="N134" s="71"/>
      <c r="O134" s="1553"/>
      <c r="P134" s="1554"/>
      <c r="Q134" s="1027"/>
      <c r="R134" s="1029"/>
      <c r="S134" s="1030"/>
      <c r="T134" s="1030"/>
      <c r="U134" s="332"/>
    </row>
    <row r="135" spans="1:25" ht="14.25" customHeight="1" x14ac:dyDescent="0.2">
      <c r="A135" s="1490"/>
      <c r="B135" s="1486"/>
      <c r="C135" s="209"/>
      <c r="D135" s="1729" t="s">
        <v>122</v>
      </c>
      <c r="E135" s="1780" t="s">
        <v>252</v>
      </c>
      <c r="F135" s="1464">
        <v>6</v>
      </c>
      <c r="G135" s="87" t="s">
        <v>68</v>
      </c>
      <c r="H135" s="87">
        <f>33.4+48</f>
        <v>81.400000000000006</v>
      </c>
      <c r="I135" s="49">
        <f>33.4+48</f>
        <v>81.400000000000006</v>
      </c>
      <c r="J135" s="187"/>
      <c r="K135" s="87">
        <v>80</v>
      </c>
      <c r="L135" s="49">
        <v>80</v>
      </c>
      <c r="M135" s="187"/>
      <c r="N135" s="87"/>
      <c r="O135" s="49"/>
      <c r="P135" s="187"/>
      <c r="Q135" s="1496" t="s">
        <v>211</v>
      </c>
      <c r="R135" s="1524">
        <v>8</v>
      </c>
      <c r="S135" s="1524">
        <v>5</v>
      </c>
      <c r="T135" s="1481"/>
      <c r="U135" s="1471"/>
    </row>
    <row r="136" spans="1:25" ht="13.5" customHeight="1" x14ac:dyDescent="0.2">
      <c r="A136" s="1490"/>
      <c r="B136" s="1486"/>
      <c r="C136" s="209"/>
      <c r="D136" s="1714"/>
      <c r="E136" s="1781"/>
      <c r="F136" s="1464"/>
      <c r="G136" s="83" t="s">
        <v>75</v>
      </c>
      <c r="H136" s="83">
        <v>6.8</v>
      </c>
      <c r="I136" s="215">
        <v>6.8</v>
      </c>
      <c r="J136" s="60"/>
      <c r="K136" s="83"/>
      <c r="L136" s="215"/>
      <c r="M136" s="60"/>
      <c r="N136" s="83"/>
      <c r="O136" s="215"/>
      <c r="P136" s="60"/>
      <c r="Q136" s="1522"/>
      <c r="R136" s="682"/>
      <c r="S136" s="682"/>
      <c r="T136" s="337"/>
      <c r="U136" s="1471"/>
    </row>
    <row r="137" spans="1:25" ht="30" customHeight="1" x14ac:dyDescent="0.2">
      <c r="A137" s="1490"/>
      <c r="B137" s="1486"/>
      <c r="C137" s="209"/>
      <c r="D137" s="1782"/>
      <c r="E137" s="111"/>
      <c r="F137" s="1514"/>
      <c r="G137" s="86"/>
      <c r="H137" s="86"/>
      <c r="I137" s="42"/>
      <c r="J137" s="167"/>
      <c r="K137" s="86"/>
      <c r="L137" s="42"/>
      <c r="M137" s="167"/>
      <c r="N137" s="86"/>
      <c r="O137" s="42"/>
      <c r="P137" s="167"/>
      <c r="Q137" s="200" t="s">
        <v>123</v>
      </c>
      <c r="R137" s="20">
        <v>8</v>
      </c>
      <c r="S137" s="301">
        <v>5</v>
      </c>
      <c r="T137" s="47"/>
      <c r="U137" s="1471"/>
    </row>
    <row r="138" spans="1:25" ht="16.5" customHeight="1" x14ac:dyDescent="0.2">
      <c r="A138" s="317"/>
      <c r="B138" s="1485"/>
      <c r="C138" s="1464"/>
      <c r="D138" s="1729" t="s">
        <v>298</v>
      </c>
      <c r="E138" s="1441" t="s">
        <v>47</v>
      </c>
      <c r="F138" s="1478" t="s">
        <v>43</v>
      </c>
      <c r="G138" s="590" t="s">
        <v>68</v>
      </c>
      <c r="H138" s="83">
        <v>462.4</v>
      </c>
      <c r="I138" s="215">
        <v>462.4</v>
      </c>
      <c r="J138" s="60"/>
      <c r="K138" s="99">
        <v>160</v>
      </c>
      <c r="L138" s="215">
        <v>160</v>
      </c>
      <c r="M138" s="99"/>
      <c r="N138" s="83">
        <v>354.4</v>
      </c>
      <c r="O138" s="215">
        <v>354.4</v>
      </c>
      <c r="P138" s="60"/>
      <c r="Q138" s="1522" t="s">
        <v>270</v>
      </c>
      <c r="R138" s="838" t="s">
        <v>269</v>
      </c>
      <c r="S138" s="649"/>
      <c r="T138" s="649"/>
      <c r="U138" s="332"/>
    </row>
    <row r="139" spans="1:25" ht="15" customHeight="1" x14ac:dyDescent="0.2">
      <c r="A139" s="317"/>
      <c r="B139" s="1485"/>
      <c r="C139" s="1464"/>
      <c r="D139" s="1730"/>
      <c r="E139" s="1441"/>
      <c r="F139" s="1478"/>
      <c r="G139" s="590" t="s">
        <v>60</v>
      </c>
      <c r="H139" s="83">
        <v>0.4</v>
      </c>
      <c r="I139" s="215">
        <v>0.4</v>
      </c>
      <c r="J139" s="60"/>
      <c r="K139" s="99"/>
      <c r="L139" s="215"/>
      <c r="M139" s="99"/>
      <c r="N139" s="83"/>
      <c r="O139" s="215"/>
      <c r="P139" s="60"/>
      <c r="Q139" s="1472" t="s">
        <v>227</v>
      </c>
      <c r="R139" s="502" t="s">
        <v>55</v>
      </c>
      <c r="S139" s="188"/>
      <c r="T139" s="188"/>
      <c r="U139" s="332"/>
    </row>
    <row r="140" spans="1:25" ht="15.75" customHeight="1" x14ac:dyDescent="0.2">
      <c r="A140" s="317"/>
      <c r="B140" s="1485"/>
      <c r="C140" s="1464"/>
      <c r="D140" s="1730"/>
      <c r="E140" s="1441"/>
      <c r="F140" s="1478"/>
      <c r="G140" s="590"/>
      <c r="H140" s="83"/>
      <c r="I140" s="215"/>
      <c r="J140" s="60"/>
      <c r="K140" s="99"/>
      <c r="L140" s="215"/>
      <c r="M140" s="99"/>
      <c r="N140" s="83"/>
      <c r="O140" s="215"/>
      <c r="P140" s="60"/>
      <c r="Q140" s="659" t="s">
        <v>271</v>
      </c>
      <c r="R140" s="502"/>
      <c r="S140" s="188"/>
      <c r="T140" s="188" t="s">
        <v>200</v>
      </c>
      <c r="U140" s="332"/>
    </row>
    <row r="141" spans="1:25" ht="40.5" customHeight="1" x14ac:dyDescent="0.2">
      <c r="A141" s="317"/>
      <c r="B141" s="1485"/>
      <c r="C141" s="1464"/>
      <c r="D141" s="1468"/>
      <c r="E141" s="1441"/>
      <c r="F141" s="1478"/>
      <c r="G141" s="590"/>
      <c r="H141" s="83"/>
      <c r="I141" s="215"/>
      <c r="J141" s="60"/>
      <c r="K141" s="99"/>
      <c r="L141" s="215"/>
      <c r="M141" s="99"/>
      <c r="N141" s="83"/>
      <c r="O141" s="215"/>
      <c r="P141" s="60"/>
      <c r="Q141" s="1443" t="s">
        <v>344</v>
      </c>
      <c r="R141" s="1059"/>
      <c r="S141" s="438" t="s">
        <v>55</v>
      </c>
      <c r="T141" s="438"/>
      <c r="U141" s="332"/>
    </row>
    <row r="142" spans="1:25" ht="16.5" customHeight="1" thickBot="1" x14ac:dyDescent="0.25">
      <c r="A142" s="68"/>
      <c r="B142" s="1475"/>
      <c r="C142" s="95"/>
      <c r="D142" s="223"/>
      <c r="E142" s="781"/>
      <c r="F142" s="95"/>
      <c r="G142" s="89" t="s">
        <v>6</v>
      </c>
      <c r="H142" s="172">
        <f>SUM(H135:H141)</f>
        <v>551</v>
      </c>
      <c r="I142" s="174">
        <f>SUM(I135:I141)</f>
        <v>551</v>
      </c>
      <c r="J142" s="204">
        <f>SUM(J135:J141)</f>
        <v>0</v>
      </c>
      <c r="K142" s="172">
        <f t="shared" ref="K142:L142" si="21">SUM(K135:K141)</f>
        <v>240</v>
      </c>
      <c r="L142" s="174">
        <f t="shared" si="21"/>
        <v>240</v>
      </c>
      <c r="M142" s="204">
        <f t="shared" ref="M142:P142" si="22">SUM(M135:M141)</f>
        <v>0</v>
      </c>
      <c r="N142" s="172">
        <f t="shared" ref="N142:O142" si="23">SUM(N135:N141)</f>
        <v>354.4</v>
      </c>
      <c r="O142" s="174">
        <f t="shared" si="23"/>
        <v>354.4</v>
      </c>
      <c r="P142" s="204">
        <f t="shared" si="22"/>
        <v>0</v>
      </c>
      <c r="Q142" s="757"/>
      <c r="R142" s="178"/>
      <c r="S142" s="636"/>
      <c r="T142" s="177"/>
      <c r="U142" s="40"/>
    </row>
    <row r="143" spans="1:25" ht="14.25" customHeight="1" x14ac:dyDescent="0.2">
      <c r="A143" s="1774" t="s">
        <v>5</v>
      </c>
      <c r="B143" s="1776" t="s">
        <v>7</v>
      </c>
      <c r="C143" s="1665" t="s">
        <v>28</v>
      </c>
      <c r="D143" s="1779" t="s">
        <v>121</v>
      </c>
      <c r="E143" s="779" t="s">
        <v>47</v>
      </c>
      <c r="F143" s="1665">
        <v>5</v>
      </c>
      <c r="G143" s="62" t="s">
        <v>60</v>
      </c>
      <c r="H143" s="83">
        <v>113</v>
      </c>
      <c r="I143" s="215">
        <v>113</v>
      </c>
      <c r="J143" s="60"/>
      <c r="K143" s="99"/>
      <c r="L143" s="215"/>
      <c r="M143" s="99"/>
      <c r="N143" s="206"/>
      <c r="O143" s="173"/>
      <c r="P143" s="335"/>
      <c r="Q143" s="1770" t="s">
        <v>228</v>
      </c>
      <c r="R143" s="262"/>
      <c r="S143" s="736">
        <v>17</v>
      </c>
      <c r="T143" s="596"/>
      <c r="U143" s="1471"/>
    </row>
    <row r="144" spans="1:25" ht="14.25" customHeight="1" x14ac:dyDescent="0.2">
      <c r="A144" s="1651"/>
      <c r="B144" s="1777"/>
      <c r="C144" s="1666"/>
      <c r="D144" s="1714"/>
      <c r="E144" s="780" t="s">
        <v>253</v>
      </c>
      <c r="F144" s="1666"/>
      <c r="G144" s="62" t="s">
        <v>25</v>
      </c>
      <c r="H144" s="83"/>
      <c r="I144" s="215"/>
      <c r="J144" s="60"/>
      <c r="K144" s="99">
        <v>639.5</v>
      </c>
      <c r="L144" s="215">
        <v>639.5</v>
      </c>
      <c r="M144" s="99"/>
      <c r="N144" s="83"/>
      <c r="O144" s="215"/>
      <c r="P144" s="60"/>
      <c r="Q144" s="1771"/>
      <c r="R144" s="1524"/>
      <c r="S144" s="300"/>
      <c r="T144" s="1509"/>
      <c r="U144" s="1471"/>
    </row>
    <row r="145" spans="1:21" ht="15" customHeight="1" x14ac:dyDescent="0.2">
      <c r="A145" s="1651"/>
      <c r="B145" s="1777"/>
      <c r="C145" s="1666"/>
      <c r="D145" s="1714"/>
      <c r="E145" s="780"/>
      <c r="F145" s="1666"/>
      <c r="G145" s="62" t="s">
        <v>245</v>
      </c>
      <c r="H145" s="83">
        <v>4264.5</v>
      </c>
      <c r="I145" s="215">
        <v>4264.5</v>
      </c>
      <c r="J145" s="60"/>
      <c r="K145" s="99"/>
      <c r="L145" s="215"/>
      <c r="M145" s="99"/>
      <c r="N145" s="83"/>
      <c r="O145" s="215"/>
      <c r="P145" s="60"/>
      <c r="Q145" s="1772"/>
      <c r="R145" s="1524"/>
      <c r="S145" s="300"/>
      <c r="T145" s="1509"/>
      <c r="U145" s="1471"/>
    </row>
    <row r="146" spans="1:21" ht="16.5" customHeight="1" thickBot="1" x14ac:dyDescent="0.25">
      <c r="A146" s="1775"/>
      <c r="B146" s="1778"/>
      <c r="C146" s="1667"/>
      <c r="D146" s="223"/>
      <c r="E146" s="781"/>
      <c r="F146" s="1667"/>
      <c r="G146" s="89" t="s">
        <v>6</v>
      </c>
      <c r="H146" s="172">
        <f t="shared" ref="H146:P146" si="24">SUM(H143:H145)</f>
        <v>4377.5</v>
      </c>
      <c r="I146" s="174">
        <f t="shared" si="24"/>
        <v>4377.5</v>
      </c>
      <c r="J146" s="204">
        <f t="shared" si="24"/>
        <v>0</v>
      </c>
      <c r="K146" s="263">
        <f t="shared" si="24"/>
        <v>639.5</v>
      </c>
      <c r="L146" s="174">
        <f t="shared" si="24"/>
        <v>639.5</v>
      </c>
      <c r="M146" s="263">
        <f t="shared" si="24"/>
        <v>0</v>
      </c>
      <c r="N146" s="172">
        <f t="shared" si="24"/>
        <v>0</v>
      </c>
      <c r="O146" s="174">
        <f t="shared" si="24"/>
        <v>0</v>
      </c>
      <c r="P146" s="204">
        <f t="shared" si="24"/>
        <v>0</v>
      </c>
      <c r="Q146" s="757"/>
      <c r="R146" s="178"/>
      <c r="S146" s="636"/>
      <c r="T146" s="177"/>
      <c r="U146" s="534"/>
    </row>
    <row r="147" spans="1:21" ht="14.25" customHeight="1" thickBot="1" x14ac:dyDescent="0.25">
      <c r="A147" s="90" t="s">
        <v>5</v>
      </c>
      <c r="B147" s="260" t="s">
        <v>7</v>
      </c>
      <c r="C147" s="1773" t="s">
        <v>8</v>
      </c>
      <c r="D147" s="1732"/>
      <c r="E147" s="1732"/>
      <c r="F147" s="1732"/>
      <c r="G147" s="1733"/>
      <c r="H147" s="331">
        <f t="shared" ref="H147:P147" si="25">H146+H142+H133</f>
        <v>10630.5</v>
      </c>
      <c r="I147" s="79">
        <f t="shared" si="25"/>
        <v>10630.5</v>
      </c>
      <c r="J147" s="995">
        <f t="shared" si="25"/>
        <v>0</v>
      </c>
      <c r="K147" s="331">
        <f t="shared" si="25"/>
        <v>6329.2</v>
      </c>
      <c r="L147" s="79">
        <f t="shared" si="25"/>
        <v>6329.2</v>
      </c>
      <c r="M147" s="995">
        <f t="shared" si="25"/>
        <v>0</v>
      </c>
      <c r="N147" s="331">
        <f t="shared" si="25"/>
        <v>5711.8</v>
      </c>
      <c r="O147" s="79">
        <f t="shared" si="25"/>
        <v>5711.8</v>
      </c>
      <c r="P147" s="1535">
        <f t="shared" si="25"/>
        <v>0</v>
      </c>
      <c r="Q147" s="1734"/>
      <c r="R147" s="1734"/>
      <c r="S147" s="1734"/>
      <c r="T147" s="1734"/>
      <c r="U147" s="1735"/>
    </row>
    <row r="148" spans="1:21" ht="18" customHeight="1" thickBot="1" x14ac:dyDescent="0.25">
      <c r="A148" s="78" t="s">
        <v>5</v>
      </c>
      <c r="B148" s="260" t="s">
        <v>28</v>
      </c>
      <c r="C148" s="1736" t="s">
        <v>112</v>
      </c>
      <c r="D148" s="1737"/>
      <c r="E148" s="1737"/>
      <c r="F148" s="1737"/>
      <c r="G148" s="1737"/>
      <c r="H148" s="1737"/>
      <c r="I148" s="1737"/>
      <c r="J148" s="1737"/>
      <c r="K148" s="1737"/>
      <c r="L148" s="1737"/>
      <c r="M148" s="1737"/>
      <c r="N148" s="1737"/>
      <c r="O148" s="1737"/>
      <c r="P148" s="1737"/>
      <c r="Q148" s="1737"/>
      <c r="R148" s="1737"/>
      <c r="S148" s="1737"/>
      <c r="T148" s="1737"/>
      <c r="U148" s="1738"/>
    </row>
    <row r="149" spans="1:21" ht="14.1" customHeight="1" x14ac:dyDescent="0.2">
      <c r="A149" s="1473" t="s">
        <v>5</v>
      </c>
      <c r="B149" s="259" t="s">
        <v>28</v>
      </c>
      <c r="C149" s="1520" t="s">
        <v>5</v>
      </c>
      <c r="D149" s="1866" t="s">
        <v>109</v>
      </c>
      <c r="E149" s="780" t="s">
        <v>253</v>
      </c>
      <c r="F149" s="393" t="s">
        <v>37</v>
      </c>
      <c r="G149" s="176" t="s">
        <v>25</v>
      </c>
      <c r="H149" s="206">
        <v>76.5</v>
      </c>
      <c r="I149" s="173">
        <v>76.5</v>
      </c>
      <c r="J149" s="669"/>
      <c r="K149" s="206"/>
      <c r="L149" s="173"/>
      <c r="M149" s="669"/>
      <c r="N149" s="206"/>
      <c r="O149" s="173"/>
      <c r="P149" s="669"/>
      <c r="Q149" s="326"/>
      <c r="R149" s="213"/>
      <c r="S149" s="213"/>
      <c r="T149" s="213"/>
      <c r="U149" s="214"/>
    </row>
    <row r="150" spans="1:21" ht="14.1" customHeight="1" x14ac:dyDescent="0.2">
      <c r="A150" s="1459"/>
      <c r="B150" s="1486"/>
      <c r="C150" s="1461"/>
      <c r="D150" s="1867"/>
      <c r="E150" s="487"/>
      <c r="F150" s="1478"/>
      <c r="G150" s="62" t="s">
        <v>60</v>
      </c>
      <c r="H150" s="83">
        <v>31.9</v>
      </c>
      <c r="I150" s="215">
        <v>31.9</v>
      </c>
      <c r="J150" s="118"/>
      <c r="K150" s="83"/>
      <c r="L150" s="215"/>
      <c r="M150" s="99"/>
      <c r="N150" s="83"/>
      <c r="O150" s="215"/>
      <c r="P150" s="99"/>
      <c r="Q150" s="1496"/>
      <c r="R150" s="39"/>
      <c r="S150" s="39"/>
      <c r="T150" s="39"/>
      <c r="U150" s="40"/>
    </row>
    <row r="151" spans="1:21" ht="14.1" customHeight="1" x14ac:dyDescent="0.2">
      <c r="A151" s="1459"/>
      <c r="B151" s="1486"/>
      <c r="C151" s="1461"/>
      <c r="D151" s="1867"/>
      <c r="E151" s="487"/>
      <c r="F151" s="1478"/>
      <c r="G151" s="62" t="s">
        <v>68</v>
      </c>
      <c r="H151" s="83">
        <v>821.1</v>
      </c>
      <c r="I151" s="215">
        <v>821.1</v>
      </c>
      <c r="J151" s="118"/>
      <c r="K151" s="83">
        <v>777.8</v>
      </c>
      <c r="L151" s="215">
        <v>777.8</v>
      </c>
      <c r="M151" s="118"/>
      <c r="N151" s="83">
        <v>787.8</v>
      </c>
      <c r="O151" s="215">
        <v>787.8</v>
      </c>
      <c r="P151" s="118"/>
      <c r="Q151" s="1496"/>
      <c r="R151" s="39"/>
      <c r="S151" s="39"/>
      <c r="T151" s="39"/>
      <c r="U151" s="40"/>
    </row>
    <row r="152" spans="1:21" ht="14.1" customHeight="1" x14ac:dyDescent="0.2">
      <c r="A152" s="1459"/>
      <c r="B152" s="1486"/>
      <c r="C152" s="1461"/>
      <c r="D152" s="1867"/>
      <c r="E152" s="487"/>
      <c r="F152" s="1478"/>
      <c r="G152" s="62" t="s">
        <v>75</v>
      </c>
      <c r="H152" s="83">
        <f>36.6+1.4</f>
        <v>38</v>
      </c>
      <c r="I152" s="215">
        <f>36.6+1.4</f>
        <v>38</v>
      </c>
      <c r="J152" s="118"/>
      <c r="K152" s="83"/>
      <c r="L152" s="215"/>
      <c r="M152" s="99"/>
      <c r="N152" s="83"/>
      <c r="O152" s="215"/>
      <c r="P152" s="99"/>
      <c r="Q152" s="1496"/>
      <c r="R152" s="39"/>
      <c r="S152" s="39"/>
      <c r="T152" s="39"/>
      <c r="U152" s="40"/>
    </row>
    <row r="153" spans="1:21" ht="14.1" customHeight="1" x14ac:dyDescent="0.2">
      <c r="A153" s="1459"/>
      <c r="B153" s="1486"/>
      <c r="C153" s="1461"/>
      <c r="D153" s="1868"/>
      <c r="E153" s="487"/>
      <c r="F153" s="1478"/>
      <c r="G153" s="1182" t="s">
        <v>100</v>
      </c>
      <c r="H153" s="86">
        <v>240</v>
      </c>
      <c r="I153" s="42">
        <v>240</v>
      </c>
      <c r="J153" s="119"/>
      <c r="K153" s="86">
        <v>240</v>
      </c>
      <c r="L153" s="42">
        <v>240</v>
      </c>
      <c r="M153" s="119"/>
      <c r="N153" s="86">
        <v>240</v>
      </c>
      <c r="O153" s="42">
        <v>240</v>
      </c>
      <c r="P153" s="119"/>
      <c r="Q153" s="1499"/>
      <c r="R153" s="41"/>
      <c r="S153" s="41"/>
      <c r="T153" s="41"/>
      <c r="U153" s="40"/>
    </row>
    <row r="154" spans="1:21" ht="25.5" customHeight="1" x14ac:dyDescent="0.2">
      <c r="A154" s="1459"/>
      <c r="B154" s="1486"/>
      <c r="C154" s="1461"/>
      <c r="D154" s="1446" t="s">
        <v>107</v>
      </c>
      <c r="E154" s="1740" t="s">
        <v>76</v>
      </c>
      <c r="F154" s="1442"/>
      <c r="G154" s="75"/>
      <c r="H154" s="83"/>
      <c r="I154" s="215"/>
      <c r="J154" s="118"/>
      <c r="K154" s="83"/>
      <c r="L154" s="215"/>
      <c r="M154" s="60"/>
      <c r="N154" s="83"/>
      <c r="O154" s="215"/>
      <c r="P154" s="60"/>
      <c r="Q154" s="1501" t="s">
        <v>113</v>
      </c>
      <c r="R154" s="215">
        <v>14.5</v>
      </c>
      <c r="S154" s="39">
        <v>14.5</v>
      </c>
      <c r="T154" s="39">
        <v>14.5</v>
      </c>
      <c r="U154" s="40"/>
    </row>
    <row r="155" spans="1:21" ht="15" customHeight="1" x14ac:dyDescent="0.2">
      <c r="A155" s="1459"/>
      <c r="B155" s="1486"/>
      <c r="C155" s="1461"/>
      <c r="D155" s="1451"/>
      <c r="E155" s="1755"/>
      <c r="F155" s="1478"/>
      <c r="G155" s="62"/>
      <c r="H155" s="83"/>
      <c r="I155" s="215"/>
      <c r="J155" s="118"/>
      <c r="K155" s="83"/>
      <c r="L155" s="215"/>
      <c r="M155" s="60"/>
      <c r="N155" s="83"/>
      <c r="O155" s="215"/>
      <c r="P155" s="60"/>
      <c r="Q155" s="1364" t="s">
        <v>38</v>
      </c>
      <c r="R155" s="25">
        <f>66+5</f>
        <v>71</v>
      </c>
      <c r="S155" s="160">
        <v>71</v>
      </c>
      <c r="T155" s="160">
        <v>71</v>
      </c>
      <c r="U155" s="1471"/>
    </row>
    <row r="156" spans="1:21" ht="15.75" customHeight="1" x14ac:dyDescent="0.2">
      <c r="A156" s="1459"/>
      <c r="B156" s="1486"/>
      <c r="C156" s="1461"/>
      <c r="D156" s="1451"/>
      <c r="E156" s="1756"/>
      <c r="F156" s="1478"/>
      <c r="G156" s="62"/>
      <c r="H156" s="83"/>
      <c r="I156" s="215"/>
      <c r="J156" s="118"/>
      <c r="K156" s="83"/>
      <c r="L156" s="215"/>
      <c r="M156" s="60"/>
      <c r="N156" s="83"/>
      <c r="O156" s="215"/>
      <c r="P156" s="60"/>
      <c r="Q156" s="1500" t="s">
        <v>327</v>
      </c>
      <c r="R156" s="25">
        <v>100</v>
      </c>
      <c r="S156" s="949"/>
      <c r="T156" s="949"/>
      <c r="U156" s="40"/>
    </row>
    <row r="157" spans="1:21" ht="13.5" customHeight="1" x14ac:dyDescent="0.2">
      <c r="A157" s="1459"/>
      <c r="B157" s="1486"/>
      <c r="C157" s="1461"/>
      <c r="D157" s="1451"/>
      <c r="E157" s="1479"/>
      <c r="F157" s="1478"/>
      <c r="G157" s="62" t="s">
        <v>100</v>
      </c>
      <c r="H157" s="83">
        <v>104</v>
      </c>
      <c r="I157" s="215">
        <v>104</v>
      </c>
      <c r="J157" s="118"/>
      <c r="K157" s="83"/>
      <c r="L157" s="215"/>
      <c r="M157" s="60"/>
      <c r="N157" s="83"/>
      <c r="O157" s="215"/>
      <c r="P157" s="60"/>
      <c r="Q157" s="1749" t="s">
        <v>356</v>
      </c>
      <c r="R157" s="1524">
        <v>100</v>
      </c>
      <c r="S157" s="1509"/>
      <c r="T157" s="39"/>
      <c r="U157" s="40"/>
    </row>
    <row r="158" spans="1:21" ht="14.25" customHeight="1" x14ac:dyDescent="0.2">
      <c r="A158" s="1459"/>
      <c r="B158" s="1486"/>
      <c r="C158" s="1461"/>
      <c r="D158" s="1451"/>
      <c r="E158" s="1479"/>
      <c r="F158" s="1478"/>
      <c r="G158" s="62"/>
      <c r="H158" s="83"/>
      <c r="I158" s="215"/>
      <c r="J158" s="118"/>
      <c r="K158" s="83"/>
      <c r="L158" s="215"/>
      <c r="M158" s="60"/>
      <c r="N158" s="83"/>
      <c r="O158" s="215"/>
      <c r="P158" s="60"/>
      <c r="Q158" s="1750"/>
      <c r="R158" s="682"/>
      <c r="S158" s="915"/>
      <c r="T158" s="915"/>
      <c r="U158" s="1573"/>
    </row>
    <row r="159" spans="1:21" ht="27" customHeight="1" x14ac:dyDescent="0.2">
      <c r="A159" s="1459"/>
      <c r="B159" s="1486"/>
      <c r="C159" s="1461"/>
      <c r="D159" s="1451"/>
      <c r="E159" s="1479"/>
      <c r="F159" s="1478"/>
      <c r="G159" s="62"/>
      <c r="H159" s="83"/>
      <c r="I159" s="215"/>
      <c r="J159" s="118"/>
      <c r="K159" s="83"/>
      <c r="L159" s="215"/>
      <c r="M159" s="60"/>
      <c r="N159" s="83"/>
      <c r="O159" s="215"/>
      <c r="P159" s="60"/>
      <c r="Q159" s="1364" t="s">
        <v>357</v>
      </c>
      <c r="R159" s="25">
        <v>1</v>
      </c>
      <c r="S159" s="921"/>
      <c r="T159" s="921"/>
      <c r="U159" s="578"/>
    </row>
    <row r="160" spans="1:21" ht="19.5" customHeight="1" x14ac:dyDescent="0.2">
      <c r="A160" s="1459"/>
      <c r="B160" s="1486"/>
      <c r="C160" s="1461"/>
      <c r="D160" s="1451"/>
      <c r="E160" s="1479"/>
      <c r="F160" s="1478"/>
      <c r="G160" s="62"/>
      <c r="H160" s="1525"/>
      <c r="I160" s="769"/>
      <c r="J160" s="1555"/>
      <c r="K160" s="1525"/>
      <c r="L160" s="769"/>
      <c r="M160" s="1165"/>
      <c r="N160" s="1525"/>
      <c r="O160" s="769"/>
      <c r="P160" s="1165"/>
      <c r="Q160" s="1751" t="s">
        <v>358</v>
      </c>
      <c r="R160" s="1524">
        <v>5</v>
      </c>
      <c r="S160" s="667"/>
      <c r="T160" s="667"/>
      <c r="U160" s="578"/>
    </row>
    <row r="161" spans="1:21" ht="34.5" customHeight="1" x14ac:dyDescent="0.2">
      <c r="A161" s="1459"/>
      <c r="B161" s="1486"/>
      <c r="C161" s="1461"/>
      <c r="D161" s="1451"/>
      <c r="E161" s="1479"/>
      <c r="F161" s="1478"/>
      <c r="G161" s="1182"/>
      <c r="H161" s="1526"/>
      <c r="I161" s="1559"/>
      <c r="J161" s="1556"/>
      <c r="K161" s="1526"/>
      <c r="L161" s="1559"/>
      <c r="M161" s="1560"/>
      <c r="N161" s="1526"/>
      <c r="O161" s="1559"/>
      <c r="P161" s="1560"/>
      <c r="Q161" s="1752"/>
      <c r="R161" s="682"/>
      <c r="S161" s="758"/>
      <c r="T161" s="758"/>
      <c r="U161" s="578"/>
    </row>
    <row r="162" spans="1:21" ht="14.25" customHeight="1" x14ac:dyDescent="0.2">
      <c r="A162" s="1459"/>
      <c r="B162" s="1486"/>
      <c r="C162" s="1461"/>
      <c r="D162" s="1446" t="s">
        <v>64</v>
      </c>
      <c r="E162" s="315"/>
      <c r="F162" s="1461"/>
      <c r="G162" s="62"/>
      <c r="H162" s="87"/>
      <c r="I162" s="49"/>
      <c r="J162" s="120"/>
      <c r="K162" s="87"/>
      <c r="L162" s="49"/>
      <c r="M162" s="187"/>
      <c r="N162" s="87"/>
      <c r="O162" s="49"/>
      <c r="P162" s="187"/>
      <c r="Q162" s="1436" t="s">
        <v>82</v>
      </c>
      <c r="R162" s="1482">
        <v>1</v>
      </c>
      <c r="S162" s="1454">
        <v>1</v>
      </c>
      <c r="T162" s="1481">
        <v>1</v>
      </c>
      <c r="U162" s="1471"/>
    </row>
    <row r="163" spans="1:21" ht="6.75" customHeight="1" x14ac:dyDescent="0.2">
      <c r="A163" s="1459"/>
      <c r="B163" s="1486"/>
      <c r="C163" s="1461"/>
      <c r="D163" s="1463"/>
      <c r="E163" s="134"/>
      <c r="F163" s="1461"/>
      <c r="G163" s="1182"/>
      <c r="H163" s="86"/>
      <c r="I163" s="42"/>
      <c r="J163" s="119"/>
      <c r="K163" s="86"/>
      <c r="L163" s="42"/>
      <c r="M163" s="147"/>
      <c r="N163" s="86"/>
      <c r="O163" s="42"/>
      <c r="P163" s="147"/>
      <c r="Q163" s="200"/>
      <c r="R163" s="20"/>
      <c r="S163" s="301"/>
      <c r="T163" s="47"/>
      <c r="U163" s="1471"/>
    </row>
    <row r="164" spans="1:21" ht="13.5" customHeight="1" x14ac:dyDescent="0.2">
      <c r="A164" s="1459"/>
      <c r="B164" s="1486"/>
      <c r="C164" s="1461"/>
      <c r="D164" s="1753" t="s">
        <v>115</v>
      </c>
      <c r="E164" s="760"/>
      <c r="F164" s="454"/>
      <c r="G164" s="1181"/>
      <c r="H164" s="87"/>
      <c r="I164" s="49"/>
      <c r="J164" s="120"/>
      <c r="K164" s="87"/>
      <c r="L164" s="49"/>
      <c r="M164" s="120"/>
      <c r="N164" s="87"/>
      <c r="O164" s="49"/>
      <c r="P164" s="120"/>
      <c r="Q164" s="1757" t="s">
        <v>359</v>
      </c>
      <c r="R164" s="1482">
        <v>14</v>
      </c>
      <c r="S164" s="1481">
        <v>14</v>
      </c>
      <c r="T164" s="1481">
        <v>14</v>
      </c>
      <c r="U164" s="1471"/>
    </row>
    <row r="165" spans="1:21" ht="15.75" customHeight="1" x14ac:dyDescent="0.2">
      <c r="A165" s="1459"/>
      <c r="B165" s="1486"/>
      <c r="C165" s="1461"/>
      <c r="D165" s="1754"/>
      <c r="E165" s="592"/>
      <c r="F165" s="454"/>
      <c r="G165" s="1182"/>
      <c r="H165" s="86"/>
      <c r="I165" s="42"/>
      <c r="J165" s="147"/>
      <c r="K165" s="86"/>
      <c r="L165" s="42"/>
      <c r="M165" s="147"/>
      <c r="N165" s="86"/>
      <c r="O165" s="42"/>
      <c r="P165" s="147"/>
      <c r="Q165" s="1758"/>
      <c r="R165" s="20"/>
      <c r="S165" s="301"/>
      <c r="T165" s="47"/>
      <c r="U165" s="1471"/>
    </row>
    <row r="166" spans="1:21" ht="29.25" customHeight="1" x14ac:dyDescent="0.2">
      <c r="A166" s="1459"/>
      <c r="B166" s="1486"/>
      <c r="C166" s="1461"/>
      <c r="D166" s="599" t="s">
        <v>108</v>
      </c>
      <c r="E166" s="1365"/>
      <c r="F166" s="681"/>
      <c r="G166" s="1182"/>
      <c r="H166" s="740"/>
      <c r="I166" s="528"/>
      <c r="J166" s="640"/>
      <c r="K166" s="740"/>
      <c r="L166" s="528"/>
      <c r="M166" s="640"/>
      <c r="N166" s="740"/>
      <c r="O166" s="528"/>
      <c r="P166" s="640"/>
      <c r="Q166" s="200" t="s">
        <v>140</v>
      </c>
      <c r="R166" s="53">
        <v>172</v>
      </c>
      <c r="S166" s="53">
        <v>174</v>
      </c>
      <c r="T166" s="53">
        <v>175</v>
      </c>
      <c r="U166" s="1547"/>
    </row>
    <row r="167" spans="1:21" ht="14.25" customHeight="1" x14ac:dyDescent="0.2">
      <c r="A167" s="1490"/>
      <c r="B167" s="1486"/>
      <c r="C167" s="209"/>
      <c r="D167" s="1669" t="s">
        <v>156</v>
      </c>
      <c r="E167" s="1444" t="s">
        <v>47</v>
      </c>
      <c r="F167" s="1492"/>
      <c r="G167" s="62"/>
      <c r="H167" s="83"/>
      <c r="I167" s="215"/>
      <c r="J167" s="99"/>
      <c r="K167" s="83"/>
      <c r="L167" s="215"/>
      <c r="M167" s="99"/>
      <c r="N167" s="83"/>
      <c r="O167" s="215"/>
      <c r="P167" s="99"/>
      <c r="Q167" s="1761" t="s">
        <v>137</v>
      </c>
      <c r="R167" s="458">
        <v>15</v>
      </c>
      <c r="S167" s="477"/>
      <c r="T167" s="184"/>
      <c r="U167" s="197"/>
    </row>
    <row r="168" spans="1:21" ht="14.25" customHeight="1" x14ac:dyDescent="0.2">
      <c r="A168" s="1490"/>
      <c r="B168" s="1486"/>
      <c r="C168" s="93"/>
      <c r="D168" s="1669"/>
      <c r="E168" s="1368"/>
      <c r="F168" s="1442"/>
      <c r="G168" s="1182"/>
      <c r="H168" s="86"/>
      <c r="I168" s="42"/>
      <c r="J168" s="119"/>
      <c r="K168" s="86"/>
      <c r="L168" s="42"/>
      <c r="M168" s="119"/>
      <c r="N168" s="86"/>
      <c r="O168" s="42"/>
      <c r="P168" s="119"/>
      <c r="Q168" s="1762"/>
      <c r="R168" s="458"/>
      <c r="S168" s="477"/>
      <c r="T168" s="184"/>
      <c r="U168" s="197"/>
    </row>
    <row r="169" spans="1:21" ht="16.5" customHeight="1" thickBot="1" x14ac:dyDescent="0.25">
      <c r="A169" s="1490"/>
      <c r="B169" s="1486"/>
      <c r="C169" s="100"/>
      <c r="D169" s="223"/>
      <c r="E169" s="1367"/>
      <c r="F169" s="88"/>
      <c r="G169" s="133" t="s">
        <v>6</v>
      </c>
      <c r="H169" s="196">
        <f>SUM(H149:H168)</f>
        <v>1311.5</v>
      </c>
      <c r="I169" s="655">
        <f>SUM(I149:I168)</f>
        <v>1311.5</v>
      </c>
      <c r="J169" s="624">
        <f>SUM(J149:J168)</f>
        <v>0</v>
      </c>
      <c r="K169" s="196">
        <f t="shared" ref="K169:L169" si="26">SUM(K149:K168)</f>
        <v>1017.8</v>
      </c>
      <c r="L169" s="655">
        <f t="shared" si="26"/>
        <v>1017.8</v>
      </c>
      <c r="M169" s="624">
        <f t="shared" ref="M169:P169" si="27">SUM(M149:M168)</f>
        <v>0</v>
      </c>
      <c r="N169" s="196">
        <f t="shared" ref="N169:O169" si="28">SUM(N149:N168)</f>
        <v>1027.8</v>
      </c>
      <c r="O169" s="655">
        <f t="shared" si="28"/>
        <v>1027.8</v>
      </c>
      <c r="P169" s="624">
        <f t="shared" si="27"/>
        <v>0</v>
      </c>
      <c r="Q169" s="517"/>
      <c r="R169" s="178"/>
      <c r="S169" s="636"/>
      <c r="T169" s="177"/>
      <c r="U169" s="40"/>
    </row>
    <row r="170" spans="1:21" ht="13.5" customHeight="1" x14ac:dyDescent="0.2">
      <c r="A170" s="1661" t="s">
        <v>5</v>
      </c>
      <c r="B170" s="1663" t="s">
        <v>28</v>
      </c>
      <c r="C170" s="1665" t="s">
        <v>7</v>
      </c>
      <c r="D170" s="1668" t="s">
        <v>330</v>
      </c>
      <c r="E170" s="1671" t="s">
        <v>253</v>
      </c>
      <c r="F170" s="1763" t="s">
        <v>55</v>
      </c>
      <c r="G170" s="96" t="s">
        <v>25</v>
      </c>
      <c r="H170" s="206">
        <v>136.80000000000001</v>
      </c>
      <c r="I170" s="173">
        <v>136.80000000000001</v>
      </c>
      <c r="J170" s="335"/>
      <c r="K170" s="206">
        <v>146.69999999999999</v>
      </c>
      <c r="L170" s="173">
        <v>146.69999999999999</v>
      </c>
      <c r="M170" s="207"/>
      <c r="N170" s="206">
        <v>146.69999999999999</v>
      </c>
      <c r="O170" s="173">
        <v>146.69999999999999</v>
      </c>
      <c r="P170" s="207"/>
      <c r="Q170" s="225" t="s">
        <v>67</v>
      </c>
      <c r="R170" s="255">
        <v>18</v>
      </c>
      <c r="S170" s="625">
        <v>18</v>
      </c>
      <c r="T170" s="1542">
        <v>18</v>
      </c>
      <c r="U170" s="1439"/>
    </row>
    <row r="171" spans="1:21" ht="12.75" customHeight="1" x14ac:dyDescent="0.2">
      <c r="A171" s="1632"/>
      <c r="B171" s="1633"/>
      <c r="C171" s="1666"/>
      <c r="D171" s="1669"/>
      <c r="E171" s="1672"/>
      <c r="F171" s="1728"/>
      <c r="G171" s="73"/>
      <c r="H171" s="143"/>
      <c r="I171" s="154"/>
      <c r="J171" s="376"/>
      <c r="K171" s="143"/>
      <c r="L171" s="154"/>
      <c r="M171" s="123"/>
      <c r="N171" s="143"/>
      <c r="O171" s="154"/>
      <c r="P171" s="376"/>
      <c r="Q171" s="1458" t="s">
        <v>83</v>
      </c>
      <c r="R171" s="1524">
        <v>7</v>
      </c>
      <c r="S171" s="300">
        <v>7</v>
      </c>
      <c r="T171" s="1509">
        <v>7</v>
      </c>
      <c r="U171" s="1471"/>
    </row>
    <row r="172" spans="1:21" ht="16.5" customHeight="1" thickBot="1" x14ac:dyDescent="0.25">
      <c r="A172" s="1662"/>
      <c r="B172" s="1664"/>
      <c r="C172" s="1667"/>
      <c r="D172" s="1670"/>
      <c r="E172" s="1673"/>
      <c r="F172" s="1764"/>
      <c r="G172" s="133" t="s">
        <v>6</v>
      </c>
      <c r="H172" s="196">
        <f t="shared" ref="H172:P172" si="29">SUM(H170:H171)</f>
        <v>136.80000000000001</v>
      </c>
      <c r="I172" s="655">
        <f t="shared" si="29"/>
        <v>136.80000000000001</v>
      </c>
      <c r="J172" s="624">
        <f t="shared" si="29"/>
        <v>0</v>
      </c>
      <c r="K172" s="196">
        <f t="shared" si="29"/>
        <v>146.69999999999999</v>
      </c>
      <c r="L172" s="655">
        <f t="shared" si="29"/>
        <v>146.69999999999999</v>
      </c>
      <c r="M172" s="175">
        <f t="shared" si="29"/>
        <v>0</v>
      </c>
      <c r="N172" s="196">
        <f t="shared" si="29"/>
        <v>146.69999999999999</v>
      </c>
      <c r="O172" s="655">
        <f t="shared" si="29"/>
        <v>146.69999999999999</v>
      </c>
      <c r="P172" s="175">
        <f t="shared" si="29"/>
        <v>0</v>
      </c>
      <c r="Q172" s="517"/>
      <c r="R172" s="178"/>
      <c r="S172" s="636"/>
      <c r="T172" s="177"/>
      <c r="U172" s="40"/>
    </row>
    <row r="173" spans="1:21" ht="12" customHeight="1" x14ac:dyDescent="0.2">
      <c r="A173" s="1483" t="s">
        <v>5</v>
      </c>
      <c r="B173" s="581" t="s">
        <v>28</v>
      </c>
      <c r="C173" s="1476" t="s">
        <v>28</v>
      </c>
      <c r="D173" s="1765" t="s">
        <v>174</v>
      </c>
      <c r="E173" s="1767" t="s">
        <v>252</v>
      </c>
      <c r="F173" s="577">
        <v>5</v>
      </c>
      <c r="G173" s="176" t="s">
        <v>25</v>
      </c>
      <c r="H173" s="206">
        <v>263.89999999999998</v>
      </c>
      <c r="I173" s="173">
        <v>263.89999999999998</v>
      </c>
      <c r="J173" s="335"/>
      <c r="K173" s="206">
        <v>55.6</v>
      </c>
      <c r="L173" s="173">
        <v>55.6</v>
      </c>
      <c r="M173" s="335"/>
      <c r="N173" s="206">
        <v>5</v>
      </c>
      <c r="O173" s="173">
        <v>5</v>
      </c>
      <c r="P173" s="335"/>
      <c r="Q173" s="585"/>
      <c r="R173" s="173"/>
      <c r="S173" s="207"/>
      <c r="T173" s="213"/>
      <c r="U173" s="40"/>
    </row>
    <row r="174" spans="1:21" ht="11.25" customHeight="1" x14ac:dyDescent="0.2">
      <c r="A174" s="1465"/>
      <c r="B174" s="1466"/>
      <c r="C174" s="1467"/>
      <c r="D174" s="1766"/>
      <c r="E174" s="1768"/>
      <c r="F174" s="1478"/>
      <c r="G174" s="62" t="s">
        <v>60</v>
      </c>
      <c r="H174" s="83">
        <v>289.60000000000002</v>
      </c>
      <c r="I174" s="215">
        <v>289.60000000000002</v>
      </c>
      <c r="J174" s="60"/>
      <c r="K174" s="83"/>
      <c r="L174" s="215"/>
      <c r="M174" s="60"/>
      <c r="N174" s="83"/>
      <c r="O174" s="215"/>
      <c r="P174" s="60"/>
      <c r="Q174" s="1503"/>
      <c r="R174" s="215"/>
      <c r="S174" s="99"/>
      <c r="T174" s="39"/>
      <c r="U174" s="40"/>
    </row>
    <row r="175" spans="1:21" ht="11.25" customHeight="1" x14ac:dyDescent="0.2">
      <c r="A175" s="1465"/>
      <c r="B175" s="1466"/>
      <c r="C175" s="1467"/>
      <c r="D175" s="1766"/>
      <c r="E175" s="1768"/>
      <c r="F175" s="1478"/>
      <c r="G175" s="62" t="s">
        <v>48</v>
      </c>
      <c r="H175" s="83"/>
      <c r="I175" s="215"/>
      <c r="J175" s="60"/>
      <c r="K175" s="83">
        <v>1500</v>
      </c>
      <c r="L175" s="215">
        <v>1500</v>
      </c>
      <c r="M175" s="99"/>
      <c r="N175" s="83">
        <v>1000</v>
      </c>
      <c r="O175" s="215">
        <v>1000</v>
      </c>
      <c r="P175" s="60"/>
      <c r="Q175" s="1503"/>
      <c r="R175" s="215"/>
      <c r="S175" s="99"/>
      <c r="T175" s="39"/>
      <c r="U175" s="40"/>
    </row>
    <row r="176" spans="1:21" ht="12.75" customHeight="1" x14ac:dyDescent="0.2">
      <c r="A176" s="1465"/>
      <c r="B176" s="1466"/>
      <c r="C176" s="1467"/>
      <c r="D176" s="1766"/>
      <c r="E176" s="1768"/>
      <c r="F176" s="1478"/>
      <c r="G176" s="62" t="s">
        <v>245</v>
      </c>
      <c r="H176" s="83">
        <v>83.3</v>
      </c>
      <c r="I176" s="215">
        <v>83.3</v>
      </c>
      <c r="J176" s="60"/>
      <c r="K176" s="83"/>
      <c r="L176" s="215"/>
      <c r="M176" s="99"/>
      <c r="N176" s="83"/>
      <c r="O176" s="215"/>
      <c r="P176" s="60"/>
      <c r="Q176" s="1503"/>
      <c r="R176" s="215"/>
      <c r="S176" s="99"/>
      <c r="T176" s="39"/>
      <c r="U176" s="40"/>
    </row>
    <row r="177" spans="1:21" ht="13.5" customHeight="1" x14ac:dyDescent="0.2">
      <c r="A177" s="1465"/>
      <c r="B177" s="1466"/>
      <c r="C177" s="1467"/>
      <c r="D177" s="1730"/>
      <c r="E177" s="1769"/>
      <c r="F177" s="1514"/>
      <c r="G177" s="1182" t="s">
        <v>44</v>
      </c>
      <c r="H177" s="86">
        <v>919.1</v>
      </c>
      <c r="I177" s="42">
        <v>919.1</v>
      </c>
      <c r="J177" s="167"/>
      <c r="K177" s="86">
        <v>378</v>
      </c>
      <c r="L177" s="42">
        <v>378</v>
      </c>
      <c r="M177" s="167"/>
      <c r="N177" s="86">
        <v>45</v>
      </c>
      <c r="O177" s="42">
        <v>45</v>
      </c>
      <c r="P177" s="167"/>
      <c r="Q177" s="1503"/>
      <c r="R177" s="215"/>
      <c r="S177" s="99"/>
      <c r="T177" s="39"/>
      <c r="U177" s="40"/>
    </row>
    <row r="178" spans="1:21" ht="14.1" customHeight="1" x14ac:dyDescent="0.2">
      <c r="A178" s="1465"/>
      <c r="B178" s="1466"/>
      <c r="C178" s="1467"/>
      <c r="D178" s="1081"/>
      <c r="E178" s="1371"/>
      <c r="F178" s="600" t="s">
        <v>37</v>
      </c>
      <c r="G178" s="1181" t="s">
        <v>68</v>
      </c>
      <c r="H178" s="87">
        <v>12</v>
      </c>
      <c r="I178" s="49">
        <v>12</v>
      </c>
      <c r="J178" s="187"/>
      <c r="K178" s="87">
        <v>6</v>
      </c>
      <c r="L178" s="49">
        <v>6</v>
      </c>
      <c r="M178" s="121"/>
      <c r="N178" s="87">
        <v>6</v>
      </c>
      <c r="O178" s="49">
        <v>6</v>
      </c>
      <c r="P178" s="187"/>
      <c r="Q178" s="1503"/>
      <c r="R178" s="215"/>
      <c r="S178" s="99"/>
      <c r="T178" s="39"/>
      <c r="U178" s="40"/>
    </row>
    <row r="179" spans="1:21" ht="14.1" customHeight="1" x14ac:dyDescent="0.2">
      <c r="A179" s="1465"/>
      <c r="B179" s="1466"/>
      <c r="C179" s="1467"/>
      <c r="D179" s="1081"/>
      <c r="E179" s="1504"/>
      <c r="F179" s="1514"/>
      <c r="G179" s="1182" t="s">
        <v>75</v>
      </c>
      <c r="H179" s="86">
        <v>24.2</v>
      </c>
      <c r="I179" s="42">
        <v>24.2</v>
      </c>
      <c r="J179" s="167"/>
      <c r="K179" s="483"/>
      <c r="L179" s="1507"/>
      <c r="M179" s="216"/>
      <c r="N179" s="483"/>
      <c r="O179" s="1507"/>
      <c r="P179" s="1561"/>
      <c r="Q179" s="1519"/>
      <c r="R179" s="42"/>
      <c r="S179" s="147"/>
      <c r="T179" s="41"/>
      <c r="U179" s="40"/>
    </row>
    <row r="180" spans="1:21" ht="24.75" customHeight="1" x14ac:dyDescent="0.2">
      <c r="A180" s="1651"/>
      <c r="B180" s="1746"/>
      <c r="C180" s="1666"/>
      <c r="D180" s="1759" t="s">
        <v>360</v>
      </c>
      <c r="E180" s="1740" t="s">
        <v>256</v>
      </c>
      <c r="F180" s="1464">
        <v>5</v>
      </c>
      <c r="G180" s="1181"/>
      <c r="H180" s="87"/>
      <c r="I180" s="49"/>
      <c r="J180" s="187"/>
      <c r="K180" s="87"/>
      <c r="L180" s="49"/>
      <c r="M180" s="121"/>
      <c r="N180" s="87"/>
      <c r="O180" s="49"/>
      <c r="P180" s="187"/>
      <c r="Q180" s="1437" t="s">
        <v>130</v>
      </c>
      <c r="R180" s="1438"/>
      <c r="S180" s="638"/>
      <c r="T180" s="1453">
        <v>100</v>
      </c>
      <c r="U180" s="1439"/>
    </row>
    <row r="181" spans="1:21" ht="24.75" customHeight="1" x14ac:dyDescent="0.2">
      <c r="A181" s="1651"/>
      <c r="B181" s="1746"/>
      <c r="C181" s="1666"/>
      <c r="D181" s="1760"/>
      <c r="E181" s="1745"/>
      <c r="F181" s="1478"/>
      <c r="G181" s="1182"/>
      <c r="H181" s="86"/>
      <c r="I181" s="42"/>
      <c r="J181" s="167"/>
      <c r="K181" s="86"/>
      <c r="L181" s="42"/>
      <c r="M181" s="147"/>
      <c r="N181" s="86"/>
      <c r="O181" s="42"/>
      <c r="P181" s="167"/>
      <c r="Q181" s="1373" t="s">
        <v>236</v>
      </c>
      <c r="R181" s="533">
        <v>1</v>
      </c>
      <c r="S181" s="951"/>
      <c r="T181" s="533"/>
      <c r="U181" s="1439"/>
    </row>
    <row r="182" spans="1:21" ht="15.75" customHeight="1" x14ac:dyDescent="0.2">
      <c r="A182" s="1651"/>
      <c r="B182" s="1746"/>
      <c r="C182" s="1666"/>
      <c r="D182" s="1714" t="s">
        <v>203</v>
      </c>
      <c r="E182" s="1718" t="s">
        <v>254</v>
      </c>
      <c r="F182" s="1467"/>
      <c r="G182" s="62"/>
      <c r="H182" s="83"/>
      <c r="I182" s="215"/>
      <c r="J182" s="60"/>
      <c r="K182" s="83"/>
      <c r="L182" s="215"/>
      <c r="M182" s="99"/>
      <c r="N182" s="83"/>
      <c r="O182" s="215"/>
      <c r="P182" s="60"/>
      <c r="Q182" s="1372" t="s">
        <v>166</v>
      </c>
      <c r="R182" s="337">
        <v>1</v>
      </c>
      <c r="S182" s="1509"/>
      <c r="T182" s="1509"/>
      <c r="U182" s="1471"/>
    </row>
    <row r="183" spans="1:21" ht="20.25" customHeight="1" x14ac:dyDescent="0.2">
      <c r="A183" s="1651"/>
      <c r="B183" s="1746"/>
      <c r="C183" s="1666"/>
      <c r="D183" s="1739"/>
      <c r="E183" s="1747"/>
      <c r="F183" s="1461"/>
      <c r="G183" s="62"/>
      <c r="H183" s="83"/>
      <c r="I183" s="215"/>
      <c r="J183" s="60"/>
      <c r="K183" s="83"/>
      <c r="L183" s="215"/>
      <c r="M183" s="99"/>
      <c r="N183" s="83"/>
      <c r="O183" s="215"/>
      <c r="P183" s="60"/>
      <c r="Q183" s="1742" t="s">
        <v>204</v>
      </c>
      <c r="R183" s="508"/>
      <c r="S183" s="507"/>
      <c r="T183" s="508">
        <v>1</v>
      </c>
      <c r="U183" s="1471"/>
    </row>
    <row r="184" spans="1:21" ht="19.5" customHeight="1" x14ac:dyDescent="0.2">
      <c r="A184" s="317"/>
      <c r="B184" s="1466"/>
      <c r="C184" s="1375"/>
      <c r="D184" s="1739"/>
      <c r="E184" s="1748"/>
      <c r="F184" s="1461"/>
      <c r="G184" s="62"/>
      <c r="H184" s="83"/>
      <c r="I184" s="215"/>
      <c r="J184" s="60"/>
      <c r="K184" s="83"/>
      <c r="L184" s="215"/>
      <c r="M184" s="99"/>
      <c r="N184" s="83"/>
      <c r="O184" s="215"/>
      <c r="P184" s="60"/>
      <c r="Q184" s="1743"/>
      <c r="R184" s="47"/>
      <c r="S184" s="20"/>
      <c r="T184" s="337"/>
      <c r="U184" s="1471"/>
    </row>
    <row r="185" spans="1:21" ht="14.25" customHeight="1" x14ac:dyDescent="0.2">
      <c r="A185" s="1632"/>
      <c r="B185" s="1633"/>
      <c r="C185" s="1666"/>
      <c r="D185" s="1729" t="s">
        <v>162</v>
      </c>
      <c r="E185" s="1740" t="s">
        <v>125</v>
      </c>
      <c r="F185" s="1666"/>
      <c r="G185" s="185"/>
      <c r="H185" s="87"/>
      <c r="I185" s="49"/>
      <c r="J185" s="187"/>
      <c r="K185" s="87"/>
      <c r="L185" s="49"/>
      <c r="M185" s="121"/>
      <c r="N185" s="690"/>
      <c r="O185" s="686"/>
      <c r="P185" s="687"/>
      <c r="Q185" s="1513" t="s">
        <v>205</v>
      </c>
      <c r="R185" s="380">
        <v>6</v>
      </c>
      <c r="S185" s="754"/>
      <c r="T185" s="1453"/>
      <c r="U185" s="1439"/>
    </row>
    <row r="186" spans="1:21" ht="11.25" customHeight="1" x14ac:dyDescent="0.2">
      <c r="A186" s="1632"/>
      <c r="B186" s="1633"/>
      <c r="C186" s="1666"/>
      <c r="D186" s="1739"/>
      <c r="E186" s="1741"/>
      <c r="F186" s="1666"/>
      <c r="G186" s="62"/>
      <c r="H186" s="83"/>
      <c r="I186" s="215"/>
      <c r="J186" s="60"/>
      <c r="K186" s="83"/>
      <c r="L186" s="215"/>
      <c r="M186" s="99"/>
      <c r="N186" s="535"/>
      <c r="O186" s="536"/>
      <c r="P186" s="685"/>
      <c r="Q186" s="1513"/>
      <c r="R186" s="380"/>
      <c r="S186" s="1509"/>
      <c r="T186" s="1509"/>
      <c r="U186" s="1471"/>
    </row>
    <row r="187" spans="1:21" ht="14.25" customHeight="1" x14ac:dyDescent="0.2">
      <c r="A187" s="1632"/>
      <c r="B187" s="1633"/>
      <c r="C187" s="1666"/>
      <c r="D187" s="1744"/>
      <c r="E187" s="1745"/>
      <c r="F187" s="1666"/>
      <c r="G187" s="73"/>
      <c r="H187" s="86"/>
      <c r="I187" s="42"/>
      <c r="J187" s="167"/>
      <c r="K187" s="86"/>
      <c r="L187" s="42"/>
      <c r="M187" s="147"/>
      <c r="N187" s="1563"/>
      <c r="O187" s="1564"/>
      <c r="P187" s="1562"/>
      <c r="Q187" s="19"/>
      <c r="R187" s="53"/>
      <c r="S187" s="47"/>
      <c r="T187" s="47"/>
      <c r="U187" s="1471"/>
    </row>
    <row r="188" spans="1:21" ht="39" customHeight="1" x14ac:dyDescent="0.2">
      <c r="A188" s="1459"/>
      <c r="B188" s="1460"/>
      <c r="C188" s="1461"/>
      <c r="D188" s="1469" t="s">
        <v>361</v>
      </c>
      <c r="E188" s="623" t="s">
        <v>170</v>
      </c>
      <c r="F188" s="600" t="s">
        <v>37</v>
      </c>
      <c r="G188" s="485"/>
      <c r="H188" s="313"/>
      <c r="I188" s="1403"/>
      <c r="J188" s="1557"/>
      <c r="K188" s="603"/>
      <c r="L188" s="604"/>
      <c r="M188" s="926"/>
      <c r="N188" s="603"/>
      <c r="O188" s="604"/>
      <c r="P188" s="680"/>
      <c r="Q188" s="70" t="s">
        <v>84</v>
      </c>
      <c r="R188" s="597">
        <v>1</v>
      </c>
      <c r="S188" s="597"/>
      <c r="T188" s="597"/>
      <c r="U188" s="1439"/>
    </row>
    <row r="189" spans="1:21" ht="15.75" customHeight="1" x14ac:dyDescent="0.2">
      <c r="A189" s="1632"/>
      <c r="B189" s="1633"/>
      <c r="C189" s="1666"/>
      <c r="D189" s="1729" t="s">
        <v>230</v>
      </c>
      <c r="E189" s="1740" t="s">
        <v>125</v>
      </c>
      <c r="F189" s="1657"/>
      <c r="G189" s="1181"/>
      <c r="H189" s="87"/>
      <c r="I189" s="49"/>
      <c r="J189" s="187"/>
      <c r="K189" s="87"/>
      <c r="L189" s="49"/>
      <c r="M189" s="121"/>
      <c r="N189" s="87"/>
      <c r="O189" s="49"/>
      <c r="P189" s="187"/>
      <c r="Q189" s="1726" t="s">
        <v>249</v>
      </c>
      <c r="R189" s="1521">
        <v>11</v>
      </c>
      <c r="S189" s="1481">
        <v>12</v>
      </c>
      <c r="T189" s="1481">
        <v>14</v>
      </c>
      <c r="U189" s="1471"/>
    </row>
    <row r="190" spans="1:21" ht="9" customHeight="1" x14ac:dyDescent="0.2">
      <c r="A190" s="1632"/>
      <c r="B190" s="1633"/>
      <c r="C190" s="1666"/>
      <c r="D190" s="1714"/>
      <c r="E190" s="1718"/>
      <c r="F190" s="1657"/>
      <c r="G190" s="62"/>
      <c r="H190" s="324"/>
      <c r="I190" s="370"/>
      <c r="J190" s="325"/>
      <c r="K190" s="83"/>
      <c r="L190" s="215"/>
      <c r="M190" s="99"/>
      <c r="N190" s="83"/>
      <c r="O190" s="215"/>
      <c r="P190" s="60"/>
      <c r="Q190" s="1731"/>
      <c r="R190" s="380"/>
      <c r="S190" s="1509"/>
      <c r="T190" s="1509"/>
      <c r="U190" s="1471"/>
    </row>
    <row r="191" spans="1:21" ht="25.5" customHeight="1" x14ac:dyDescent="0.2">
      <c r="A191" s="1632"/>
      <c r="B191" s="1633"/>
      <c r="C191" s="1666"/>
      <c r="D191" s="1739"/>
      <c r="E191" s="1741"/>
      <c r="F191" s="1657"/>
      <c r="G191" s="1182"/>
      <c r="H191" s="1378"/>
      <c r="I191" s="676"/>
      <c r="J191" s="688"/>
      <c r="K191" s="1378"/>
      <c r="L191" s="676"/>
      <c r="M191" s="677"/>
      <c r="N191" s="1378"/>
      <c r="O191" s="676"/>
      <c r="P191" s="688"/>
      <c r="Q191" s="1513" t="s">
        <v>301</v>
      </c>
      <c r="R191" s="380">
        <v>3</v>
      </c>
      <c r="S191" s="1509"/>
      <c r="T191" s="1509"/>
      <c r="U191" s="1471"/>
    </row>
    <row r="192" spans="1:21" ht="16.5" customHeight="1" thickBot="1" x14ac:dyDescent="0.25">
      <c r="A192" s="1490"/>
      <c r="B192" s="1460"/>
      <c r="C192" s="1375"/>
      <c r="D192" s="1376"/>
      <c r="E192" s="1377"/>
      <c r="F192" s="1375"/>
      <c r="G192" s="133" t="s">
        <v>6</v>
      </c>
      <c r="H192" s="196">
        <f>SUM(H173:H191)</f>
        <v>1592.1</v>
      </c>
      <c r="I192" s="655">
        <f>SUM(I173:I191)</f>
        <v>1592.1</v>
      </c>
      <c r="J192" s="624">
        <f>SUM(J173:J191)</f>
        <v>0</v>
      </c>
      <c r="K192" s="196">
        <f t="shared" ref="K192:L192" si="30">SUM(K173:K191)</f>
        <v>1939.6</v>
      </c>
      <c r="L192" s="655">
        <f t="shared" si="30"/>
        <v>1939.6</v>
      </c>
      <c r="M192" s="624">
        <f t="shared" ref="M192:P192" si="31">SUM(M173:M191)</f>
        <v>0</v>
      </c>
      <c r="N192" s="196">
        <f t="shared" ref="N192:O192" si="32">SUM(N173:N191)</f>
        <v>1056</v>
      </c>
      <c r="O192" s="655">
        <f t="shared" si="32"/>
        <v>1056</v>
      </c>
      <c r="P192" s="624">
        <f t="shared" si="31"/>
        <v>0</v>
      </c>
      <c r="Q192" s="517"/>
      <c r="R192" s="178"/>
      <c r="S192" s="636"/>
      <c r="T192" s="177"/>
      <c r="U192" s="534"/>
    </row>
    <row r="193" spans="1:21" ht="14.25" customHeight="1" thickBot="1" x14ac:dyDescent="0.25">
      <c r="A193" s="90" t="s">
        <v>5</v>
      </c>
      <c r="B193" s="79" t="s">
        <v>28</v>
      </c>
      <c r="C193" s="1732" t="s">
        <v>8</v>
      </c>
      <c r="D193" s="1732"/>
      <c r="E193" s="1732"/>
      <c r="F193" s="1732"/>
      <c r="G193" s="1733"/>
      <c r="H193" s="668">
        <f>H192+H172+H169</f>
        <v>3040.4</v>
      </c>
      <c r="I193" s="1475">
        <f>I192+I172+I169</f>
        <v>3040.4</v>
      </c>
      <c r="J193" s="1558">
        <f>J192+J172+J169</f>
        <v>0</v>
      </c>
      <c r="K193" s="668">
        <f t="shared" ref="K193:L193" si="33">K192+K172+K169</f>
        <v>3104.1</v>
      </c>
      <c r="L193" s="1475">
        <f t="shared" si="33"/>
        <v>3104.1</v>
      </c>
      <c r="M193" s="1558">
        <f t="shared" ref="M193:P193" si="34">M192+M172+M169</f>
        <v>0</v>
      </c>
      <c r="N193" s="668">
        <f t="shared" ref="N193:O193" si="35">N192+N172+N169</f>
        <v>2230.5</v>
      </c>
      <c r="O193" s="1475">
        <f t="shared" si="35"/>
        <v>2230.5</v>
      </c>
      <c r="P193" s="1558">
        <f t="shared" si="34"/>
        <v>0</v>
      </c>
      <c r="Q193" s="1734"/>
      <c r="R193" s="1734"/>
      <c r="S193" s="1734"/>
      <c r="T193" s="1734"/>
      <c r="U193" s="1735"/>
    </row>
    <row r="194" spans="1:21" ht="14.25" customHeight="1" thickBot="1" x14ac:dyDescent="0.25">
      <c r="A194" s="78" t="s">
        <v>5</v>
      </c>
      <c r="B194" s="79" t="s">
        <v>33</v>
      </c>
      <c r="C194" s="1736" t="s">
        <v>173</v>
      </c>
      <c r="D194" s="1737"/>
      <c r="E194" s="1737"/>
      <c r="F194" s="1737"/>
      <c r="G194" s="1737"/>
      <c r="H194" s="1737"/>
      <c r="I194" s="1737"/>
      <c r="J194" s="1737"/>
      <c r="K194" s="1737"/>
      <c r="L194" s="1737"/>
      <c r="M194" s="1737"/>
      <c r="N194" s="1737"/>
      <c r="O194" s="1737"/>
      <c r="P194" s="1737"/>
      <c r="Q194" s="1737"/>
      <c r="R194" s="1737"/>
      <c r="S194" s="1737"/>
      <c r="T194" s="1737"/>
      <c r="U194" s="1738"/>
    </row>
    <row r="195" spans="1:21" ht="12" customHeight="1" x14ac:dyDescent="0.2">
      <c r="A195" s="1473" t="s">
        <v>5</v>
      </c>
      <c r="B195" s="1474" t="s">
        <v>33</v>
      </c>
      <c r="C195" s="242" t="s">
        <v>5</v>
      </c>
      <c r="D195" s="1866" t="s">
        <v>106</v>
      </c>
      <c r="E195" s="338"/>
      <c r="F195" s="1476">
        <v>6</v>
      </c>
      <c r="G195" s="176" t="s">
        <v>25</v>
      </c>
      <c r="H195" s="206">
        <v>1730.7</v>
      </c>
      <c r="I195" s="173">
        <v>1730.7</v>
      </c>
      <c r="J195" s="335"/>
      <c r="K195" s="206">
        <v>1816.4</v>
      </c>
      <c r="L195" s="173">
        <v>1816.4</v>
      </c>
      <c r="M195" s="335"/>
      <c r="N195" s="206">
        <v>1822.7</v>
      </c>
      <c r="O195" s="173">
        <v>1822.7</v>
      </c>
      <c r="P195" s="335"/>
      <c r="Q195" s="661"/>
      <c r="R195" s="173"/>
      <c r="S195" s="207"/>
      <c r="T195" s="213"/>
      <c r="U195" s="214"/>
    </row>
    <row r="196" spans="1:21" ht="12" customHeight="1" x14ac:dyDescent="0.2">
      <c r="A196" s="1459"/>
      <c r="B196" s="1460"/>
      <c r="C196" s="209"/>
      <c r="D196" s="1867"/>
      <c r="E196" s="1462"/>
      <c r="F196" s="1464"/>
      <c r="G196" s="62" t="s">
        <v>60</v>
      </c>
      <c r="H196" s="83">
        <v>134.9</v>
      </c>
      <c r="I196" s="215">
        <v>134.9</v>
      </c>
      <c r="J196" s="60"/>
      <c r="K196" s="83"/>
      <c r="L196" s="215"/>
      <c r="M196" s="60"/>
      <c r="N196" s="83"/>
      <c r="O196" s="215"/>
      <c r="P196" s="60"/>
      <c r="Q196" s="1440"/>
      <c r="R196" s="215"/>
      <c r="S196" s="99"/>
      <c r="T196" s="39"/>
      <c r="U196" s="40"/>
    </row>
    <row r="197" spans="1:21" ht="12" customHeight="1" x14ac:dyDescent="0.2">
      <c r="A197" s="1459"/>
      <c r="B197" s="1460"/>
      <c r="C197" s="209"/>
      <c r="D197" s="1867"/>
      <c r="E197" s="1462"/>
      <c r="F197" s="1464"/>
      <c r="G197" s="62" t="s">
        <v>68</v>
      </c>
      <c r="H197" s="83">
        <f>268-48-30+5</f>
        <v>195</v>
      </c>
      <c r="I197" s="215">
        <f>268-48-30+5</f>
        <v>195</v>
      </c>
      <c r="J197" s="60"/>
      <c r="K197" s="83">
        <f>447-30+34.1</f>
        <v>451.1</v>
      </c>
      <c r="L197" s="215">
        <f>447-30+34.1</f>
        <v>451.1</v>
      </c>
      <c r="M197" s="60"/>
      <c r="N197" s="83">
        <f>417+98.4</f>
        <v>515.4</v>
      </c>
      <c r="O197" s="215">
        <f>417+98.4</f>
        <v>515.4</v>
      </c>
      <c r="P197" s="60"/>
      <c r="Q197" s="1440"/>
      <c r="R197" s="215"/>
      <c r="S197" s="99"/>
      <c r="T197" s="39"/>
      <c r="U197" s="40"/>
    </row>
    <row r="198" spans="1:21" ht="14.1" customHeight="1" x14ac:dyDescent="0.2">
      <c r="A198" s="1459"/>
      <c r="B198" s="1460"/>
      <c r="C198" s="209"/>
      <c r="D198" s="1867"/>
      <c r="E198" s="1462"/>
      <c r="F198" s="1464"/>
      <c r="G198" s="62" t="s">
        <v>75</v>
      </c>
      <c r="H198" s="83">
        <f>270+17.9</f>
        <v>287.89999999999998</v>
      </c>
      <c r="I198" s="215">
        <f>270+17.9</f>
        <v>287.89999999999998</v>
      </c>
      <c r="J198" s="60"/>
      <c r="K198" s="83"/>
      <c r="L198" s="215"/>
      <c r="M198" s="60"/>
      <c r="N198" s="83"/>
      <c r="O198" s="215"/>
      <c r="P198" s="60"/>
      <c r="Q198" s="1440"/>
      <c r="R198" s="215"/>
      <c r="S198" s="99"/>
      <c r="T198" s="39"/>
      <c r="U198" s="40"/>
    </row>
    <row r="199" spans="1:21" ht="14.1" customHeight="1" x14ac:dyDescent="0.2">
      <c r="A199" s="1459"/>
      <c r="B199" s="1460"/>
      <c r="C199" s="94"/>
      <c r="D199" s="1868"/>
      <c r="E199" s="1462"/>
      <c r="F199" s="1464"/>
      <c r="G199" s="1182" t="s">
        <v>100</v>
      </c>
      <c r="H199" s="86">
        <v>1300.3</v>
      </c>
      <c r="I199" s="42">
        <v>1300.3</v>
      </c>
      <c r="J199" s="167"/>
      <c r="K199" s="86">
        <f>300.3+900</f>
        <v>1200.3</v>
      </c>
      <c r="L199" s="42">
        <f>300.3+900</f>
        <v>1200.3</v>
      </c>
      <c r="M199" s="167"/>
      <c r="N199" s="86">
        <f>300.3+900</f>
        <v>1200.3</v>
      </c>
      <c r="O199" s="42">
        <f>300.3+900</f>
        <v>1200.3</v>
      </c>
      <c r="P199" s="167"/>
      <c r="Q199" s="1440"/>
      <c r="R199" s="215"/>
      <c r="S199" s="99"/>
      <c r="T199" s="39"/>
      <c r="U199" s="40"/>
    </row>
    <row r="200" spans="1:21" ht="15.75" customHeight="1" x14ac:dyDescent="0.2">
      <c r="A200" s="1459"/>
      <c r="B200" s="1460"/>
      <c r="C200" s="1400"/>
      <c r="D200" s="425" t="s">
        <v>103</v>
      </c>
      <c r="E200" s="1401"/>
      <c r="F200" s="1402"/>
      <c r="G200" s="485"/>
      <c r="H200" s="313"/>
      <c r="I200" s="1403"/>
      <c r="J200" s="1557"/>
      <c r="K200" s="313"/>
      <c r="L200" s="1403"/>
      <c r="M200" s="1557"/>
      <c r="N200" s="313"/>
      <c r="O200" s="1403"/>
      <c r="P200" s="1557"/>
      <c r="Q200" s="226"/>
      <c r="R200" s="1403"/>
      <c r="S200" s="1404"/>
      <c r="T200" s="1574"/>
      <c r="U200" s="40"/>
    </row>
    <row r="201" spans="1:21" ht="14.25" customHeight="1" x14ac:dyDescent="0.2">
      <c r="A201" s="1459"/>
      <c r="B201" s="1460"/>
      <c r="C201" s="1658" t="s">
        <v>181</v>
      </c>
      <c r="D201" s="1457" t="s">
        <v>283</v>
      </c>
      <c r="E201" s="1462"/>
      <c r="F201" s="1464"/>
      <c r="G201" s="62"/>
      <c r="H201" s="83"/>
      <c r="I201" s="215"/>
      <c r="J201" s="60"/>
      <c r="K201" s="83"/>
      <c r="L201" s="215"/>
      <c r="M201" s="60"/>
      <c r="N201" s="83"/>
      <c r="O201" s="215"/>
      <c r="P201" s="60"/>
      <c r="Q201" s="1496" t="s">
        <v>66</v>
      </c>
      <c r="R201" s="215">
        <v>5.9</v>
      </c>
      <c r="S201" s="99"/>
      <c r="T201" s="39"/>
      <c r="U201" s="40"/>
    </row>
    <row r="202" spans="1:21" ht="13.5" customHeight="1" x14ac:dyDescent="0.2">
      <c r="A202" s="1459"/>
      <c r="B202" s="1460"/>
      <c r="C202" s="1658"/>
      <c r="D202" s="222" t="s">
        <v>187</v>
      </c>
      <c r="E202" s="1462"/>
      <c r="F202" s="1464"/>
      <c r="G202" s="62"/>
      <c r="H202" s="83"/>
      <c r="I202" s="215"/>
      <c r="J202" s="60"/>
      <c r="K202" s="83"/>
      <c r="L202" s="215"/>
      <c r="M202" s="60"/>
      <c r="N202" s="83"/>
      <c r="O202" s="215"/>
      <c r="P202" s="60"/>
      <c r="Q202" s="1496"/>
      <c r="R202" s="215"/>
      <c r="S202" s="99"/>
      <c r="T202" s="39"/>
      <c r="U202" s="40"/>
    </row>
    <row r="203" spans="1:21" ht="14.25" customHeight="1" x14ac:dyDescent="0.2">
      <c r="A203" s="1459"/>
      <c r="B203" s="1460"/>
      <c r="C203" s="1658"/>
      <c r="D203" s="222" t="s">
        <v>180</v>
      </c>
      <c r="E203" s="1462"/>
      <c r="F203" s="1464"/>
      <c r="G203" s="62"/>
      <c r="H203" s="83"/>
      <c r="I203" s="215"/>
      <c r="J203" s="60"/>
      <c r="K203" s="83"/>
      <c r="L203" s="215"/>
      <c r="M203" s="60"/>
      <c r="N203" s="83"/>
      <c r="O203" s="215"/>
      <c r="P203" s="60"/>
      <c r="Q203" s="1496"/>
      <c r="R203" s="215"/>
      <c r="S203" s="99"/>
      <c r="T203" s="39"/>
      <c r="U203" s="40"/>
    </row>
    <row r="204" spans="1:21" ht="14.25" customHeight="1" x14ac:dyDescent="0.2">
      <c r="A204" s="1459"/>
      <c r="B204" s="1460"/>
      <c r="C204" s="1658"/>
      <c r="D204" s="1457" t="s">
        <v>189</v>
      </c>
      <c r="E204" s="1462"/>
      <c r="F204" s="1464"/>
      <c r="G204" s="62"/>
      <c r="H204" s="83"/>
      <c r="I204" s="215"/>
      <c r="J204" s="60"/>
      <c r="K204" s="83"/>
      <c r="L204" s="215"/>
      <c r="M204" s="60"/>
      <c r="N204" s="83"/>
      <c r="O204" s="215"/>
      <c r="P204" s="60"/>
      <c r="Q204" s="1496"/>
      <c r="R204" s="215"/>
      <c r="S204" s="99"/>
      <c r="T204" s="39"/>
      <c r="U204" s="40"/>
    </row>
    <row r="205" spans="1:21" ht="29.25" customHeight="1" x14ac:dyDescent="0.2">
      <c r="A205" s="1459"/>
      <c r="B205" s="1460"/>
      <c r="C205" s="1658"/>
      <c r="D205" s="222" t="s">
        <v>362</v>
      </c>
      <c r="E205" s="1462"/>
      <c r="F205" s="1464"/>
      <c r="G205" s="62"/>
      <c r="H205" s="83"/>
      <c r="I205" s="215"/>
      <c r="J205" s="60"/>
      <c r="K205" s="83"/>
      <c r="L205" s="215"/>
      <c r="M205" s="60"/>
      <c r="N205" s="83"/>
      <c r="O205" s="215"/>
      <c r="P205" s="60"/>
      <c r="Q205" s="1496"/>
      <c r="R205" s="215"/>
      <c r="S205" s="99"/>
      <c r="T205" s="39"/>
      <c r="U205" s="40"/>
    </row>
    <row r="206" spans="1:21" ht="26.25" customHeight="1" x14ac:dyDescent="0.2">
      <c r="A206" s="1459"/>
      <c r="B206" s="1460"/>
      <c r="C206" s="1658"/>
      <c r="D206" s="1379" t="s">
        <v>363</v>
      </c>
      <c r="E206" s="1462"/>
      <c r="F206" s="1464"/>
      <c r="G206" s="62"/>
      <c r="H206" s="83"/>
      <c r="I206" s="215"/>
      <c r="J206" s="60"/>
      <c r="K206" s="83"/>
      <c r="L206" s="215"/>
      <c r="M206" s="60"/>
      <c r="N206" s="83"/>
      <c r="O206" s="215"/>
      <c r="P206" s="60"/>
      <c r="Q206" s="1496"/>
      <c r="R206" s="215"/>
      <c r="S206" s="99"/>
      <c r="T206" s="39"/>
      <c r="U206" s="40"/>
    </row>
    <row r="207" spans="1:21" ht="27" customHeight="1" x14ac:dyDescent="0.2">
      <c r="A207" s="1459"/>
      <c r="B207" s="1460"/>
      <c r="C207" s="1658"/>
      <c r="D207" s="222" t="s">
        <v>365</v>
      </c>
      <c r="E207" s="1462"/>
      <c r="F207" s="1464"/>
      <c r="G207" s="62"/>
      <c r="H207" s="83"/>
      <c r="I207" s="215"/>
      <c r="J207" s="60"/>
      <c r="K207" s="83"/>
      <c r="L207" s="215"/>
      <c r="M207" s="60"/>
      <c r="N207" s="83"/>
      <c r="O207" s="215"/>
      <c r="P207" s="60"/>
      <c r="Q207" s="1496"/>
      <c r="R207" s="215"/>
      <c r="S207" s="99"/>
      <c r="T207" s="39"/>
      <c r="U207" s="40"/>
    </row>
    <row r="208" spans="1:21" ht="18.75" customHeight="1" x14ac:dyDescent="0.2">
      <c r="A208" s="1459"/>
      <c r="B208" s="1460"/>
      <c r="C208" s="1493"/>
      <c r="D208" s="1468" t="s">
        <v>364</v>
      </c>
      <c r="E208" s="1462"/>
      <c r="F208" s="1464"/>
      <c r="G208" s="62"/>
      <c r="H208" s="83"/>
      <c r="I208" s="215"/>
      <c r="J208" s="60"/>
      <c r="K208" s="83"/>
      <c r="L208" s="215"/>
      <c r="M208" s="60"/>
      <c r="N208" s="83"/>
      <c r="O208" s="215"/>
      <c r="P208" s="60"/>
      <c r="Q208" s="1496"/>
      <c r="R208" s="215"/>
      <c r="S208" s="99"/>
      <c r="T208" s="39"/>
      <c r="U208" s="40"/>
    </row>
    <row r="209" spans="1:21" ht="15" customHeight="1" x14ac:dyDescent="0.2">
      <c r="A209" s="1459"/>
      <c r="B209" s="1460"/>
      <c r="C209" s="1659" t="s">
        <v>182</v>
      </c>
      <c r="D209" s="1396" t="s">
        <v>188</v>
      </c>
      <c r="E209" s="1397"/>
      <c r="F209" s="1398"/>
      <c r="G209" s="75"/>
      <c r="H209" s="788"/>
      <c r="I209" s="789"/>
      <c r="J209" s="790"/>
      <c r="K209" s="788"/>
      <c r="L209" s="789"/>
      <c r="M209" s="790"/>
      <c r="N209" s="788"/>
      <c r="O209" s="789"/>
      <c r="P209" s="790"/>
      <c r="Q209" s="1443" t="s">
        <v>66</v>
      </c>
      <c r="R209" s="789"/>
      <c r="S209" s="979">
        <v>7.9</v>
      </c>
      <c r="T209" s="1575">
        <v>7.5</v>
      </c>
      <c r="U209" s="40"/>
    </row>
    <row r="210" spans="1:21" ht="16.5" customHeight="1" x14ac:dyDescent="0.2">
      <c r="A210" s="1459"/>
      <c r="B210" s="1460"/>
      <c r="C210" s="1658"/>
      <c r="D210" s="1379" t="s">
        <v>177</v>
      </c>
      <c r="E210" s="1462"/>
      <c r="F210" s="1464"/>
      <c r="G210" s="62"/>
      <c r="H210" s="83"/>
      <c r="I210" s="215"/>
      <c r="J210" s="60"/>
      <c r="K210" s="83"/>
      <c r="L210" s="215"/>
      <c r="M210" s="60"/>
      <c r="N210" s="83"/>
      <c r="O210" s="215"/>
      <c r="P210" s="60"/>
      <c r="Q210" s="1496"/>
      <c r="R210" s="215"/>
      <c r="S210" s="99"/>
      <c r="T210" s="39"/>
      <c r="U210" s="40"/>
    </row>
    <row r="211" spans="1:21" ht="15.75" customHeight="1" x14ac:dyDescent="0.2">
      <c r="A211" s="1459"/>
      <c r="B211" s="1460"/>
      <c r="C211" s="1658"/>
      <c r="D211" s="222" t="s">
        <v>190</v>
      </c>
      <c r="E211" s="1462"/>
      <c r="F211" s="1464"/>
      <c r="G211" s="62"/>
      <c r="H211" s="83"/>
      <c r="I211" s="215"/>
      <c r="J211" s="60"/>
      <c r="K211" s="83"/>
      <c r="L211" s="215"/>
      <c r="M211" s="60"/>
      <c r="N211" s="83"/>
      <c r="O211" s="215"/>
      <c r="P211" s="60"/>
      <c r="Q211" s="1496"/>
      <c r="R211" s="215"/>
      <c r="S211" s="99"/>
      <c r="T211" s="39"/>
      <c r="U211" s="40"/>
    </row>
    <row r="212" spans="1:21" ht="15.75" customHeight="1" x14ac:dyDescent="0.2">
      <c r="A212" s="1459"/>
      <c r="B212" s="1460"/>
      <c r="C212" s="1658"/>
      <c r="D212" s="222" t="s">
        <v>288</v>
      </c>
      <c r="E212" s="1462"/>
      <c r="F212" s="1464"/>
      <c r="G212" s="62"/>
      <c r="H212" s="83"/>
      <c r="I212" s="215"/>
      <c r="J212" s="60"/>
      <c r="K212" s="83"/>
      <c r="L212" s="215"/>
      <c r="M212" s="60"/>
      <c r="N212" s="83"/>
      <c r="O212" s="215"/>
      <c r="P212" s="60"/>
      <c r="Q212" s="1496"/>
      <c r="R212" s="215"/>
      <c r="S212" s="99"/>
      <c r="T212" s="39"/>
      <c r="U212" s="40"/>
    </row>
    <row r="213" spans="1:21" ht="14.25" customHeight="1" x14ac:dyDescent="0.2">
      <c r="A213" s="1459"/>
      <c r="B213" s="1460"/>
      <c r="C213" s="1660"/>
      <c r="D213" s="1487" t="s">
        <v>366</v>
      </c>
      <c r="E213" s="1518"/>
      <c r="F213" s="1491"/>
      <c r="G213" s="1182"/>
      <c r="H213" s="86"/>
      <c r="I213" s="42"/>
      <c r="J213" s="167"/>
      <c r="K213" s="86"/>
      <c r="L213" s="42"/>
      <c r="M213" s="167"/>
      <c r="N213" s="86"/>
      <c r="O213" s="42"/>
      <c r="P213" s="167"/>
      <c r="Q213" s="1499"/>
      <c r="R213" s="42"/>
      <c r="S213" s="41"/>
      <c r="T213" s="41"/>
      <c r="U213" s="40"/>
    </row>
    <row r="214" spans="1:21" ht="27" customHeight="1" x14ac:dyDescent="0.2">
      <c r="A214" s="1459"/>
      <c r="B214" s="1460"/>
      <c r="C214" s="209"/>
      <c r="D214" s="1655" t="s">
        <v>105</v>
      </c>
      <c r="E214" s="1462"/>
      <c r="F214" s="1478"/>
      <c r="G214" s="62"/>
      <c r="H214" s="39"/>
      <c r="I214" s="215"/>
      <c r="J214" s="118"/>
      <c r="K214" s="83"/>
      <c r="L214" s="215"/>
      <c r="M214" s="60"/>
      <c r="N214" s="83"/>
      <c r="O214" s="215"/>
      <c r="P214" s="60"/>
      <c r="Q214" s="1395" t="s">
        <v>320</v>
      </c>
      <c r="R214" s="37" t="s">
        <v>319</v>
      </c>
      <c r="S214" s="1079" t="s">
        <v>319</v>
      </c>
      <c r="T214" s="1576" t="s">
        <v>319</v>
      </c>
      <c r="U214" s="332"/>
    </row>
    <row r="215" spans="1:21" ht="26.25" customHeight="1" x14ac:dyDescent="0.2">
      <c r="A215" s="1459"/>
      <c r="B215" s="1460"/>
      <c r="C215" s="209"/>
      <c r="D215" s="1655"/>
      <c r="E215" s="1462"/>
      <c r="F215" s="1478"/>
      <c r="G215" s="62"/>
      <c r="H215" s="39"/>
      <c r="I215" s="215"/>
      <c r="J215" s="118"/>
      <c r="K215" s="83"/>
      <c r="L215" s="215"/>
      <c r="M215" s="60"/>
      <c r="N215" s="83"/>
      <c r="O215" s="215"/>
      <c r="P215" s="60"/>
      <c r="Q215" s="85" t="s">
        <v>40</v>
      </c>
      <c r="R215" s="183" t="s">
        <v>321</v>
      </c>
      <c r="S215" s="641" t="s">
        <v>321</v>
      </c>
      <c r="T215" s="1577" t="s">
        <v>321</v>
      </c>
      <c r="U215" s="332"/>
    </row>
    <row r="216" spans="1:21" ht="17.25" customHeight="1" x14ac:dyDescent="0.2">
      <c r="A216" s="1459"/>
      <c r="B216" s="1460"/>
      <c r="C216" s="209"/>
      <c r="D216" s="1656"/>
      <c r="E216" s="1518"/>
      <c r="F216" s="1478"/>
      <c r="G216" s="73"/>
      <c r="H216" s="86"/>
      <c r="I216" s="42"/>
      <c r="J216" s="167"/>
      <c r="K216" s="86"/>
      <c r="L216" s="42"/>
      <c r="M216" s="167"/>
      <c r="N216" s="86"/>
      <c r="O216" s="42"/>
      <c r="P216" s="167"/>
      <c r="Q216" s="1499" t="s">
        <v>65</v>
      </c>
      <c r="R216" s="1209" t="s">
        <v>315</v>
      </c>
      <c r="S216" s="1061" t="s">
        <v>315</v>
      </c>
      <c r="T216" s="532" t="s">
        <v>315</v>
      </c>
      <c r="U216" s="332"/>
    </row>
    <row r="217" spans="1:21" ht="15.75" customHeight="1" x14ac:dyDescent="0.2">
      <c r="A217" s="1632"/>
      <c r="B217" s="1633"/>
      <c r="C217" s="1634"/>
      <c r="D217" s="1625" t="s">
        <v>53</v>
      </c>
      <c r="E217" s="1462"/>
      <c r="F217" s="1478"/>
      <c r="G217" s="62"/>
      <c r="H217" s="83"/>
      <c r="I217" s="215"/>
      <c r="J217" s="60"/>
      <c r="K217" s="83"/>
      <c r="L217" s="215"/>
      <c r="M217" s="60"/>
      <c r="N217" s="83"/>
      <c r="O217" s="215"/>
      <c r="P217" s="60"/>
      <c r="Q217" s="1726" t="s">
        <v>317</v>
      </c>
      <c r="R217" s="341" t="s">
        <v>316</v>
      </c>
      <c r="S217" s="835" t="s">
        <v>316</v>
      </c>
      <c r="T217" s="436" t="s">
        <v>316</v>
      </c>
      <c r="U217" s="332"/>
    </row>
    <row r="218" spans="1:21" ht="18" customHeight="1" x14ac:dyDescent="0.2">
      <c r="A218" s="1632"/>
      <c r="B218" s="1633"/>
      <c r="C218" s="1634"/>
      <c r="D218" s="1626"/>
      <c r="E218" s="1518"/>
      <c r="F218" s="1478"/>
      <c r="G218" s="767"/>
      <c r="H218" s="1586"/>
      <c r="I218" s="1587"/>
      <c r="J218" s="1582"/>
      <c r="K218" s="1586"/>
      <c r="L218" s="1587"/>
      <c r="M218" s="1582"/>
      <c r="N218" s="86"/>
      <c r="O218" s="42"/>
      <c r="P218" s="167"/>
      <c r="Q218" s="1727"/>
      <c r="R218" s="42"/>
      <c r="S218" s="147"/>
      <c r="T218" s="41"/>
      <c r="U218" s="40"/>
    </row>
    <row r="219" spans="1:21" ht="14.25" customHeight="1" x14ac:dyDescent="0.2">
      <c r="A219" s="1632"/>
      <c r="B219" s="1633"/>
      <c r="C219" s="1634"/>
      <c r="D219" s="1729" t="s">
        <v>296</v>
      </c>
      <c r="E219" s="1718"/>
      <c r="F219" s="1634"/>
      <c r="G219" s="62"/>
      <c r="H219" s="83"/>
      <c r="I219" s="215"/>
      <c r="J219" s="60"/>
      <c r="K219" s="83"/>
      <c r="L219" s="215"/>
      <c r="M219" s="60"/>
      <c r="N219" s="83"/>
      <c r="O219" s="215"/>
      <c r="P219" s="60"/>
      <c r="Q219" s="1522" t="s">
        <v>322</v>
      </c>
      <c r="R219" s="837" t="s">
        <v>326</v>
      </c>
      <c r="S219" s="649" t="s">
        <v>326</v>
      </c>
      <c r="T219" s="649" t="s">
        <v>326</v>
      </c>
      <c r="U219" s="332"/>
    </row>
    <row r="220" spans="1:21" ht="13.5" customHeight="1" x14ac:dyDescent="0.2">
      <c r="A220" s="1632"/>
      <c r="B220" s="1633"/>
      <c r="C220" s="1634"/>
      <c r="D220" s="1730"/>
      <c r="E220" s="1718"/>
      <c r="F220" s="1634"/>
      <c r="G220" s="62"/>
      <c r="H220" s="83"/>
      <c r="I220" s="215"/>
      <c r="J220" s="60"/>
      <c r="K220" s="83"/>
      <c r="L220" s="215"/>
      <c r="M220" s="60"/>
      <c r="N220" s="83"/>
      <c r="O220" s="215"/>
      <c r="P220" s="60"/>
      <c r="Q220" s="1496" t="s">
        <v>318</v>
      </c>
      <c r="R220" s="37" t="s">
        <v>339</v>
      </c>
      <c r="S220" s="37" t="s">
        <v>339</v>
      </c>
      <c r="T220" s="188" t="s">
        <v>339</v>
      </c>
      <c r="U220" s="332"/>
    </row>
    <row r="221" spans="1:21" ht="19.5" customHeight="1" x14ac:dyDescent="0.2">
      <c r="A221" s="1632"/>
      <c r="B221" s="1633"/>
      <c r="C221" s="1634"/>
      <c r="D221" s="1081"/>
      <c r="E221" s="1718"/>
      <c r="F221" s="1634"/>
      <c r="G221" s="62"/>
      <c r="H221" s="83"/>
      <c r="I221" s="215"/>
      <c r="J221" s="60"/>
      <c r="K221" s="83"/>
      <c r="L221" s="215"/>
      <c r="M221" s="60"/>
      <c r="N221" s="83"/>
      <c r="O221" s="215"/>
      <c r="P221" s="60"/>
      <c r="Q221" s="1805" t="s">
        <v>367</v>
      </c>
      <c r="R221" s="367" t="s">
        <v>312</v>
      </c>
      <c r="S221" s="1059"/>
      <c r="T221" s="367"/>
      <c r="U221" s="332"/>
    </row>
    <row r="222" spans="1:21" ht="5.25" customHeight="1" x14ac:dyDescent="0.2">
      <c r="A222" s="1632"/>
      <c r="B222" s="1633"/>
      <c r="C222" s="1634"/>
      <c r="D222" s="1081"/>
      <c r="E222" s="1718"/>
      <c r="F222" s="1634"/>
      <c r="G222" s="62"/>
      <c r="H222" s="83"/>
      <c r="I222" s="215"/>
      <c r="J222" s="60"/>
      <c r="K222" s="83"/>
      <c r="L222" s="215"/>
      <c r="M222" s="60"/>
      <c r="N222" s="83"/>
      <c r="O222" s="215"/>
      <c r="P222" s="60"/>
      <c r="Q222" s="1915"/>
      <c r="R222" s="837"/>
      <c r="S222" s="838"/>
      <c r="T222" s="837"/>
      <c r="U222" s="332"/>
    </row>
    <row r="223" spans="1:21" ht="43.5" customHeight="1" x14ac:dyDescent="0.2">
      <c r="A223" s="1632"/>
      <c r="B223" s="1633"/>
      <c r="C223" s="1728"/>
      <c r="D223" s="1606"/>
      <c r="E223" s="1718"/>
      <c r="F223" s="1634"/>
      <c r="G223" s="62"/>
      <c r="H223" s="83"/>
      <c r="I223" s="215"/>
      <c r="J223" s="60"/>
      <c r="K223" s="83"/>
      <c r="L223" s="215"/>
      <c r="M223" s="60"/>
      <c r="N223" s="83"/>
      <c r="O223" s="215"/>
      <c r="P223" s="60"/>
      <c r="Q223" s="1608" t="s">
        <v>324</v>
      </c>
      <c r="R223" s="837" t="s">
        <v>313</v>
      </c>
      <c r="S223" s="838"/>
      <c r="T223" s="837"/>
      <c r="U223" s="524"/>
    </row>
    <row r="224" spans="1:21" ht="93" customHeight="1" x14ac:dyDescent="0.2">
      <c r="A224" s="1604"/>
      <c r="B224" s="1605"/>
      <c r="C224" s="1602"/>
      <c r="D224" s="1610"/>
      <c r="E224" s="1609"/>
      <c r="F224" s="1602"/>
      <c r="G224" s="1182"/>
      <c r="H224" s="86"/>
      <c r="I224" s="42"/>
      <c r="J224" s="167"/>
      <c r="K224" s="86"/>
      <c r="L224" s="42"/>
      <c r="M224" s="167"/>
      <c r="N224" s="86"/>
      <c r="O224" s="42"/>
      <c r="P224" s="167"/>
      <c r="Q224" s="1611" t="s">
        <v>376</v>
      </c>
      <c r="R224" s="1612" t="s">
        <v>55</v>
      </c>
      <c r="S224" s="503"/>
      <c r="T224" s="304"/>
      <c r="U224" s="1613" t="s">
        <v>377</v>
      </c>
    </row>
    <row r="225" spans="1:21" ht="17.25" customHeight="1" x14ac:dyDescent="0.2">
      <c r="A225" s="1459"/>
      <c r="B225" s="1460"/>
      <c r="C225" s="1478"/>
      <c r="D225" s="1714" t="s">
        <v>104</v>
      </c>
      <c r="E225" s="1462"/>
      <c r="F225" s="1478"/>
      <c r="G225" s="62"/>
      <c r="H225" s="83"/>
      <c r="I225" s="215"/>
      <c r="J225" s="60"/>
      <c r="K225" s="83"/>
      <c r="L225" s="215"/>
      <c r="M225" s="60"/>
      <c r="N225" s="83"/>
      <c r="O225" s="215"/>
      <c r="P225" s="60"/>
      <c r="Q225" s="1716" t="s">
        <v>153</v>
      </c>
      <c r="R225" s="1524">
        <v>14</v>
      </c>
      <c r="S225" s="428">
        <v>12</v>
      </c>
      <c r="T225" s="754">
        <v>6</v>
      </c>
      <c r="U225" s="1439"/>
    </row>
    <row r="226" spans="1:21" ht="15" customHeight="1" x14ac:dyDescent="0.2">
      <c r="A226" s="1459"/>
      <c r="B226" s="1460"/>
      <c r="C226" s="1478"/>
      <c r="D226" s="1715"/>
      <c r="E226" s="1518"/>
      <c r="F226" s="1478"/>
      <c r="G226" s="1182"/>
      <c r="H226" s="86"/>
      <c r="I226" s="42"/>
      <c r="J226" s="167"/>
      <c r="K226" s="86"/>
      <c r="L226" s="42"/>
      <c r="M226" s="167"/>
      <c r="N226" s="86"/>
      <c r="O226" s="42"/>
      <c r="P226" s="167"/>
      <c r="Q226" s="1717"/>
      <c r="R226" s="20"/>
      <c r="S226" s="301"/>
      <c r="T226" s="47"/>
      <c r="U226" s="1471"/>
    </row>
    <row r="227" spans="1:21" ht="15.75" customHeight="1" x14ac:dyDescent="0.2">
      <c r="A227" s="1490"/>
      <c r="B227" s="1460"/>
      <c r="C227" s="1478"/>
      <c r="D227" s="1625" t="s">
        <v>39</v>
      </c>
      <c r="E227" s="1470"/>
      <c r="F227" s="1478"/>
      <c r="G227" s="58"/>
      <c r="H227" s="83"/>
      <c r="I227" s="215"/>
      <c r="J227" s="60"/>
      <c r="K227" s="83"/>
      <c r="L227" s="215"/>
      <c r="M227" s="60"/>
      <c r="N227" s="83"/>
      <c r="O227" s="215"/>
      <c r="P227" s="60"/>
      <c r="Q227" s="1498" t="s">
        <v>295</v>
      </c>
      <c r="R227" s="1482">
        <v>14</v>
      </c>
      <c r="S227" s="1454">
        <v>14</v>
      </c>
      <c r="T227" s="1481">
        <v>14</v>
      </c>
      <c r="U227" s="1471"/>
    </row>
    <row r="228" spans="1:21" ht="16.5" customHeight="1" x14ac:dyDescent="0.2">
      <c r="A228" s="1490"/>
      <c r="B228" s="1460"/>
      <c r="C228" s="1478"/>
      <c r="D228" s="1626"/>
      <c r="E228" s="1518"/>
      <c r="F228" s="1478"/>
      <c r="G228" s="1182"/>
      <c r="H228" s="86"/>
      <c r="I228" s="42"/>
      <c r="J228" s="167"/>
      <c r="K228" s="86"/>
      <c r="L228" s="42"/>
      <c r="M228" s="167"/>
      <c r="N228" s="86"/>
      <c r="O228" s="42"/>
      <c r="P228" s="147"/>
      <c r="Q228" s="1496"/>
      <c r="R228" s="20"/>
      <c r="S228" s="301"/>
      <c r="T228" s="47"/>
      <c r="U228" s="1471"/>
    </row>
    <row r="229" spans="1:21" ht="15" customHeight="1" x14ac:dyDescent="0.2">
      <c r="A229" s="1490"/>
      <c r="B229" s="1460"/>
      <c r="C229" s="1478"/>
      <c r="D229" s="1625" t="s">
        <v>258</v>
      </c>
      <c r="E229" s="1462"/>
      <c r="F229" s="1478"/>
      <c r="G229" s="1177"/>
      <c r="H229" s="87"/>
      <c r="I229" s="49"/>
      <c r="J229" s="187"/>
      <c r="K229" s="87"/>
      <c r="L229" s="49"/>
      <c r="M229" s="187"/>
      <c r="N229" s="87"/>
      <c r="O229" s="49"/>
      <c r="P229" s="187"/>
      <c r="Q229" s="896" t="s">
        <v>93</v>
      </c>
      <c r="R229" s="682">
        <v>1</v>
      </c>
      <c r="S229" s="300"/>
      <c r="T229" s="1509"/>
      <c r="U229" s="1471"/>
    </row>
    <row r="230" spans="1:21" ht="27.75" customHeight="1" x14ac:dyDescent="0.2">
      <c r="A230" s="1490"/>
      <c r="B230" s="1460"/>
      <c r="C230" s="1478"/>
      <c r="D230" s="1626"/>
      <c r="E230" s="1462"/>
      <c r="F230" s="1478"/>
      <c r="G230" s="1178" t="s">
        <v>100</v>
      </c>
      <c r="H230" s="86">
        <v>15</v>
      </c>
      <c r="I230" s="42">
        <v>15</v>
      </c>
      <c r="J230" s="167"/>
      <c r="K230" s="86">
        <v>63</v>
      </c>
      <c r="L230" s="42">
        <v>63</v>
      </c>
      <c r="M230" s="167"/>
      <c r="N230" s="86"/>
      <c r="O230" s="42"/>
      <c r="P230" s="167"/>
      <c r="Q230" s="475" t="s">
        <v>274</v>
      </c>
      <c r="R230" s="903"/>
      <c r="S230" s="904">
        <v>100</v>
      </c>
      <c r="T230" s="1578"/>
      <c r="U230" s="1471"/>
    </row>
    <row r="231" spans="1:21" ht="14.25" customHeight="1" x14ac:dyDescent="0.2">
      <c r="A231" s="1490"/>
      <c r="B231" s="1460"/>
      <c r="C231" s="1461"/>
      <c r="D231" s="1446" t="s">
        <v>369</v>
      </c>
      <c r="E231" s="135"/>
      <c r="F231" s="1478"/>
      <c r="G231" s="978" t="s">
        <v>100</v>
      </c>
      <c r="H231" s="788"/>
      <c r="I231" s="789"/>
      <c r="J231" s="790"/>
      <c r="K231" s="979">
        <v>5</v>
      </c>
      <c r="L231" s="789">
        <v>5</v>
      </c>
      <c r="M231" s="979"/>
      <c r="N231" s="87">
        <v>10</v>
      </c>
      <c r="O231" s="49">
        <v>10</v>
      </c>
      <c r="P231" s="187"/>
      <c r="Q231" s="980" t="s">
        <v>46</v>
      </c>
      <c r="R231" s="507"/>
      <c r="S231" s="507">
        <v>1</v>
      </c>
      <c r="T231" s="508">
        <v>2</v>
      </c>
      <c r="U231" s="1471"/>
    </row>
    <row r="232" spans="1:21" ht="26.25" customHeight="1" x14ac:dyDescent="0.2">
      <c r="A232" s="1465"/>
      <c r="B232" s="1466"/>
      <c r="C232" s="1467"/>
      <c r="D232" s="983" t="s">
        <v>372</v>
      </c>
      <c r="E232" s="1627"/>
      <c r="F232" s="1629"/>
      <c r="G232" s="974"/>
      <c r="H232" s="324"/>
      <c r="I232" s="370"/>
      <c r="J232" s="325"/>
      <c r="K232" s="99"/>
      <c r="L232" s="215"/>
      <c r="M232" s="99"/>
      <c r="N232" s="83"/>
      <c r="O232" s="215"/>
      <c r="P232" s="60"/>
      <c r="Q232" s="474" t="s">
        <v>290</v>
      </c>
      <c r="R232" s="1505"/>
      <c r="S232" s="1505"/>
      <c r="T232" s="380"/>
      <c r="U232" s="318"/>
    </row>
    <row r="233" spans="1:21" ht="12.75" customHeight="1" x14ac:dyDescent="0.2">
      <c r="A233" s="1465"/>
      <c r="B233" s="1466"/>
      <c r="C233" s="1467"/>
      <c r="D233" s="983" t="s">
        <v>370</v>
      </c>
      <c r="E233" s="1627"/>
      <c r="F233" s="1629"/>
      <c r="G233" s="974"/>
      <c r="H233" s="324"/>
      <c r="I233" s="370"/>
      <c r="J233" s="325"/>
      <c r="K233" s="99"/>
      <c r="L233" s="215"/>
      <c r="M233" s="99"/>
      <c r="N233" s="83"/>
      <c r="O233" s="215"/>
      <c r="P233" s="60"/>
      <c r="Q233" s="474"/>
      <c r="R233" s="1505"/>
      <c r="S233" s="1505"/>
      <c r="T233" s="380"/>
      <c r="U233" s="318"/>
    </row>
    <row r="234" spans="1:21" ht="13.5" customHeight="1" x14ac:dyDescent="0.2">
      <c r="A234" s="1465"/>
      <c r="B234" s="1466"/>
      <c r="C234" s="1467"/>
      <c r="D234" s="1502" t="s">
        <v>371</v>
      </c>
      <c r="E234" s="1628"/>
      <c r="F234" s="1630"/>
      <c r="G234" s="975"/>
      <c r="H234" s="124"/>
      <c r="I234" s="768"/>
      <c r="J234" s="794"/>
      <c r="K234" s="147"/>
      <c r="L234" s="42"/>
      <c r="M234" s="147"/>
      <c r="N234" s="86"/>
      <c r="O234" s="42"/>
      <c r="P234" s="167"/>
      <c r="Q234" s="475"/>
      <c r="R234" s="1505"/>
      <c r="S234" s="380"/>
      <c r="T234" s="380"/>
      <c r="U234" s="318"/>
    </row>
    <row r="235" spans="1:21" ht="13.5" customHeight="1" x14ac:dyDescent="0.2">
      <c r="A235" s="1490"/>
      <c r="B235" s="1486"/>
      <c r="C235" s="93"/>
      <c r="D235" s="1625" t="s">
        <v>368</v>
      </c>
      <c r="E235" s="1086" t="s">
        <v>47</v>
      </c>
      <c r="F235" s="600"/>
      <c r="G235" s="1184" t="s">
        <v>100</v>
      </c>
      <c r="H235" s="87">
        <v>20</v>
      </c>
      <c r="I235" s="49">
        <v>20</v>
      </c>
      <c r="J235" s="187"/>
      <c r="K235" s="87">
        <v>100</v>
      </c>
      <c r="L235" s="49">
        <v>100</v>
      </c>
      <c r="M235" s="187"/>
      <c r="N235" s="87">
        <v>200</v>
      </c>
      <c r="O235" s="49">
        <v>200</v>
      </c>
      <c r="P235" s="187"/>
      <c r="Q235" s="896" t="s">
        <v>93</v>
      </c>
      <c r="R235" s="898">
        <v>1</v>
      </c>
      <c r="S235" s="899"/>
      <c r="T235" s="1579"/>
      <c r="U235" s="1381"/>
    </row>
    <row r="236" spans="1:21" ht="25.5" customHeight="1" x14ac:dyDescent="0.2">
      <c r="A236" s="1490"/>
      <c r="B236" s="1486"/>
      <c r="C236" s="93"/>
      <c r="D236" s="1631"/>
      <c r="E236" s="327"/>
      <c r="F236" s="1442"/>
      <c r="G236" s="1185"/>
      <c r="H236" s="86"/>
      <c r="I236" s="42"/>
      <c r="J236" s="167"/>
      <c r="K236" s="86"/>
      <c r="L236" s="42"/>
      <c r="M236" s="167"/>
      <c r="N236" s="86"/>
      <c r="O236" s="42"/>
      <c r="P236" s="167"/>
      <c r="Q236" s="474" t="s">
        <v>309</v>
      </c>
      <c r="R236" s="1380"/>
      <c r="S236" s="507">
        <v>20</v>
      </c>
      <c r="T236" s="1580">
        <v>100</v>
      </c>
      <c r="U236" s="1381"/>
    </row>
    <row r="237" spans="1:21" ht="16.5" customHeight="1" thickBot="1" x14ac:dyDescent="0.25">
      <c r="A237" s="68"/>
      <c r="B237" s="1475"/>
      <c r="C237" s="52"/>
      <c r="D237" s="1376"/>
      <c r="E237" s="1377"/>
      <c r="F237" s="52"/>
      <c r="G237" s="133" t="s">
        <v>6</v>
      </c>
      <c r="H237" s="196">
        <f>SUM(H195:H236)</f>
        <v>3683.8</v>
      </c>
      <c r="I237" s="655">
        <f>SUM(I195:I236)</f>
        <v>3683.8</v>
      </c>
      <c r="J237" s="624">
        <f>SUM(J195:J236)</f>
        <v>0</v>
      </c>
      <c r="K237" s="196">
        <f t="shared" ref="K237:L237" si="36">SUM(K195:K236)</f>
        <v>3635.8</v>
      </c>
      <c r="L237" s="655">
        <f t="shared" si="36"/>
        <v>3635.8</v>
      </c>
      <c r="M237" s="624">
        <f t="shared" ref="M237:P237" si="37">SUM(M195:M236)</f>
        <v>0</v>
      </c>
      <c r="N237" s="196">
        <f t="shared" ref="N237:O237" si="38">SUM(N195:N236)</f>
        <v>3748.4</v>
      </c>
      <c r="O237" s="655">
        <f t="shared" si="38"/>
        <v>3748.4</v>
      </c>
      <c r="P237" s="624">
        <f t="shared" si="37"/>
        <v>0</v>
      </c>
      <c r="Q237" s="517"/>
      <c r="R237" s="178"/>
      <c r="S237" s="636"/>
      <c r="T237" s="177"/>
      <c r="U237" s="40"/>
    </row>
    <row r="238" spans="1:21" ht="26.25" customHeight="1" x14ac:dyDescent="0.2">
      <c r="A238" s="1490" t="s">
        <v>5</v>
      </c>
      <c r="B238" s="1460" t="s">
        <v>33</v>
      </c>
      <c r="C238" s="209" t="s">
        <v>7</v>
      </c>
      <c r="D238" s="1631" t="s">
        <v>138</v>
      </c>
      <c r="E238" s="1677" t="s">
        <v>47</v>
      </c>
      <c r="F238" s="1679" t="s">
        <v>43</v>
      </c>
      <c r="G238" s="62" t="s">
        <v>25</v>
      </c>
      <c r="H238" s="83"/>
      <c r="I238" s="215"/>
      <c r="J238" s="60"/>
      <c r="K238" s="83">
        <v>111</v>
      </c>
      <c r="L238" s="215">
        <v>111</v>
      </c>
      <c r="M238" s="60"/>
      <c r="N238" s="83">
        <v>199.3</v>
      </c>
      <c r="O238" s="215">
        <v>199.3</v>
      </c>
      <c r="P238" s="60"/>
      <c r="Q238" s="1522" t="s">
        <v>147</v>
      </c>
      <c r="R238" s="682"/>
      <c r="S238" s="310">
        <v>1</v>
      </c>
      <c r="T238" s="337"/>
      <c r="U238" s="1471"/>
    </row>
    <row r="239" spans="1:21" ht="26.25" customHeight="1" x14ac:dyDescent="0.2">
      <c r="A239" s="1490"/>
      <c r="B239" s="1460"/>
      <c r="C239" s="209"/>
      <c r="D239" s="1631"/>
      <c r="E239" s="1677"/>
      <c r="F239" s="1679"/>
      <c r="G239" s="62" t="s">
        <v>60</v>
      </c>
      <c r="H239" s="83">
        <v>83.9</v>
      </c>
      <c r="I239" s="215">
        <v>83.9</v>
      </c>
      <c r="J239" s="60"/>
      <c r="K239" s="83"/>
      <c r="L239" s="215"/>
      <c r="M239" s="60"/>
      <c r="N239" s="83"/>
      <c r="O239" s="215"/>
      <c r="P239" s="60"/>
      <c r="Q239" s="85" t="s">
        <v>229</v>
      </c>
      <c r="R239" s="25">
        <v>100</v>
      </c>
      <c r="S239" s="309"/>
      <c r="T239" s="160"/>
      <c r="U239" s="1471"/>
    </row>
    <row r="240" spans="1:21" ht="26.25" customHeight="1" x14ac:dyDescent="0.2">
      <c r="A240" s="1490"/>
      <c r="B240" s="1460"/>
      <c r="C240" s="209"/>
      <c r="D240" s="1631"/>
      <c r="E240" s="1677"/>
      <c r="F240" s="1680"/>
      <c r="G240" s="1182"/>
      <c r="H240" s="86"/>
      <c r="I240" s="42"/>
      <c r="J240" s="167"/>
      <c r="K240" s="86"/>
      <c r="L240" s="42"/>
      <c r="M240" s="167"/>
      <c r="N240" s="86"/>
      <c r="O240" s="42"/>
      <c r="P240" s="167"/>
      <c r="Q240" s="1511" t="s">
        <v>142</v>
      </c>
      <c r="R240" s="367"/>
      <c r="S240" s="1164">
        <v>30</v>
      </c>
      <c r="T240" s="508">
        <v>100</v>
      </c>
      <c r="U240" s="1471"/>
    </row>
    <row r="241" spans="1:23" ht="17.25" customHeight="1" thickBot="1" x14ac:dyDescent="0.25">
      <c r="A241" s="68"/>
      <c r="B241" s="1475"/>
      <c r="C241" s="95"/>
      <c r="D241" s="1676"/>
      <c r="E241" s="1678"/>
      <c r="F241" s="1681"/>
      <c r="G241" s="133" t="s">
        <v>6</v>
      </c>
      <c r="H241" s="196">
        <f>SUM(H238:H239)</f>
        <v>83.9</v>
      </c>
      <c r="I241" s="655">
        <f>SUM(I238:I239)</f>
        <v>83.9</v>
      </c>
      <c r="J241" s="336">
        <f>SUM(J238:J239)</f>
        <v>0</v>
      </c>
      <c r="K241" s="196">
        <f t="shared" ref="K241:L241" si="39">SUM(K238:K239)</f>
        <v>111</v>
      </c>
      <c r="L241" s="655">
        <f t="shared" si="39"/>
        <v>111</v>
      </c>
      <c r="M241" s="336">
        <f t="shared" ref="M241:P241" si="40">SUM(M238:M239)</f>
        <v>0</v>
      </c>
      <c r="N241" s="196">
        <f t="shared" ref="N241:O241" si="41">SUM(N238:N239)</f>
        <v>199.3</v>
      </c>
      <c r="O241" s="655">
        <f t="shared" si="41"/>
        <v>199.3</v>
      </c>
      <c r="P241" s="336">
        <f t="shared" si="40"/>
        <v>0</v>
      </c>
      <c r="Q241" s="1254"/>
      <c r="R241" s="189"/>
      <c r="S241" s="642"/>
      <c r="T241" s="1581"/>
      <c r="U241" s="674"/>
    </row>
    <row r="242" spans="1:23" ht="14.25" customHeight="1" thickBot="1" x14ac:dyDescent="0.25">
      <c r="A242" s="68" t="s">
        <v>5</v>
      </c>
      <c r="B242" s="1475" t="s">
        <v>33</v>
      </c>
      <c r="C242" s="1682" t="s">
        <v>8</v>
      </c>
      <c r="D242" s="1682"/>
      <c r="E242" s="1682"/>
      <c r="F242" s="1682"/>
      <c r="G242" s="1683"/>
      <c r="H242" s="668">
        <f>H241+H237</f>
        <v>3767.7</v>
      </c>
      <c r="I242" s="1475">
        <f>I241+I237</f>
        <v>3767.7</v>
      </c>
      <c r="J242" s="1583">
        <f>J241+J237</f>
        <v>0</v>
      </c>
      <c r="K242" s="668">
        <f t="shared" ref="K242:L242" si="42">K241+K237</f>
        <v>3746.8</v>
      </c>
      <c r="L242" s="1475">
        <f t="shared" si="42"/>
        <v>3746.8</v>
      </c>
      <c r="M242" s="1583">
        <f t="shared" ref="M242:P242" si="43">M241+M237</f>
        <v>0</v>
      </c>
      <c r="N242" s="668">
        <f t="shared" ref="N242:O242" si="44">N241+N237</f>
        <v>3947.7</v>
      </c>
      <c r="O242" s="1475">
        <f t="shared" si="44"/>
        <v>3947.7</v>
      </c>
      <c r="P242" s="1583">
        <f t="shared" si="43"/>
        <v>0</v>
      </c>
      <c r="Q242" s="1719"/>
      <c r="R242" s="1719"/>
      <c r="S242" s="1719"/>
      <c r="T242" s="1719"/>
      <c r="U242" s="1720"/>
    </row>
    <row r="243" spans="1:23" ht="14.25" customHeight="1" thickBot="1" x14ac:dyDescent="0.25">
      <c r="A243" s="90" t="s">
        <v>5</v>
      </c>
      <c r="B243" s="1721" t="s">
        <v>9</v>
      </c>
      <c r="C243" s="1722"/>
      <c r="D243" s="1722"/>
      <c r="E243" s="1722"/>
      <c r="F243" s="1722"/>
      <c r="G243" s="1723"/>
      <c r="H243" s="68">
        <f t="shared" ref="H243:P243" si="45">H242+H193+H147+H105</f>
        <v>27558.6</v>
      </c>
      <c r="I243" s="672">
        <f t="shared" si="45"/>
        <v>27558.6</v>
      </c>
      <c r="J243" s="1584">
        <f t="shared" si="45"/>
        <v>0</v>
      </c>
      <c r="K243" s="68">
        <f t="shared" si="45"/>
        <v>33927.599999999999</v>
      </c>
      <c r="L243" s="672">
        <f t="shared" si="45"/>
        <v>33927.599999999999</v>
      </c>
      <c r="M243" s="1584">
        <f t="shared" si="45"/>
        <v>0</v>
      </c>
      <c r="N243" s="68">
        <f t="shared" si="45"/>
        <v>27569.599999999999</v>
      </c>
      <c r="O243" s="672">
        <f t="shared" si="45"/>
        <v>27569.599999999999</v>
      </c>
      <c r="P243" s="1584">
        <f t="shared" si="45"/>
        <v>0</v>
      </c>
      <c r="Q243" s="1724"/>
      <c r="R243" s="1724"/>
      <c r="S243" s="1724"/>
      <c r="T243" s="1724"/>
      <c r="U243" s="1725"/>
    </row>
    <row r="244" spans="1:23" ht="14.25" customHeight="1" thickBot="1" x14ac:dyDescent="0.25">
      <c r="A244" s="101" t="s">
        <v>35</v>
      </c>
      <c r="B244" s="1652" t="s">
        <v>57</v>
      </c>
      <c r="C244" s="1653"/>
      <c r="D244" s="1653"/>
      <c r="E244" s="1653"/>
      <c r="F244" s="1653"/>
      <c r="G244" s="1654"/>
      <c r="H244" s="671">
        <f t="shared" ref="H244:M244" si="46">SUM(H243)</f>
        <v>27558.6</v>
      </c>
      <c r="I244" s="673">
        <f t="shared" si="46"/>
        <v>27558.6</v>
      </c>
      <c r="J244" s="1585">
        <f t="shared" si="46"/>
        <v>0</v>
      </c>
      <c r="K244" s="671">
        <f t="shared" si="46"/>
        <v>33927.599999999999</v>
      </c>
      <c r="L244" s="673">
        <f t="shared" si="46"/>
        <v>33927.599999999999</v>
      </c>
      <c r="M244" s="1585">
        <f t="shared" si="46"/>
        <v>0</v>
      </c>
      <c r="N244" s="671">
        <f t="shared" ref="N244:P244" si="47">SUM(N243)</f>
        <v>27569.599999999999</v>
      </c>
      <c r="O244" s="673">
        <f t="shared" ref="O244" si="48">SUM(O243)</f>
        <v>27569.599999999999</v>
      </c>
      <c r="P244" s="1585">
        <f t="shared" si="47"/>
        <v>0</v>
      </c>
      <c r="Q244" s="1674"/>
      <c r="R244" s="1674"/>
      <c r="S244" s="1674"/>
      <c r="T244" s="1674"/>
      <c r="U244" s="1675"/>
    </row>
    <row r="245" spans="1:23" s="5" customFormat="1" ht="17.25" customHeight="1" x14ac:dyDescent="0.2">
      <c r="A245" s="1516"/>
      <c r="B245" s="1517"/>
      <c r="C245" s="1517"/>
      <c r="D245" s="1517"/>
      <c r="E245" s="1517"/>
      <c r="F245" s="1517"/>
      <c r="G245" s="1517"/>
      <c r="H245" s="1517"/>
      <c r="I245" s="1517"/>
      <c r="J245" s="1517"/>
      <c r="K245" s="1517"/>
      <c r="L245" s="1517"/>
      <c r="M245" s="1517"/>
      <c r="N245" s="1517"/>
      <c r="O245" s="1517"/>
      <c r="P245" s="1517"/>
      <c r="Q245" s="776"/>
      <c r="R245" s="776"/>
      <c r="S245" s="776"/>
      <c r="T245" s="776"/>
      <c r="U245" s="776"/>
      <c r="W245" s="1"/>
    </row>
    <row r="246" spans="1:23" s="4" customFormat="1" ht="12" customHeight="1" x14ac:dyDescent="0.2">
      <c r="A246" s="776"/>
      <c r="B246" s="698"/>
      <c r="C246" s="698"/>
      <c r="D246" s="698"/>
      <c r="E246" s="698"/>
      <c r="F246" s="698"/>
      <c r="G246" s="698"/>
      <c r="H246" s="698"/>
      <c r="I246" s="698"/>
      <c r="J246" s="698"/>
      <c r="K246" s="698"/>
      <c r="L246" s="698"/>
      <c r="M246" s="698"/>
      <c r="N246" s="698"/>
      <c r="O246" s="698"/>
      <c r="P246" s="698"/>
      <c r="Q246" s="698"/>
      <c r="R246" s="776"/>
      <c r="S246" s="776"/>
      <c r="T246" s="776"/>
      <c r="U246" s="776"/>
      <c r="W246" s="1"/>
    </row>
    <row r="247" spans="1:23" s="5" customFormat="1" ht="15" customHeight="1" thickBot="1" x14ac:dyDescent="0.25">
      <c r="A247" s="1644" t="s">
        <v>13</v>
      </c>
      <c r="B247" s="1644"/>
      <c r="C247" s="1644"/>
      <c r="D247" s="1644"/>
      <c r="E247" s="1644"/>
      <c r="F247" s="1644"/>
      <c r="G247" s="1644"/>
      <c r="H247" s="148"/>
      <c r="I247" s="148"/>
      <c r="J247" s="148"/>
      <c r="K247" s="148"/>
      <c r="L247" s="148"/>
      <c r="M247" s="148"/>
      <c r="N247" s="148"/>
      <c r="O247" s="148"/>
      <c r="P247" s="148"/>
      <c r="Q247" s="102"/>
      <c r="R247" s="102"/>
      <c r="S247" s="102"/>
      <c r="T247" s="102"/>
      <c r="U247" s="102"/>
      <c r="W247" s="1"/>
    </row>
    <row r="248" spans="1:23" ht="75.75" customHeight="1" thickBot="1" x14ac:dyDescent="0.25">
      <c r="A248" s="1645" t="s">
        <v>10</v>
      </c>
      <c r="B248" s="1646"/>
      <c r="C248" s="1646"/>
      <c r="D248" s="1646"/>
      <c r="E248" s="1646"/>
      <c r="F248" s="1646"/>
      <c r="G248" s="1647"/>
      <c r="H248" s="1569" t="s">
        <v>251</v>
      </c>
      <c r="I248" s="1570" t="s">
        <v>375</v>
      </c>
      <c r="J248" s="1571" t="s">
        <v>242</v>
      </c>
      <c r="K248" s="1572" t="s">
        <v>167</v>
      </c>
      <c r="L248" s="1570" t="s">
        <v>243</v>
      </c>
      <c r="M248" s="1571" t="s">
        <v>242</v>
      </c>
      <c r="N248" s="1572" t="s">
        <v>247</v>
      </c>
      <c r="O248" s="1570" t="s">
        <v>374</v>
      </c>
      <c r="P248" s="1571" t="s">
        <v>242</v>
      </c>
      <c r="Q248" s="14"/>
      <c r="R248" s="14"/>
      <c r="S248" s="14"/>
      <c r="T248" s="14"/>
      <c r="U248" s="14"/>
    </row>
    <row r="249" spans="1:23" ht="14.25" customHeight="1" x14ac:dyDescent="0.2">
      <c r="A249" s="1648" t="s">
        <v>14</v>
      </c>
      <c r="B249" s="1649"/>
      <c r="C249" s="1649"/>
      <c r="D249" s="1649"/>
      <c r="E249" s="1649"/>
      <c r="F249" s="1649"/>
      <c r="G249" s="1650"/>
      <c r="H249" s="724">
        <f t="shared" ref="H249:I249" si="49">H250+H258+H259+H260+H257</f>
        <v>24850.7</v>
      </c>
      <c r="I249" s="1598">
        <f t="shared" si="49"/>
        <v>24850.7</v>
      </c>
      <c r="J249" s="1590">
        <f t="shared" ref="J249:P249" si="50">J250+J258+J259+J260+J257</f>
        <v>0</v>
      </c>
      <c r="K249" s="724">
        <f t="shared" ref="K249:L249" si="51">K250+K258+K259+K260+K257</f>
        <v>15639.6</v>
      </c>
      <c r="L249" s="1598">
        <f t="shared" si="51"/>
        <v>15639.6</v>
      </c>
      <c r="M249" s="1590">
        <f t="shared" si="50"/>
        <v>0</v>
      </c>
      <c r="N249" s="724">
        <f t="shared" ref="N249:O249" si="52">N250+N258+N259+N260+N257</f>
        <v>16160.8</v>
      </c>
      <c r="O249" s="1598">
        <f t="shared" si="52"/>
        <v>16160.8</v>
      </c>
      <c r="P249" s="1595">
        <f t="shared" si="50"/>
        <v>0</v>
      </c>
      <c r="Q249" s="14"/>
      <c r="R249" s="14"/>
      <c r="S249" s="14"/>
      <c r="T249" s="14"/>
      <c r="U249" s="14"/>
    </row>
    <row r="250" spans="1:23" ht="14.25" customHeight="1" x14ac:dyDescent="0.2">
      <c r="A250" s="1619" t="s">
        <v>92</v>
      </c>
      <c r="B250" s="1620"/>
      <c r="C250" s="1620"/>
      <c r="D250" s="1620"/>
      <c r="E250" s="1620"/>
      <c r="F250" s="1620"/>
      <c r="G250" s="1621"/>
      <c r="H250" s="725">
        <f>SUM(H251:H256)</f>
        <v>17657.5</v>
      </c>
      <c r="I250" s="675">
        <f>SUM(I251:I256)</f>
        <v>17657.5</v>
      </c>
      <c r="J250" s="1591">
        <f>SUM(J251:J256)</f>
        <v>0</v>
      </c>
      <c r="K250" s="725">
        <f t="shared" ref="K250:L250" si="53">SUM(K251:K256)</f>
        <v>11023.1</v>
      </c>
      <c r="L250" s="675">
        <f t="shared" si="53"/>
        <v>11023.1</v>
      </c>
      <c r="M250" s="1591">
        <f t="shared" ref="M250:P250" si="54">SUM(M251:M256)</f>
        <v>0</v>
      </c>
      <c r="N250" s="725">
        <f t="shared" ref="N250:O250" si="55">SUM(N251:N256)</f>
        <v>11414.1</v>
      </c>
      <c r="O250" s="675">
        <f t="shared" si="55"/>
        <v>11414.1</v>
      </c>
      <c r="P250" s="1596">
        <f t="shared" si="54"/>
        <v>0</v>
      </c>
      <c r="Q250" s="14"/>
      <c r="R250" s="14"/>
      <c r="S250" s="14"/>
      <c r="T250" s="14"/>
      <c r="U250" s="14"/>
    </row>
    <row r="251" spans="1:23" ht="14.25" customHeight="1" x14ac:dyDescent="0.2">
      <c r="A251" s="1622" t="s">
        <v>19</v>
      </c>
      <c r="B251" s="1623"/>
      <c r="C251" s="1623"/>
      <c r="D251" s="1623"/>
      <c r="E251" s="1623"/>
      <c r="F251" s="1623"/>
      <c r="G251" s="1624"/>
      <c r="H251" s="86">
        <f>SUMIF(G12:G244,"SB",H12:H244)</f>
        <v>10056.9</v>
      </c>
      <c r="I251" s="42">
        <f>SUMIF(G12:G244,"SB",I12:I244)</f>
        <v>10056.9</v>
      </c>
      <c r="J251" s="167">
        <f>SUMIF(G12:G244,"SB",J12:J244)</f>
        <v>0</v>
      </c>
      <c r="K251" s="86">
        <f>SUMIF(G14:G244,"SB",K14:K244)</f>
        <v>9129.7000000000007</v>
      </c>
      <c r="L251" s="42">
        <f>SUMIF(G14:G244,"SB",L14:L244)</f>
        <v>9129.7000000000007</v>
      </c>
      <c r="M251" s="167">
        <f>SUMIF(G14:G244,"SB",M14:M244)</f>
        <v>0</v>
      </c>
      <c r="N251" s="86">
        <f>SUMIF(G14:G244,"SB",N14:N244)</f>
        <v>9598.7999999999993</v>
      </c>
      <c r="O251" s="42">
        <f>SUMIF(G14:G244,"SB",O14:O244)</f>
        <v>9598.7999999999993</v>
      </c>
      <c r="P251" s="167">
        <f>SUMIF(G14:G244,"SB",P14:P244)</f>
        <v>0</v>
      </c>
      <c r="Q251" s="14"/>
      <c r="R251" s="14"/>
      <c r="S251" s="14"/>
      <c r="T251" s="14"/>
      <c r="U251" s="14"/>
    </row>
    <row r="252" spans="1:23" ht="14.25" customHeight="1" x14ac:dyDescent="0.2">
      <c r="A252" s="1616" t="s">
        <v>20</v>
      </c>
      <c r="B252" s="1617"/>
      <c r="C252" s="1617"/>
      <c r="D252" s="1617"/>
      <c r="E252" s="1617"/>
      <c r="F252" s="1617"/>
      <c r="G252" s="1618"/>
      <c r="H252" s="143">
        <f>SUMIF(G25:G244,"SB(P)",H25:H244)</f>
        <v>0</v>
      </c>
      <c r="I252" s="154">
        <f>SUMIF(G25:G244,"SB(P)",I25:I244)</f>
        <v>0</v>
      </c>
      <c r="J252" s="376">
        <f>SUMIF(G25:G244,"SB(P)",J25:J244)</f>
        <v>0</v>
      </c>
      <c r="K252" s="143">
        <f>SUMIF(G25:G244,"SB(P)",K25:K244)</f>
        <v>0</v>
      </c>
      <c r="L252" s="154">
        <f>SUMIF(G25:G244,"SB(P)",L25:L244)</f>
        <v>0</v>
      </c>
      <c r="M252" s="376">
        <f>SUMIF(G25:G244,"SB(P)",M25:M244)</f>
        <v>0</v>
      </c>
      <c r="N252" s="143">
        <f>SUMIF(G25:G244,"SB(P)",N25:N244)</f>
        <v>0</v>
      </c>
      <c r="O252" s="154">
        <f>SUMIF(G25:G244,"SB(P)",O25:O244)</f>
        <v>0</v>
      </c>
      <c r="P252" s="376">
        <f>SUMIF(G25:G244,"SB(P)",P25:P244)</f>
        <v>0</v>
      </c>
      <c r="Q252" s="14"/>
      <c r="R252" s="14"/>
      <c r="S252" s="14"/>
      <c r="T252" s="14"/>
      <c r="U252" s="14"/>
    </row>
    <row r="253" spans="1:23" ht="14.25" customHeight="1" x14ac:dyDescent="0.2">
      <c r="A253" s="1616" t="s">
        <v>69</v>
      </c>
      <c r="B253" s="1617"/>
      <c r="C253" s="1617"/>
      <c r="D253" s="1617"/>
      <c r="E253" s="1617"/>
      <c r="F253" s="1617"/>
      <c r="G253" s="1618"/>
      <c r="H253" s="86">
        <f>SUMIF(G25:G244,"SB(VR)",H25:H244)</f>
        <v>1770.6</v>
      </c>
      <c r="I253" s="42">
        <f>SUMIF(G25:G244,"SB(VR)",I25:I244)</f>
        <v>1770.6</v>
      </c>
      <c r="J253" s="167">
        <f>SUMIF(G25:G244,"SB(VR)",J25:J244)</f>
        <v>0</v>
      </c>
      <c r="K253" s="86">
        <f>SUMIF(G25:G244,"SB(VR)",K25:K244)</f>
        <v>1770.6</v>
      </c>
      <c r="L253" s="42">
        <f>SUMIF(G25:G244,"SB(VR)",L25:L244)</f>
        <v>1770.6</v>
      </c>
      <c r="M253" s="167">
        <f>SUMIF(G25:G244,"SB(VR)",M25:M244)</f>
        <v>0</v>
      </c>
      <c r="N253" s="86">
        <f>SUMIF(G25:G244,"SB(VR)",N25:N244)</f>
        <v>1770.6</v>
      </c>
      <c r="O253" s="42">
        <f>SUMIF(G25:G244,"SB(VR)",O25:O244)</f>
        <v>1770.6</v>
      </c>
      <c r="P253" s="167">
        <f>SUMIF(G25:G244,"SB(VR)",P25:P244)</f>
        <v>0</v>
      </c>
      <c r="Q253" s="14"/>
      <c r="R253" s="14"/>
      <c r="S253" s="14"/>
      <c r="T253" s="14"/>
      <c r="U253" s="14"/>
    </row>
    <row r="254" spans="1:23" ht="14.25" customHeight="1" x14ac:dyDescent="0.2">
      <c r="A254" s="1708" t="s">
        <v>237</v>
      </c>
      <c r="B254" s="1709"/>
      <c r="C254" s="1709"/>
      <c r="D254" s="1709"/>
      <c r="E254" s="1709"/>
      <c r="F254" s="1709"/>
      <c r="G254" s="1710"/>
      <c r="H254" s="143">
        <f>SUMIF(G15:G239,"SB(ES)",H15:H239)</f>
        <v>5830</v>
      </c>
      <c r="I254" s="154">
        <f>SUMIF(G15:G239,"SB(ES)",I15:I239)</f>
        <v>5830</v>
      </c>
      <c r="J254" s="376">
        <f>SUMIF(G15:G238,"SB(ES)",J15:J238)</f>
        <v>0</v>
      </c>
      <c r="K254" s="143">
        <f>SUMIF(G15:G239,"SB(ES)",K15:K239)</f>
        <v>122.8</v>
      </c>
      <c r="L254" s="154">
        <f>SUMIF(G15:G239,"SB(ES)",L15:L239)</f>
        <v>122.8</v>
      </c>
      <c r="M254" s="376">
        <f>SUMIF(G15:G239,"SB(ES)",M15:M239)</f>
        <v>0</v>
      </c>
      <c r="N254" s="143">
        <f>SUMIF(G15:G239,"SB(ES)",N15:N239)</f>
        <v>0</v>
      </c>
      <c r="O254" s="154">
        <f>SUMIF(G15:G239,"SB(ES)",O15:O239)</f>
        <v>0</v>
      </c>
      <c r="P254" s="376">
        <f>SUMIF(G15:G238,"SB(ES)",P15:P238)</f>
        <v>0</v>
      </c>
      <c r="Q254" s="14"/>
      <c r="R254" s="14"/>
      <c r="S254" s="14"/>
      <c r="T254" s="14"/>
      <c r="U254" s="14"/>
    </row>
    <row r="255" spans="1:23" ht="14.25" customHeight="1" x14ac:dyDescent="0.2">
      <c r="A255" s="1708" t="s">
        <v>272</v>
      </c>
      <c r="B255" s="1709"/>
      <c r="C255" s="1709"/>
      <c r="D255" s="1709"/>
      <c r="E255" s="1709"/>
      <c r="F255" s="1709"/>
      <c r="G255" s="1710"/>
      <c r="H255" s="143">
        <f>SUMIF(G25:G239,"SB(VB)",H25:H239)</f>
        <v>0</v>
      </c>
      <c r="I255" s="154">
        <f>SUMIF(G25:G239,"SB(VB)",I25:I239)</f>
        <v>0</v>
      </c>
      <c r="J255" s="376">
        <f>SUMIF(G25:G239,"SB(VB)",J25:J239)</f>
        <v>0</v>
      </c>
      <c r="K255" s="143">
        <f>SUMIF(G25:G240,"SB(VB)",K25:K240)</f>
        <v>0</v>
      </c>
      <c r="L255" s="154">
        <f>SUMIF(G25:G240,"SB(VB)",L25:L240)</f>
        <v>0</v>
      </c>
      <c r="M255" s="376">
        <f>SUMIF(G25:G240,"SB(VB)",M25:M240)</f>
        <v>0</v>
      </c>
      <c r="N255" s="143">
        <f>SUMIF(G13:G239,"SB(VB)",N13:N239)</f>
        <v>44.7</v>
      </c>
      <c r="O255" s="154">
        <f>SUMIF(G13:G239,"SB(VB)",O13:O239)</f>
        <v>44.7</v>
      </c>
      <c r="P255" s="376">
        <f>SUMIF(G13:G239,"SB(VB)",P13:P239)</f>
        <v>0</v>
      </c>
      <c r="Q255" s="14"/>
      <c r="R255" s="14"/>
      <c r="S255" s="14"/>
      <c r="T255" s="14"/>
      <c r="U255" s="14"/>
    </row>
    <row r="256" spans="1:23" ht="29.25" customHeight="1" x14ac:dyDescent="0.2">
      <c r="A256" s="1635" t="s">
        <v>333</v>
      </c>
      <c r="B256" s="1636"/>
      <c r="C256" s="1636"/>
      <c r="D256" s="1636"/>
      <c r="E256" s="1636"/>
      <c r="F256" s="1636"/>
      <c r="G256" s="1637"/>
      <c r="H256" s="143">
        <f>SUMIF(G23:G245,"SB(KP)",H23:H245)</f>
        <v>0</v>
      </c>
      <c r="I256" s="154">
        <f>SUMIF(G23:G245,"SB(KP)",I23:I245)</f>
        <v>0</v>
      </c>
      <c r="J256" s="376">
        <f>SUMIF(G23:G245,"SB(KP)",J23:J245)</f>
        <v>0</v>
      </c>
      <c r="K256" s="143">
        <f>SUMIF(G23:G245,"SB(KP)",K23:K245)</f>
        <v>0</v>
      </c>
      <c r="L256" s="154">
        <f>SUMIF(G23:G245,"SB(KP)",L23:L245)</f>
        <v>0</v>
      </c>
      <c r="M256" s="376">
        <f>SUMIF(G23:G245,"SB(KP)",M23:M245)</f>
        <v>0</v>
      </c>
      <c r="N256" s="143">
        <f>SUMIF(G23:G245,"SB(KP)",N23:N245)</f>
        <v>0</v>
      </c>
      <c r="O256" s="154">
        <f>SUMIF(G23:G245,"SB(KP)",O23:O245)</f>
        <v>0</v>
      </c>
      <c r="P256" s="376">
        <f>SUMIF(G23:G245,"SB(KP)",P23:P245)</f>
        <v>0</v>
      </c>
      <c r="Q256" s="14"/>
      <c r="R256" s="14"/>
      <c r="S256" s="14"/>
      <c r="T256" s="14"/>
      <c r="U256" s="14"/>
    </row>
    <row r="257" spans="1:21" ht="15.75" customHeight="1" x14ac:dyDescent="0.2">
      <c r="A257" s="1638" t="s">
        <v>334</v>
      </c>
      <c r="B257" s="1639"/>
      <c r="C257" s="1639"/>
      <c r="D257" s="1639"/>
      <c r="E257" s="1639"/>
      <c r="F257" s="1639"/>
      <c r="G257" s="1640"/>
      <c r="H257" s="1588">
        <f>SUMIF(G14:G244,"SB(KPP)",H14:H244)</f>
        <v>4877.8</v>
      </c>
      <c r="I257" s="1599">
        <f>SUMIF(G14:G244,"SB(KPP)",I14:I244)</f>
        <v>4877.8</v>
      </c>
      <c r="J257" s="1592">
        <f>SUMIF(G14:G244,"SB(KPP)",J14:J244)</f>
        <v>0</v>
      </c>
      <c r="K257" s="1588">
        <f>SUMIF(G12:G244,"SB(KPP)",K12:K244)</f>
        <v>4616.5</v>
      </c>
      <c r="L257" s="1599">
        <f>SUMIF(G12:G244,"SB(KPP)",L12:L244)</f>
        <v>4616.5</v>
      </c>
      <c r="M257" s="1592">
        <f>SUMIF(G12:G244,"SB(KPP)",M12:M244)</f>
        <v>0</v>
      </c>
      <c r="N257" s="1588">
        <f>SUMIF(G14:G244,"SB(KPP)",N14:N244)</f>
        <v>4746.7</v>
      </c>
      <c r="O257" s="1599">
        <f>SUMIF(G14:G244,"SB(KPP)",O14:O244)</f>
        <v>4746.7</v>
      </c>
      <c r="P257" s="1592">
        <f>SUMIF(G14:G244,"SB(KPP)",P14:P244)</f>
        <v>0</v>
      </c>
      <c r="Q257" s="14"/>
      <c r="R257" s="14"/>
      <c r="S257" s="14"/>
      <c r="T257" s="14"/>
      <c r="U257" s="14"/>
    </row>
    <row r="258" spans="1:21" ht="14.25" customHeight="1" x14ac:dyDescent="0.2">
      <c r="A258" s="1641" t="s">
        <v>97</v>
      </c>
      <c r="B258" s="1642"/>
      <c r="C258" s="1642"/>
      <c r="D258" s="1642"/>
      <c r="E258" s="1642"/>
      <c r="F258" s="1642"/>
      <c r="G258" s="1643"/>
      <c r="H258" s="1588">
        <f>SUMIF(G25:G243,"SB(VRL)",H25:H243)</f>
        <v>761.9</v>
      </c>
      <c r="I258" s="1599">
        <f>SUMIF(G25:G243,"SB(VRL)",I25:I243)</f>
        <v>761.9</v>
      </c>
      <c r="J258" s="1592">
        <f>SUMIF(G25:G243,"SB(VRL)",J25:J243)</f>
        <v>0</v>
      </c>
      <c r="K258" s="1588">
        <f>SUMIF(G13:G243,"SB(VRL)",K13:K243)</f>
        <v>0</v>
      </c>
      <c r="L258" s="1599">
        <f>SUMIF(G13:G243,"SB(VRL)",L13:L243)</f>
        <v>0</v>
      </c>
      <c r="M258" s="1592">
        <f>SUMIF(G13:G243,"SB(VRL)",M13:M243)</f>
        <v>0</v>
      </c>
      <c r="N258" s="1588">
        <f>SUMIF(G13:G243,"SB(VRL)",N13:N243)</f>
        <v>0</v>
      </c>
      <c r="O258" s="1599">
        <f>SUMIF(G13:G243,"SB(VRL)",O13:O243)</f>
        <v>0</v>
      </c>
      <c r="P258" s="1592">
        <f>SUMIF(G13:G243,"SB(VRL)",P13:P243)</f>
        <v>0</v>
      </c>
      <c r="Q258" s="14"/>
      <c r="R258" s="14"/>
      <c r="S258" s="14"/>
      <c r="T258" s="14"/>
      <c r="U258" s="14"/>
    </row>
    <row r="259" spans="1:21" ht="14.25" customHeight="1" x14ac:dyDescent="0.2">
      <c r="A259" s="1638" t="s">
        <v>98</v>
      </c>
      <c r="B259" s="1642"/>
      <c r="C259" s="1642"/>
      <c r="D259" s="1642"/>
      <c r="E259" s="1642"/>
      <c r="F259" s="1642"/>
      <c r="G259" s="1643"/>
      <c r="H259" s="1588">
        <f>SUMIF(G13:G244,"SB(ŽPL)",H13:H244)</f>
        <v>480.6</v>
      </c>
      <c r="I259" s="1599">
        <f>SUMIF(G13:G244,"SB(ŽPL)",I13:I244)</f>
        <v>480.6</v>
      </c>
      <c r="J259" s="1592">
        <f>SUMIF(G13:G244,"SB(ŽPL)",J13:J244)</f>
        <v>0</v>
      </c>
      <c r="K259" s="1588">
        <f>SUMIF(G25:G244,"SB(ŽPL)",K25:K244)</f>
        <v>0</v>
      </c>
      <c r="L259" s="1599">
        <f>SUMIF(G25:G244,"SB(ŽPL)",L25:L244)</f>
        <v>0</v>
      </c>
      <c r="M259" s="1592">
        <f>SUMIF(G25:G244,"SB(ŽPL)",M25:M244)</f>
        <v>0</v>
      </c>
      <c r="N259" s="1588">
        <f>SUMIF(G25:G244,"SB(ŽPL)",N25:N244)</f>
        <v>0</v>
      </c>
      <c r="O259" s="1599">
        <f>SUMIF(G25:G244,"SB(ŽPL)",O25:O244)</f>
        <v>0</v>
      </c>
      <c r="P259" s="1592">
        <f>SUMIF(G25:G244,"SB(ŽPL)",P25:P244)</f>
        <v>0</v>
      </c>
      <c r="Q259" s="14"/>
      <c r="R259" s="14"/>
      <c r="S259" s="14"/>
      <c r="T259" s="14"/>
      <c r="U259" s="14"/>
    </row>
    <row r="260" spans="1:21" ht="14.25" customHeight="1" x14ac:dyDescent="0.2">
      <c r="A260" s="1702" t="s">
        <v>172</v>
      </c>
      <c r="B260" s="1703"/>
      <c r="C260" s="1703"/>
      <c r="D260" s="1703"/>
      <c r="E260" s="1703"/>
      <c r="F260" s="1703"/>
      <c r="G260" s="1704"/>
      <c r="H260" s="1588">
        <f>SUMIF(G13:G244,"SB(L)",H13:H244)</f>
        <v>1072.9000000000001</v>
      </c>
      <c r="I260" s="1599">
        <f>SUMIF(G13:G244,"SB(L)",I13:I244)</f>
        <v>1072.9000000000001</v>
      </c>
      <c r="J260" s="1592">
        <f>SUMIF(G13:G244,"SB(L)",J13:J244)</f>
        <v>0</v>
      </c>
      <c r="K260" s="1588">
        <f>SUMIF(G13:G244,"SB(L)",K13:K244)</f>
        <v>0</v>
      </c>
      <c r="L260" s="1599">
        <f>SUMIF(G13:G244,"SB(L)",L13:L244)</f>
        <v>0</v>
      </c>
      <c r="M260" s="1592">
        <f>SUMIF(G13:G244,"SB(L)",M13:M244)</f>
        <v>0</v>
      </c>
      <c r="N260" s="1588">
        <f>SUMIF(G13:G244,"SB(L)",N13:N244)</f>
        <v>0</v>
      </c>
      <c r="O260" s="1599">
        <f>SUMIF(G13:G244,"SB(L)",O13:O244)</f>
        <v>0</v>
      </c>
      <c r="P260" s="1592">
        <f>SUMIF(G13:G244,"SB(L)",P13:P244)</f>
        <v>0</v>
      </c>
      <c r="Q260" s="14"/>
      <c r="R260" s="14"/>
      <c r="S260" s="14"/>
      <c r="T260" s="14"/>
      <c r="U260" s="14"/>
    </row>
    <row r="261" spans="1:21" ht="14.25" customHeight="1" x14ac:dyDescent="0.2">
      <c r="A261" s="1705" t="s">
        <v>15</v>
      </c>
      <c r="B261" s="1706"/>
      <c r="C261" s="1706"/>
      <c r="D261" s="1706"/>
      <c r="E261" s="1706"/>
      <c r="F261" s="1706"/>
      <c r="G261" s="1707"/>
      <c r="H261" s="770">
        <f t="shared" ref="H261:M261" si="56">H264+H265+H266+H262+H263</f>
        <v>2707.9</v>
      </c>
      <c r="I261" s="771">
        <f t="shared" si="56"/>
        <v>2707.9</v>
      </c>
      <c r="J261" s="772">
        <f t="shared" si="56"/>
        <v>0</v>
      </c>
      <c r="K261" s="770">
        <f t="shared" si="56"/>
        <v>18288</v>
      </c>
      <c r="L261" s="771">
        <f t="shared" si="56"/>
        <v>18288</v>
      </c>
      <c r="M261" s="772">
        <f t="shared" si="56"/>
        <v>0</v>
      </c>
      <c r="N261" s="770">
        <f t="shared" ref="N261:P261" si="57">N264+N265+N266+N262+N263</f>
        <v>11408.8</v>
      </c>
      <c r="O261" s="771">
        <f t="shared" ref="O261" si="58">O264+O265+O266+O262+O263</f>
        <v>11408.8</v>
      </c>
      <c r="P261" s="772">
        <f t="shared" si="57"/>
        <v>0</v>
      </c>
      <c r="Q261" s="14"/>
      <c r="R261" s="14"/>
      <c r="S261" s="14"/>
      <c r="T261" s="14"/>
      <c r="U261" s="14"/>
    </row>
    <row r="262" spans="1:21" ht="14.25" customHeight="1" x14ac:dyDescent="0.2">
      <c r="A262" s="1708" t="s">
        <v>21</v>
      </c>
      <c r="B262" s="1709"/>
      <c r="C262" s="1709"/>
      <c r="D262" s="1709"/>
      <c r="E262" s="1709"/>
      <c r="F262" s="1709"/>
      <c r="G262" s="1710"/>
      <c r="H262" s="143">
        <f>SUMIF(G11:G244,"ES",H11:H244)</f>
        <v>919.1</v>
      </c>
      <c r="I262" s="154">
        <f>SUMIF(G11:G244,"ES",I11:I244)</f>
        <v>919.1</v>
      </c>
      <c r="J262" s="376">
        <f>SUMIF(G11:G244,"ES",J11:J244)</f>
        <v>0</v>
      </c>
      <c r="K262" s="143">
        <f>SUMIF(G11:G244,"ES",K11:K244)</f>
        <v>1653</v>
      </c>
      <c r="L262" s="154">
        <f>SUMIF(G11:G244,"ES",L11:L244)</f>
        <v>1653</v>
      </c>
      <c r="M262" s="376">
        <f>SUMIF(G11:G244,"ES",M11:M244)</f>
        <v>0</v>
      </c>
      <c r="N262" s="143">
        <f>SUMIF(G11:G244,"ES",N11:N244)</f>
        <v>1799.7</v>
      </c>
      <c r="O262" s="154">
        <f>SUMIF(G11:G244,"ES",O11:O244)</f>
        <v>1799.7</v>
      </c>
      <c r="P262" s="376">
        <f>SUMIF(G11:G244,"ES",P11:P244)</f>
        <v>0</v>
      </c>
      <c r="Q262" s="14"/>
      <c r="R262" s="14"/>
      <c r="S262" s="14"/>
      <c r="T262" s="14"/>
      <c r="U262" s="14"/>
    </row>
    <row r="263" spans="1:21" ht="14.25" customHeight="1" x14ac:dyDescent="0.2">
      <c r="A263" s="1711" t="s">
        <v>332</v>
      </c>
      <c r="B263" s="1712"/>
      <c r="C263" s="1712"/>
      <c r="D263" s="1712"/>
      <c r="E263" s="1712"/>
      <c r="F263" s="1712"/>
      <c r="G263" s="1713"/>
      <c r="H263" s="727">
        <f>SUMIF(G14:G243,"KPP(VIP)",H14:H243)</f>
        <v>0</v>
      </c>
      <c r="I263" s="1600">
        <f>SUMIF(G14:G243,"KPP(VIP)",I14:I243)</f>
        <v>0</v>
      </c>
      <c r="J263" s="1593">
        <f>SUMIF(G14:G243,"KPP(VIP)",J14:J243)</f>
        <v>0</v>
      </c>
      <c r="K263" s="727">
        <f>SUMIF(G14:G243,"KPP(VIP)",K14:K243)</f>
        <v>10000</v>
      </c>
      <c r="L263" s="1600">
        <f>SUMIF(G14:G243,"KPP(VIP)",L14:L243)</f>
        <v>10000</v>
      </c>
      <c r="M263" s="1593">
        <f>SUMIF(G14:G243,"KPP(VIP)",M14:M243)</f>
        <v>0</v>
      </c>
      <c r="N263" s="727">
        <f>SUMIF(G14:G243,"KPP(VIP)",N14:N243)</f>
        <v>0</v>
      </c>
      <c r="O263" s="1600">
        <f>SUMIF(G14:G243,"KPP(VIP)",O14:O243)</f>
        <v>0</v>
      </c>
      <c r="P263" s="1597">
        <f>SUMIF(G14:G243,"KPP(VIP)",P14:P243)</f>
        <v>0</v>
      </c>
      <c r="Q263" s="14"/>
      <c r="R263" s="14"/>
      <c r="S263" s="14"/>
      <c r="T263" s="14"/>
      <c r="U263" s="14"/>
    </row>
    <row r="264" spans="1:21" ht="14.25" customHeight="1" x14ac:dyDescent="0.2">
      <c r="A264" s="1711" t="s">
        <v>22</v>
      </c>
      <c r="B264" s="1712"/>
      <c r="C264" s="1712"/>
      <c r="D264" s="1712"/>
      <c r="E264" s="1712"/>
      <c r="F264" s="1712"/>
      <c r="G264" s="1713"/>
      <c r="H264" s="143">
        <f>SUMIF(G13:G244,"KVJUD",H13:H244)</f>
        <v>1662.4</v>
      </c>
      <c r="I264" s="154">
        <f>SUMIF(G13:G244,"KVJUD",I13:I244)</f>
        <v>1662.4</v>
      </c>
      <c r="J264" s="376">
        <f>SUMIF(G13:G244,"KVJUD",J13:J244)</f>
        <v>0</v>
      </c>
      <c r="K264" s="143">
        <f>SUMIF(G15:G244,"KVJUD",K15:K244)</f>
        <v>1500</v>
      </c>
      <c r="L264" s="154">
        <f>SUMIF(G15:G244,"KVJUD",L15:L244)</f>
        <v>1500</v>
      </c>
      <c r="M264" s="376">
        <f>SUMIF(G15:G244,"KVJUD",M15:M244)</f>
        <v>0</v>
      </c>
      <c r="N264" s="143">
        <f>SUMIF(G15:G244,"KVJUD",N15:N244)</f>
        <v>1000</v>
      </c>
      <c r="O264" s="154">
        <f>SUMIF(G15:G244,"KVJUD",O15:O244)</f>
        <v>1000</v>
      </c>
      <c r="P264" s="376">
        <f>SUMIF(G15:G244,"KVJUD",P15:P244)</f>
        <v>0</v>
      </c>
      <c r="Q264" s="50"/>
      <c r="R264" s="50"/>
      <c r="S264" s="50"/>
      <c r="T264" s="50"/>
      <c r="U264" s="50"/>
    </row>
    <row r="265" spans="1:21" ht="14.25" customHeight="1" x14ac:dyDescent="0.2">
      <c r="A265" s="1616" t="s">
        <v>23</v>
      </c>
      <c r="B265" s="1617"/>
      <c r="C265" s="1617"/>
      <c r="D265" s="1617"/>
      <c r="E265" s="1617"/>
      <c r="F265" s="1617"/>
      <c r="G265" s="1618"/>
      <c r="H265" s="143">
        <f>SUMIF(G25:G244,"LRVB",H25:H244)</f>
        <v>0</v>
      </c>
      <c r="I265" s="154">
        <f>SUMIF(G25:G244,"LRVB",I25:I244)</f>
        <v>0</v>
      </c>
      <c r="J265" s="376">
        <f>SUMIF(G25:G244,"LRVB",J25:J244)</f>
        <v>0</v>
      </c>
      <c r="K265" s="143">
        <f>SUMIF(G25:G244,"LRVB",K25:K244)</f>
        <v>5000</v>
      </c>
      <c r="L265" s="154">
        <f>SUMIF(G25:G244,"LRVB",L25:L244)</f>
        <v>5000</v>
      </c>
      <c r="M265" s="376">
        <f>SUMIF(G25:G244,"LRVB",M25:M244)</f>
        <v>0</v>
      </c>
      <c r="N265" s="143">
        <f>SUMIF(G25:G244,"LRVB",N25:N244)</f>
        <v>8609.1</v>
      </c>
      <c r="O265" s="154">
        <f>SUMIF(G25:G244,"LRVB",O25:O244)</f>
        <v>8609.1</v>
      </c>
      <c r="P265" s="376">
        <f>SUMIF(G25:G244,"LRVB",P25:P244)</f>
        <v>0</v>
      </c>
      <c r="Q265" s="50"/>
      <c r="R265" s="50"/>
      <c r="S265" s="50"/>
      <c r="T265" s="50"/>
      <c r="U265" s="50"/>
    </row>
    <row r="266" spans="1:21" ht="14.25" customHeight="1" x14ac:dyDescent="0.2">
      <c r="A266" s="1684" t="s">
        <v>24</v>
      </c>
      <c r="B266" s="1685"/>
      <c r="C266" s="1685"/>
      <c r="D266" s="1685"/>
      <c r="E266" s="1685"/>
      <c r="F266" s="1685"/>
      <c r="G266" s="1686"/>
      <c r="H266" s="143">
        <f>SUMIF(G15:G244,"Kt",H15:H244)</f>
        <v>126.4</v>
      </c>
      <c r="I266" s="154">
        <f>SUMIF(G15:G244,"Kt",I15:I244)</f>
        <v>126.4</v>
      </c>
      <c r="J266" s="376">
        <f>SUMIF(G15:G244,"Kt",J15:J244)</f>
        <v>0</v>
      </c>
      <c r="K266" s="143">
        <f>SUMIF(G15:G244,"Kt",K15:K244)</f>
        <v>135</v>
      </c>
      <c r="L266" s="154">
        <f>SUMIF(G15:G244,"Kt",L15:L244)</f>
        <v>135</v>
      </c>
      <c r="M266" s="376">
        <f>SUMIF(G15:G244,"Kt",M15:M244)</f>
        <v>0</v>
      </c>
      <c r="N266" s="143">
        <f>SUMIF(G15:G244,"Kt",N15:N244)</f>
        <v>0</v>
      </c>
      <c r="O266" s="154">
        <f>SUMIF(G15:G244,"Kt",O15:O244)</f>
        <v>0</v>
      </c>
      <c r="P266" s="376">
        <f>SUMIF(G15:G244,"Kt",P15:P244)</f>
        <v>0</v>
      </c>
      <c r="Q266" s="50"/>
      <c r="R266" s="50"/>
      <c r="S266" s="50"/>
      <c r="T266" s="50"/>
      <c r="U266" s="50"/>
    </row>
    <row r="267" spans="1:21" ht="14.25" customHeight="1" thickBot="1" x14ac:dyDescent="0.25">
      <c r="A267" s="1687" t="s">
        <v>16</v>
      </c>
      <c r="B267" s="1688"/>
      <c r="C267" s="1688"/>
      <c r="D267" s="1688"/>
      <c r="E267" s="1688"/>
      <c r="F267" s="1688"/>
      <c r="G267" s="1689"/>
      <c r="H267" s="1589">
        <f t="shared" ref="H267:P267" si="59">SUM(H249,H261)</f>
        <v>27558.6</v>
      </c>
      <c r="I267" s="1601">
        <f t="shared" si="59"/>
        <v>27558.6</v>
      </c>
      <c r="J267" s="1594">
        <f t="shared" si="59"/>
        <v>0</v>
      </c>
      <c r="K267" s="1589">
        <f t="shared" si="59"/>
        <v>33927.599999999999</v>
      </c>
      <c r="L267" s="1601">
        <f t="shared" si="59"/>
        <v>33927.599999999999</v>
      </c>
      <c r="M267" s="1594">
        <f t="shared" si="59"/>
        <v>0</v>
      </c>
      <c r="N267" s="1589">
        <f t="shared" si="59"/>
        <v>27569.599999999999</v>
      </c>
      <c r="O267" s="1601">
        <f t="shared" si="59"/>
        <v>27569.599999999999</v>
      </c>
      <c r="P267" s="1594">
        <f t="shared" si="59"/>
        <v>0</v>
      </c>
      <c r="Q267" s="50"/>
      <c r="R267" s="50"/>
      <c r="S267" s="50"/>
      <c r="T267" s="50"/>
      <c r="U267" s="50"/>
    </row>
    <row r="268" spans="1:21" x14ac:dyDescent="0.2">
      <c r="G268" s="678"/>
      <c r="H268" s="679"/>
      <c r="I268" s="679"/>
      <c r="J268" s="679"/>
      <c r="K268" s="679"/>
      <c r="L268" s="679"/>
      <c r="M268" s="679"/>
      <c r="N268" s="679"/>
      <c r="O268" s="679"/>
      <c r="P268" s="679"/>
      <c r="Q268" s="4"/>
    </row>
    <row r="269" spans="1:21" x14ac:dyDescent="0.2">
      <c r="E269" s="1863" t="s">
        <v>348</v>
      </c>
      <c r="F269" s="1863"/>
      <c r="G269" s="1863"/>
      <c r="H269" s="1863"/>
      <c r="I269" s="1863"/>
      <c r="J269" s="1863"/>
      <c r="K269" s="1863"/>
      <c r="L269" s="1863"/>
      <c r="M269" s="1863"/>
      <c r="N269" s="1863"/>
      <c r="O269" s="1863"/>
      <c r="P269" s="1863"/>
      <c r="Q269" s="4"/>
    </row>
    <row r="270" spans="1:21" x14ac:dyDescent="0.2">
      <c r="G270" s="678"/>
      <c r="H270" s="700"/>
      <c r="I270" s="700"/>
      <c r="J270" s="700"/>
      <c r="K270" s="700"/>
      <c r="L270" s="700"/>
      <c r="M270" s="700"/>
      <c r="N270" s="700"/>
      <c r="O270" s="700"/>
      <c r="P270" s="700"/>
      <c r="Q270" s="4"/>
    </row>
    <row r="271" spans="1:21" x14ac:dyDescent="0.2">
      <c r="A271" s="1"/>
      <c r="B271" s="1"/>
      <c r="C271" s="1"/>
      <c r="D271" s="1"/>
      <c r="E271" s="1"/>
      <c r="F271" s="1"/>
      <c r="G271" s="1"/>
      <c r="H271" s="50"/>
      <c r="I271" s="50"/>
      <c r="J271" s="50"/>
      <c r="K271" s="50"/>
      <c r="L271" s="50"/>
      <c r="M271" s="50"/>
      <c r="N271" s="50"/>
      <c r="O271" s="50"/>
      <c r="P271" s="50"/>
      <c r="Q271" s="1"/>
      <c r="R271" s="1"/>
      <c r="S271" s="1"/>
      <c r="T271" s="1"/>
      <c r="U271" s="1"/>
    </row>
    <row r="272" spans="1:21" x14ac:dyDescent="0.2">
      <c r="A272" s="1"/>
      <c r="B272" s="1"/>
      <c r="C272" s="1"/>
      <c r="D272" s="1"/>
      <c r="E272" s="1"/>
      <c r="F272" s="1"/>
      <c r="G272" s="1"/>
      <c r="H272" s="50"/>
      <c r="I272" s="50"/>
      <c r="J272" s="50"/>
      <c r="K272" s="50"/>
      <c r="L272" s="50"/>
      <c r="M272" s="50"/>
      <c r="N272" s="50"/>
      <c r="O272" s="50"/>
      <c r="P272" s="50"/>
      <c r="Q272" s="1"/>
      <c r="R272" s="1"/>
      <c r="S272" s="1"/>
      <c r="T272" s="1"/>
      <c r="U272" s="1"/>
    </row>
    <row r="273" spans="5:60" s="2" customFormat="1" x14ac:dyDescent="0.2">
      <c r="E273" s="8"/>
      <c r="F273" s="11"/>
      <c r="G273" s="3"/>
      <c r="K273" s="14"/>
      <c r="L273" s="14"/>
      <c r="M273" s="14"/>
      <c r="N273" s="14"/>
      <c r="O273" s="14"/>
      <c r="P273" s="14"/>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sheetData>
  <mergeCells count="259">
    <mergeCell ref="A4:U4"/>
    <mergeCell ref="A5:U5"/>
    <mergeCell ref="A6:U6"/>
    <mergeCell ref="Q7:U7"/>
    <mergeCell ref="A8:A10"/>
    <mergeCell ref="B8:B10"/>
    <mergeCell ref="C8:C10"/>
    <mergeCell ref="D8:D10"/>
    <mergeCell ref="E8:E10"/>
    <mergeCell ref="A11:U11"/>
    <mergeCell ref="A12:U12"/>
    <mergeCell ref="B13:U13"/>
    <mergeCell ref="C14:U14"/>
    <mergeCell ref="D15:D17"/>
    <mergeCell ref="E15:E17"/>
    <mergeCell ref="F8:F10"/>
    <mergeCell ref="G8:G10"/>
    <mergeCell ref="J8:J10"/>
    <mergeCell ref="M8:M10"/>
    <mergeCell ref="P8:P10"/>
    <mergeCell ref="Q9:Q10"/>
    <mergeCell ref="Q8:T8"/>
    <mergeCell ref="R9:T9"/>
    <mergeCell ref="A29:A30"/>
    <mergeCell ref="B29:B30"/>
    <mergeCell ref="C29:C30"/>
    <mergeCell ref="D29:D30"/>
    <mergeCell ref="F29:F30"/>
    <mergeCell ref="D31:D33"/>
    <mergeCell ref="D22:D24"/>
    <mergeCell ref="Q22:Q23"/>
    <mergeCell ref="E23:E24"/>
    <mergeCell ref="A25:A28"/>
    <mergeCell ref="B25:B28"/>
    <mergeCell ref="C25:C28"/>
    <mergeCell ref="D25:D28"/>
    <mergeCell ref="F25:F28"/>
    <mergeCell ref="E26:E28"/>
    <mergeCell ref="Q27:Q28"/>
    <mergeCell ref="Q31:Q32"/>
    <mergeCell ref="E32:E33"/>
    <mergeCell ref="D34:D35"/>
    <mergeCell ref="A36:A38"/>
    <mergeCell ref="B36:B38"/>
    <mergeCell ref="C36:C38"/>
    <mergeCell ref="D36:D38"/>
    <mergeCell ref="F36:F38"/>
    <mergeCell ref="Q36:Q37"/>
    <mergeCell ref="E37:E38"/>
    <mergeCell ref="D39:D40"/>
    <mergeCell ref="F39:F40"/>
    <mergeCell ref="D42:D44"/>
    <mergeCell ref="E42:E44"/>
    <mergeCell ref="A45:A49"/>
    <mergeCell ref="B45:B49"/>
    <mergeCell ref="C45:C49"/>
    <mergeCell ref="D45:D49"/>
    <mergeCell ref="F45:F49"/>
    <mergeCell ref="F53:F54"/>
    <mergeCell ref="D55:D56"/>
    <mergeCell ref="E55:E56"/>
    <mergeCell ref="F55:F56"/>
    <mergeCell ref="Q45:Q46"/>
    <mergeCell ref="A50:A52"/>
    <mergeCell ref="B50:B52"/>
    <mergeCell ref="C50:C52"/>
    <mergeCell ref="D50:D52"/>
    <mergeCell ref="F50:F52"/>
    <mergeCell ref="Q50:Q51"/>
    <mergeCell ref="D58:D60"/>
    <mergeCell ref="E58:E62"/>
    <mergeCell ref="A63:A66"/>
    <mergeCell ref="B63:B66"/>
    <mergeCell ref="C63:C66"/>
    <mergeCell ref="D63:D64"/>
    <mergeCell ref="E63:E66"/>
    <mergeCell ref="D53:D54"/>
    <mergeCell ref="E53:E54"/>
    <mergeCell ref="D73:D74"/>
    <mergeCell ref="E73:E76"/>
    <mergeCell ref="D77:D78"/>
    <mergeCell ref="E77:E78"/>
    <mergeCell ref="F77:F78"/>
    <mergeCell ref="Q77:Q78"/>
    <mergeCell ref="F63:F66"/>
    <mergeCell ref="Q63:Q64"/>
    <mergeCell ref="D67:D69"/>
    <mergeCell ref="F67:F69"/>
    <mergeCell ref="D70:D71"/>
    <mergeCell ref="E70:E71"/>
    <mergeCell ref="F70:F71"/>
    <mergeCell ref="Q70:Q71"/>
    <mergeCell ref="Q80:Q81"/>
    <mergeCell ref="D83:D85"/>
    <mergeCell ref="E83:E85"/>
    <mergeCell ref="D86:D87"/>
    <mergeCell ref="D88:D89"/>
    <mergeCell ref="Q88:Q89"/>
    <mergeCell ref="A79:A81"/>
    <mergeCell ref="B79:B81"/>
    <mergeCell ref="C79:C81"/>
    <mergeCell ref="D79:D81"/>
    <mergeCell ref="E79:E81"/>
    <mergeCell ref="F79:F81"/>
    <mergeCell ref="Q101:Q103"/>
    <mergeCell ref="C105:G105"/>
    <mergeCell ref="C106:U106"/>
    <mergeCell ref="E107:E109"/>
    <mergeCell ref="D111:D112"/>
    <mergeCell ref="D115:D116"/>
    <mergeCell ref="Q115:Q116"/>
    <mergeCell ref="D90:D91"/>
    <mergeCell ref="E90:E91"/>
    <mergeCell ref="D92:D93"/>
    <mergeCell ref="S92:S93"/>
    <mergeCell ref="D96:D98"/>
    <mergeCell ref="E96:E98"/>
    <mergeCell ref="Q97:Q98"/>
    <mergeCell ref="D119:D120"/>
    <mergeCell ref="Q119:Q120"/>
    <mergeCell ref="A121:A122"/>
    <mergeCell ref="B121:B122"/>
    <mergeCell ref="C121:C122"/>
    <mergeCell ref="D121:D122"/>
    <mergeCell ref="E121:E122"/>
    <mergeCell ref="F121:F122"/>
    <mergeCell ref="Q121:Q122"/>
    <mergeCell ref="F129:F130"/>
    <mergeCell ref="R121:R122"/>
    <mergeCell ref="S121:S122"/>
    <mergeCell ref="U121:U122"/>
    <mergeCell ref="A123:A125"/>
    <mergeCell ref="B123:B125"/>
    <mergeCell ref="C123:C125"/>
    <mergeCell ref="D123:D125"/>
    <mergeCell ref="E123:E125"/>
    <mergeCell ref="F123:F125"/>
    <mergeCell ref="T121:T122"/>
    <mergeCell ref="D131:D132"/>
    <mergeCell ref="D135:D137"/>
    <mergeCell ref="E135:E136"/>
    <mergeCell ref="D138:D140"/>
    <mergeCell ref="A143:A146"/>
    <mergeCell ref="B143:B146"/>
    <mergeCell ref="C143:C146"/>
    <mergeCell ref="D143:D145"/>
    <mergeCell ref="A129:A130"/>
    <mergeCell ref="B129:B130"/>
    <mergeCell ref="C129:C130"/>
    <mergeCell ref="D129:D130"/>
    <mergeCell ref="E129:E130"/>
    <mergeCell ref="E154:E156"/>
    <mergeCell ref="Q157:Q158"/>
    <mergeCell ref="Q160:Q161"/>
    <mergeCell ref="D164:D165"/>
    <mergeCell ref="Q164:Q165"/>
    <mergeCell ref="D167:D168"/>
    <mergeCell ref="Q167:Q168"/>
    <mergeCell ref="F143:F146"/>
    <mergeCell ref="Q143:Q145"/>
    <mergeCell ref="C147:G147"/>
    <mergeCell ref="Q147:U147"/>
    <mergeCell ref="C148:U148"/>
    <mergeCell ref="D149:D153"/>
    <mergeCell ref="Q183:Q184"/>
    <mergeCell ref="D173:D177"/>
    <mergeCell ref="E173:E177"/>
    <mergeCell ref="A180:A181"/>
    <mergeCell ref="B180:B181"/>
    <mergeCell ref="C180:C181"/>
    <mergeCell ref="D180:D181"/>
    <mergeCell ref="E180:E181"/>
    <mergeCell ref="A170:A172"/>
    <mergeCell ref="B170:B172"/>
    <mergeCell ref="C170:C172"/>
    <mergeCell ref="D170:D172"/>
    <mergeCell ref="E170:E172"/>
    <mergeCell ref="F170:F172"/>
    <mergeCell ref="A185:A187"/>
    <mergeCell ref="B185:B187"/>
    <mergeCell ref="C185:C187"/>
    <mergeCell ref="D185:D187"/>
    <mergeCell ref="E185:E187"/>
    <mergeCell ref="F185:F187"/>
    <mergeCell ref="A182:A183"/>
    <mergeCell ref="B182:B183"/>
    <mergeCell ref="C182:C183"/>
    <mergeCell ref="D182:D184"/>
    <mergeCell ref="E182:E184"/>
    <mergeCell ref="C209:C213"/>
    <mergeCell ref="D214:D216"/>
    <mergeCell ref="A217:A218"/>
    <mergeCell ref="B217:B218"/>
    <mergeCell ref="C217:C218"/>
    <mergeCell ref="D217:D218"/>
    <mergeCell ref="Q189:Q190"/>
    <mergeCell ref="C193:G193"/>
    <mergeCell ref="Q193:U193"/>
    <mergeCell ref="C194:U194"/>
    <mergeCell ref="D195:D199"/>
    <mergeCell ref="C201:C207"/>
    <mergeCell ref="A189:A191"/>
    <mergeCell ref="B189:B191"/>
    <mergeCell ref="C189:C191"/>
    <mergeCell ref="D189:D191"/>
    <mergeCell ref="E189:E191"/>
    <mergeCell ref="F189:F191"/>
    <mergeCell ref="D225:D226"/>
    <mergeCell ref="Q225:Q226"/>
    <mergeCell ref="D227:D228"/>
    <mergeCell ref="D229:D230"/>
    <mergeCell ref="E232:E234"/>
    <mergeCell ref="F232:F234"/>
    <mergeCell ref="Q217:Q218"/>
    <mergeCell ref="A219:A223"/>
    <mergeCell ref="B219:B223"/>
    <mergeCell ref="C219:C223"/>
    <mergeCell ref="D219:D220"/>
    <mergeCell ref="E219:E223"/>
    <mergeCell ref="F219:F223"/>
    <mergeCell ref="Q221:Q222"/>
    <mergeCell ref="A253:G253"/>
    <mergeCell ref="A254:G254"/>
    <mergeCell ref="B243:G243"/>
    <mergeCell ref="Q243:U243"/>
    <mergeCell ref="B244:G244"/>
    <mergeCell ref="Q244:U244"/>
    <mergeCell ref="A247:G247"/>
    <mergeCell ref="A248:G248"/>
    <mergeCell ref="D235:D236"/>
    <mergeCell ref="D238:D241"/>
    <mergeCell ref="E238:E241"/>
    <mergeCell ref="F238:F241"/>
    <mergeCell ref="C242:G242"/>
    <mergeCell ref="Q242:U242"/>
    <mergeCell ref="A267:G267"/>
    <mergeCell ref="E269:P269"/>
    <mergeCell ref="H8:H10"/>
    <mergeCell ref="I8:I10"/>
    <mergeCell ref="K8:K10"/>
    <mergeCell ref="L8:L10"/>
    <mergeCell ref="N8:N10"/>
    <mergeCell ref="O8:O10"/>
    <mergeCell ref="A261:G261"/>
    <mergeCell ref="A262:G262"/>
    <mergeCell ref="A263:G263"/>
    <mergeCell ref="A264:G264"/>
    <mergeCell ref="A265:G265"/>
    <mergeCell ref="A266:G266"/>
    <mergeCell ref="A255:G255"/>
    <mergeCell ref="A256:G256"/>
    <mergeCell ref="A257:G257"/>
    <mergeCell ref="A258:G258"/>
    <mergeCell ref="A259:G259"/>
    <mergeCell ref="A260:G260"/>
    <mergeCell ref="A249:G249"/>
    <mergeCell ref="A250:G250"/>
    <mergeCell ref="A251:G251"/>
    <mergeCell ref="A252:G252"/>
  </mergeCells>
  <printOptions horizontalCentered="1"/>
  <pageMargins left="0.19685039370078741" right="0.19685039370078741" top="0.59055118110236227" bottom="0.19685039370078741" header="0" footer="0"/>
  <pageSetup paperSize="9" scale="65" orientation="landscape" r:id="rId1"/>
  <headerFooter alignWithMargins="0"/>
  <rowBreaks count="4" manualBreakCount="4">
    <brk id="44" max="20" man="1"/>
    <brk id="118" max="20" man="1"/>
    <brk id="200" max="20" man="1"/>
    <brk id="234" max="2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97"/>
  <sheetViews>
    <sheetView view="pageBreakPreview" topLeftCell="A73" zoomScaleNormal="100" zoomScaleSheetLayoutView="100" workbookViewId="0">
      <selection activeCell="U84" sqref="U84"/>
    </sheetView>
  </sheetViews>
  <sheetFormatPr defaultRowHeight="12.75" x14ac:dyDescent="0.2"/>
  <cols>
    <col min="1" max="3" width="2.7109375" style="2" customWidth="1"/>
    <col min="4" max="4" width="3.140625" style="2" customWidth="1"/>
    <col min="5" max="5" width="36.28515625" style="2" customWidth="1"/>
    <col min="6" max="6" width="3.28515625" style="8" customWidth="1"/>
    <col min="7" max="7" width="3" style="11" customWidth="1"/>
    <col min="8" max="8" width="10.28515625" style="11" customWidth="1"/>
    <col min="9" max="9" width="8.85546875" style="3" customWidth="1"/>
    <col min="10" max="10" width="9" style="2" customWidth="1"/>
    <col min="11" max="11" width="8.85546875" style="2" customWidth="1"/>
    <col min="12" max="13" width="9" style="2" customWidth="1"/>
    <col min="14" max="14" width="39.85546875" style="2" customWidth="1"/>
    <col min="15" max="18" width="4.7109375" style="2" customWidth="1"/>
    <col min="19" max="16384" width="9.140625" style="1"/>
  </cols>
  <sheetData>
    <row r="1" spans="1:18" s="150" customFormat="1" ht="15.75" customHeight="1" x14ac:dyDescent="0.25">
      <c r="N1" s="1964" t="s">
        <v>119</v>
      </c>
      <c r="O1" s="1965"/>
      <c r="P1" s="1965"/>
      <c r="Q1" s="1965"/>
      <c r="R1" s="1965"/>
    </row>
    <row r="2" spans="1:18" s="38" customFormat="1" ht="15" x14ac:dyDescent="0.2">
      <c r="A2" s="1691" t="s">
        <v>246</v>
      </c>
      <c r="B2" s="1691"/>
      <c r="C2" s="1691"/>
      <c r="D2" s="1691"/>
      <c r="E2" s="1691"/>
      <c r="F2" s="1691"/>
      <c r="G2" s="1691"/>
      <c r="H2" s="1691"/>
      <c r="I2" s="1691"/>
      <c r="J2" s="1691"/>
      <c r="K2" s="1691"/>
      <c r="L2" s="1691"/>
      <c r="M2" s="1691"/>
      <c r="N2" s="1691"/>
      <c r="O2" s="1691"/>
      <c r="P2" s="1691"/>
      <c r="Q2" s="1691"/>
      <c r="R2" s="1691"/>
    </row>
    <row r="3" spans="1:18" ht="15.75" customHeight="1" x14ac:dyDescent="0.2">
      <c r="A3" s="1692" t="s">
        <v>29</v>
      </c>
      <c r="B3" s="1692"/>
      <c r="C3" s="1692"/>
      <c r="D3" s="1692"/>
      <c r="E3" s="1692"/>
      <c r="F3" s="1692"/>
      <c r="G3" s="1692"/>
      <c r="H3" s="1692"/>
      <c r="I3" s="1692"/>
      <c r="J3" s="1692"/>
      <c r="K3" s="1692"/>
      <c r="L3" s="1692"/>
      <c r="M3" s="1692"/>
      <c r="N3" s="1692"/>
      <c r="O3" s="1692"/>
      <c r="P3" s="1692"/>
      <c r="Q3" s="1692"/>
      <c r="R3" s="1692"/>
    </row>
    <row r="4" spans="1:18" ht="15" customHeight="1" x14ac:dyDescent="0.2">
      <c r="A4" s="1693" t="s">
        <v>17</v>
      </c>
      <c r="B4" s="1693"/>
      <c r="C4" s="1693"/>
      <c r="D4" s="1693"/>
      <c r="E4" s="1693"/>
      <c r="F4" s="1693"/>
      <c r="G4" s="1693"/>
      <c r="H4" s="1693"/>
      <c r="I4" s="1693"/>
      <c r="J4" s="1693"/>
      <c r="K4" s="1693"/>
      <c r="L4" s="1693"/>
      <c r="M4" s="1693"/>
      <c r="N4" s="1693"/>
      <c r="O4" s="1693"/>
      <c r="P4" s="1693"/>
      <c r="Q4" s="1693"/>
      <c r="R4" s="1693"/>
    </row>
    <row r="5" spans="1:18" ht="15" customHeight="1" thickBot="1" x14ac:dyDescent="0.25">
      <c r="A5" s="15"/>
      <c r="B5" s="15"/>
      <c r="C5" s="15"/>
      <c r="D5" s="15"/>
      <c r="E5" s="15"/>
      <c r="F5" s="16"/>
      <c r="G5" s="17"/>
      <c r="H5" s="17"/>
      <c r="I5" s="232"/>
      <c r="J5" s="15"/>
      <c r="K5" s="15"/>
      <c r="L5" s="15"/>
      <c r="M5" s="15"/>
      <c r="N5" s="1694" t="s">
        <v>111</v>
      </c>
      <c r="O5" s="1694"/>
      <c r="P5" s="1694"/>
      <c r="Q5" s="1694"/>
      <c r="R5" s="1695"/>
    </row>
    <row r="6" spans="1:18" s="38" customFormat="1" ht="30" customHeight="1" x14ac:dyDescent="0.2">
      <c r="A6" s="1891" t="s">
        <v>18</v>
      </c>
      <c r="B6" s="1894" t="s">
        <v>0</v>
      </c>
      <c r="C6" s="1894" t="s">
        <v>1</v>
      </c>
      <c r="D6" s="1894" t="s">
        <v>27</v>
      </c>
      <c r="E6" s="1897" t="s">
        <v>12</v>
      </c>
      <c r="F6" s="1882" t="s">
        <v>2</v>
      </c>
      <c r="G6" s="1885" t="s">
        <v>3</v>
      </c>
      <c r="H6" s="1966" t="s">
        <v>62</v>
      </c>
      <c r="I6" s="1888" t="s">
        <v>4</v>
      </c>
      <c r="J6" s="1869" t="s">
        <v>241</v>
      </c>
      <c r="K6" s="1869" t="s">
        <v>251</v>
      </c>
      <c r="L6" s="1869" t="s">
        <v>167</v>
      </c>
      <c r="M6" s="1869" t="s">
        <v>247</v>
      </c>
      <c r="N6" s="1872" t="s">
        <v>11</v>
      </c>
      <c r="O6" s="1873"/>
      <c r="P6" s="1873"/>
      <c r="Q6" s="1873"/>
      <c r="R6" s="1874"/>
    </row>
    <row r="7" spans="1:18" s="38" customFormat="1" ht="18.75" customHeight="1" x14ac:dyDescent="0.2">
      <c r="A7" s="1892"/>
      <c r="B7" s="1895"/>
      <c r="C7" s="1895"/>
      <c r="D7" s="1895"/>
      <c r="E7" s="1898"/>
      <c r="F7" s="1883"/>
      <c r="G7" s="1886"/>
      <c r="H7" s="1967"/>
      <c r="I7" s="1889"/>
      <c r="J7" s="1870"/>
      <c r="K7" s="1870"/>
      <c r="L7" s="1870"/>
      <c r="M7" s="1870"/>
      <c r="N7" s="1875" t="s">
        <v>12</v>
      </c>
      <c r="O7" s="1877" t="s">
        <v>94</v>
      </c>
      <c r="P7" s="1877"/>
      <c r="Q7" s="1877"/>
      <c r="R7" s="1878"/>
    </row>
    <row r="8" spans="1:18" s="38" customFormat="1" ht="63" customHeight="1" thickBot="1" x14ac:dyDescent="0.25">
      <c r="A8" s="1893"/>
      <c r="B8" s="1896"/>
      <c r="C8" s="1896"/>
      <c r="D8" s="1896"/>
      <c r="E8" s="1899"/>
      <c r="F8" s="1884"/>
      <c r="G8" s="1887"/>
      <c r="H8" s="1968"/>
      <c r="I8" s="1890"/>
      <c r="J8" s="1871"/>
      <c r="K8" s="1871"/>
      <c r="L8" s="1871"/>
      <c r="M8" s="1871"/>
      <c r="N8" s="1876"/>
      <c r="O8" s="151" t="s">
        <v>101</v>
      </c>
      <c r="P8" s="151" t="s">
        <v>120</v>
      </c>
      <c r="Q8" s="151" t="s">
        <v>168</v>
      </c>
      <c r="R8" s="152" t="s">
        <v>248</v>
      </c>
    </row>
    <row r="9" spans="1:18" s="10" customFormat="1" ht="14.25" customHeight="1" x14ac:dyDescent="0.2">
      <c r="A9" s="1879" t="s">
        <v>61</v>
      </c>
      <c r="B9" s="1880"/>
      <c r="C9" s="1880"/>
      <c r="D9" s="1880"/>
      <c r="E9" s="1880"/>
      <c r="F9" s="1880"/>
      <c r="G9" s="1880"/>
      <c r="H9" s="1880"/>
      <c r="I9" s="1880"/>
      <c r="J9" s="1880"/>
      <c r="K9" s="1880"/>
      <c r="L9" s="1880"/>
      <c r="M9" s="1880"/>
      <c r="N9" s="1880"/>
      <c r="O9" s="1880"/>
      <c r="P9" s="1880"/>
      <c r="Q9" s="1880"/>
      <c r="R9" s="1881"/>
    </row>
    <row r="10" spans="1:18" s="10" customFormat="1" ht="14.25" customHeight="1" x14ac:dyDescent="0.2">
      <c r="A10" s="1900" t="s">
        <v>26</v>
      </c>
      <c r="B10" s="1901"/>
      <c r="C10" s="1901"/>
      <c r="D10" s="1901"/>
      <c r="E10" s="1901"/>
      <c r="F10" s="1901"/>
      <c r="G10" s="1901"/>
      <c r="H10" s="1901"/>
      <c r="I10" s="1901"/>
      <c r="J10" s="1901"/>
      <c r="K10" s="1901"/>
      <c r="L10" s="1901"/>
      <c r="M10" s="1901"/>
      <c r="N10" s="1901"/>
      <c r="O10" s="1901"/>
      <c r="P10" s="1901"/>
      <c r="Q10" s="1901"/>
      <c r="R10" s="1902"/>
    </row>
    <row r="11" spans="1:18" ht="16.5" customHeight="1" x14ac:dyDescent="0.2">
      <c r="A11" s="18" t="s">
        <v>5</v>
      </c>
      <c r="B11" s="1903" t="s">
        <v>30</v>
      </c>
      <c r="C11" s="1904"/>
      <c r="D11" s="1904"/>
      <c r="E11" s="1904"/>
      <c r="F11" s="1904"/>
      <c r="G11" s="1904"/>
      <c r="H11" s="1904"/>
      <c r="I11" s="1904"/>
      <c r="J11" s="1904"/>
      <c r="K11" s="1904"/>
      <c r="L11" s="1904"/>
      <c r="M11" s="1904"/>
      <c r="N11" s="1904"/>
      <c r="O11" s="1904"/>
      <c r="P11" s="1904"/>
      <c r="Q11" s="1904"/>
      <c r="R11" s="1905"/>
    </row>
    <row r="12" spans="1:18" ht="15" customHeight="1" x14ac:dyDescent="0.2">
      <c r="A12" s="231" t="s">
        <v>5</v>
      </c>
      <c r="B12" s="13" t="s">
        <v>5</v>
      </c>
      <c r="C12" s="1906" t="s">
        <v>31</v>
      </c>
      <c r="D12" s="1907"/>
      <c r="E12" s="1907"/>
      <c r="F12" s="1907"/>
      <c r="G12" s="1907"/>
      <c r="H12" s="1907"/>
      <c r="I12" s="1907"/>
      <c r="J12" s="1907"/>
      <c r="K12" s="1907"/>
      <c r="L12" s="1907"/>
      <c r="M12" s="1907"/>
      <c r="N12" s="1907"/>
      <c r="O12" s="1907"/>
      <c r="P12" s="1907"/>
      <c r="Q12" s="1907"/>
      <c r="R12" s="1908"/>
    </row>
    <row r="13" spans="1:18" ht="35.25" customHeight="1" x14ac:dyDescent="0.2">
      <c r="A13" s="228" t="s">
        <v>5</v>
      </c>
      <c r="B13" s="229" t="s">
        <v>5</v>
      </c>
      <c r="C13" s="348" t="s">
        <v>5</v>
      </c>
      <c r="D13" s="208"/>
      <c r="E13" s="54" t="s">
        <v>49</v>
      </c>
      <c r="F13" s="194" t="s">
        <v>87</v>
      </c>
      <c r="G13" s="230" t="s">
        <v>43</v>
      </c>
      <c r="H13" s="36"/>
      <c r="I13" s="159"/>
      <c r="J13" s="446"/>
      <c r="K13" s="446"/>
      <c r="L13" s="447"/>
      <c r="M13" s="1150"/>
      <c r="N13" s="22"/>
      <c r="O13" s="12"/>
      <c r="P13" s="12"/>
      <c r="Q13" s="732"/>
      <c r="R13" s="743"/>
    </row>
    <row r="14" spans="1:18" ht="18.75" customHeight="1" x14ac:dyDescent="0.2">
      <c r="A14" s="1112"/>
      <c r="B14" s="1115"/>
      <c r="C14" s="1131"/>
      <c r="D14" s="1127" t="s">
        <v>5</v>
      </c>
      <c r="E14" s="1729" t="s">
        <v>231</v>
      </c>
      <c r="F14" s="858" t="s">
        <v>47</v>
      </c>
      <c r="G14" s="1113"/>
      <c r="H14" s="1920"/>
      <c r="I14" s="1135" t="s">
        <v>25</v>
      </c>
      <c r="J14" s="87">
        <v>4</v>
      </c>
      <c r="K14" s="1135">
        <v>100</v>
      </c>
      <c r="L14" s="87">
        <v>181</v>
      </c>
      <c r="M14" s="1135">
        <v>165.8</v>
      </c>
      <c r="N14" s="1757" t="s">
        <v>308</v>
      </c>
      <c r="O14" s="436"/>
      <c r="P14" s="341"/>
      <c r="Q14" s="835" t="s">
        <v>55</v>
      </c>
      <c r="R14" s="437"/>
    </row>
    <row r="15" spans="1:18" ht="33" customHeight="1" x14ac:dyDescent="0.2">
      <c r="A15" s="1112"/>
      <c r="B15" s="1115"/>
      <c r="C15" s="1131"/>
      <c r="D15" s="1113"/>
      <c r="E15" s="1714"/>
      <c r="F15" s="1858" t="s">
        <v>255</v>
      </c>
      <c r="G15" s="1114"/>
      <c r="H15" s="1920"/>
      <c r="I15" s="62" t="s">
        <v>44</v>
      </c>
      <c r="J15" s="83"/>
      <c r="K15" s="62"/>
      <c r="L15" s="83">
        <v>850</v>
      </c>
      <c r="M15" s="62">
        <v>639.4</v>
      </c>
      <c r="N15" s="1857"/>
      <c r="O15" s="649"/>
      <c r="P15" s="837"/>
      <c r="Q15" s="838"/>
      <c r="R15" s="524"/>
    </row>
    <row r="16" spans="1:18" ht="30.75" customHeight="1" x14ac:dyDescent="0.2">
      <c r="A16" s="1112"/>
      <c r="B16" s="1115"/>
      <c r="C16" s="1131"/>
      <c r="D16" s="1113"/>
      <c r="E16" s="1714"/>
      <c r="F16" s="1859"/>
      <c r="G16" s="1114"/>
      <c r="H16" s="1920"/>
      <c r="I16" s="62"/>
      <c r="J16" s="83"/>
      <c r="K16" s="62"/>
      <c r="L16" s="83"/>
      <c r="M16" s="62"/>
      <c r="N16" s="220" t="s">
        <v>266</v>
      </c>
      <c r="O16" s="649"/>
      <c r="P16" s="837"/>
      <c r="Q16" s="838" t="s">
        <v>262</v>
      </c>
      <c r="R16" s="524" t="s">
        <v>263</v>
      </c>
    </row>
    <row r="17" spans="1:18" ht="27" customHeight="1" x14ac:dyDescent="0.2">
      <c r="A17" s="1112"/>
      <c r="B17" s="1115"/>
      <c r="C17" s="1131"/>
      <c r="D17" s="1128"/>
      <c r="E17" s="1744"/>
      <c r="F17" s="1962"/>
      <c r="G17" s="1113"/>
      <c r="H17" s="1932"/>
      <c r="I17" s="1136"/>
      <c r="J17" s="86"/>
      <c r="K17" s="1136"/>
      <c r="L17" s="86"/>
      <c r="M17" s="752"/>
      <c r="N17" s="243" t="s">
        <v>232</v>
      </c>
      <c r="O17" s="836" t="s">
        <v>55</v>
      </c>
      <c r="P17" s="304"/>
      <c r="Q17" s="503"/>
      <c r="R17" s="440"/>
    </row>
    <row r="18" spans="1:18" ht="27.75" customHeight="1" x14ac:dyDescent="0.2">
      <c r="A18" s="1632"/>
      <c r="B18" s="1633"/>
      <c r="C18" s="1944"/>
      <c r="D18" s="1927" t="s">
        <v>7</v>
      </c>
      <c r="E18" s="1753" t="s">
        <v>265</v>
      </c>
      <c r="F18" s="291" t="s">
        <v>47</v>
      </c>
      <c r="G18" s="1634"/>
      <c r="H18" s="1938" t="s">
        <v>71</v>
      </c>
      <c r="I18" s="296" t="s">
        <v>99</v>
      </c>
      <c r="J18" s="249">
        <v>557.70000000000005</v>
      </c>
      <c r="K18" s="249">
        <v>328.7</v>
      </c>
      <c r="L18" s="121"/>
      <c r="M18" s="1135"/>
      <c r="N18" s="495" t="s">
        <v>144</v>
      </c>
      <c r="O18" s="832" t="s">
        <v>192</v>
      </c>
      <c r="P18" s="822">
        <v>2</v>
      </c>
      <c r="Q18" s="436"/>
      <c r="R18" s="437"/>
    </row>
    <row r="19" spans="1:18" ht="27.75" customHeight="1" x14ac:dyDescent="0.2">
      <c r="A19" s="1632"/>
      <c r="B19" s="1633"/>
      <c r="C19" s="1944"/>
      <c r="D19" s="1666"/>
      <c r="E19" s="1862"/>
      <c r="F19" s="1860" t="s">
        <v>110</v>
      </c>
      <c r="G19" s="1634"/>
      <c r="H19" s="1940"/>
      <c r="I19" s="840" t="s">
        <v>25</v>
      </c>
      <c r="J19" s="820"/>
      <c r="K19" s="820"/>
      <c r="L19" s="122"/>
      <c r="M19" s="67">
        <v>322.8</v>
      </c>
      <c r="N19" s="44" t="s">
        <v>250</v>
      </c>
      <c r="O19" s="841" t="s">
        <v>55</v>
      </c>
      <c r="P19" s="337">
        <v>1</v>
      </c>
      <c r="Q19" s="649"/>
      <c r="R19" s="524"/>
    </row>
    <row r="20" spans="1:18" ht="13.5" customHeight="1" x14ac:dyDescent="0.2">
      <c r="A20" s="1632"/>
      <c r="B20" s="1633"/>
      <c r="C20" s="1944"/>
      <c r="D20" s="1666"/>
      <c r="E20" s="1862"/>
      <c r="F20" s="1861"/>
      <c r="G20" s="1634"/>
      <c r="H20" s="1940"/>
      <c r="I20" s="46" t="s">
        <v>100</v>
      </c>
      <c r="J20" s="64"/>
      <c r="K20" s="64"/>
      <c r="L20" s="99"/>
      <c r="M20" s="62">
        <v>96.4</v>
      </c>
      <c r="N20" s="1805" t="s">
        <v>273</v>
      </c>
      <c r="O20" s="839"/>
      <c r="P20" s="830"/>
      <c r="Q20" s="188"/>
      <c r="R20" s="332" t="s">
        <v>43</v>
      </c>
    </row>
    <row r="21" spans="1:18" ht="14.25" customHeight="1" x14ac:dyDescent="0.2">
      <c r="A21" s="1632"/>
      <c r="B21" s="1633"/>
      <c r="C21" s="1944"/>
      <c r="D21" s="1666"/>
      <c r="E21" s="1862"/>
      <c r="F21" s="1861"/>
      <c r="G21" s="1634"/>
      <c r="H21" s="1940"/>
      <c r="I21" s="46" t="s">
        <v>264</v>
      </c>
      <c r="J21" s="64"/>
      <c r="K21" s="64"/>
      <c r="L21" s="83"/>
      <c r="M21" s="62">
        <v>44.7</v>
      </c>
      <c r="N21" s="1963"/>
      <c r="O21" s="839"/>
      <c r="P21" s="830"/>
      <c r="Q21" s="188"/>
      <c r="R21" s="332"/>
    </row>
    <row r="22" spans="1:18" ht="16.5" customHeight="1" x14ac:dyDescent="0.2">
      <c r="A22" s="1632"/>
      <c r="B22" s="1633"/>
      <c r="C22" s="1944"/>
      <c r="D22" s="1666"/>
      <c r="E22" s="1833"/>
      <c r="F22" s="1815"/>
      <c r="G22" s="1634"/>
      <c r="H22" s="1940"/>
      <c r="I22" s="45" t="s">
        <v>44</v>
      </c>
      <c r="J22" s="1178"/>
      <c r="K22" s="1178"/>
      <c r="L22" s="147"/>
      <c r="M22" s="1182">
        <v>690.3</v>
      </c>
      <c r="N22" s="480"/>
      <c r="O22" s="304"/>
      <c r="P22" s="47"/>
      <c r="Q22" s="305"/>
      <c r="R22" s="440"/>
    </row>
    <row r="23" spans="1:18" ht="15.75" customHeight="1" x14ac:dyDescent="0.2">
      <c r="A23" s="1632"/>
      <c r="B23" s="1633"/>
      <c r="C23" s="1944"/>
      <c r="D23" s="1927" t="s">
        <v>28</v>
      </c>
      <c r="E23" s="1625" t="s">
        <v>215</v>
      </c>
      <c r="F23" s="1088" t="s">
        <v>47</v>
      </c>
      <c r="G23" s="1728"/>
      <c r="H23" s="821"/>
      <c r="I23" s="87" t="s">
        <v>25</v>
      </c>
      <c r="J23" s="1181">
        <f>700-300-100</f>
        <v>300</v>
      </c>
      <c r="K23" s="1181">
        <v>814.8</v>
      </c>
      <c r="L23" s="121"/>
      <c r="M23" s="1181"/>
      <c r="N23" s="1211" t="s">
        <v>169</v>
      </c>
      <c r="O23" s="458">
        <v>20</v>
      </c>
      <c r="P23" s="477">
        <v>100</v>
      </c>
      <c r="Q23" s="650"/>
      <c r="R23" s="478"/>
    </row>
    <row r="24" spans="1:18" ht="15" customHeight="1" x14ac:dyDescent="0.2">
      <c r="A24" s="1632"/>
      <c r="B24" s="1633"/>
      <c r="C24" s="1944"/>
      <c r="D24" s="1666"/>
      <c r="E24" s="1631"/>
      <c r="F24" s="501"/>
      <c r="G24" s="1728"/>
      <c r="H24" s="821"/>
      <c r="I24" s="83" t="s">
        <v>100</v>
      </c>
      <c r="J24" s="62"/>
      <c r="K24" s="62">
        <v>1100</v>
      </c>
      <c r="L24" s="99"/>
      <c r="M24" s="62"/>
      <c r="N24" s="1211"/>
      <c r="O24" s="458"/>
      <c r="P24" s="477"/>
      <c r="Q24" s="184"/>
      <c r="R24" s="197"/>
    </row>
    <row r="25" spans="1:18" ht="15" customHeight="1" x14ac:dyDescent="0.2">
      <c r="A25" s="1632"/>
      <c r="B25" s="1633"/>
      <c r="C25" s="1944"/>
      <c r="D25" s="1666"/>
      <c r="E25" s="1631"/>
      <c r="F25" s="501"/>
      <c r="G25" s="1728"/>
      <c r="H25" s="821"/>
      <c r="I25" s="83" t="s">
        <v>48</v>
      </c>
      <c r="J25" s="62"/>
      <c r="K25" s="62">
        <v>162.4</v>
      </c>
      <c r="L25" s="99"/>
      <c r="M25" s="62"/>
      <c r="N25" s="1211"/>
      <c r="O25" s="458"/>
      <c r="P25" s="477"/>
      <c r="Q25" s="184"/>
      <c r="R25" s="197"/>
    </row>
    <row r="26" spans="1:18" ht="15" customHeight="1" x14ac:dyDescent="0.2">
      <c r="A26" s="1632"/>
      <c r="B26" s="1633"/>
      <c r="C26" s="1944"/>
      <c r="D26" s="1666"/>
      <c r="E26" s="1631"/>
      <c r="F26" s="501"/>
      <c r="G26" s="1728"/>
      <c r="H26" s="821"/>
      <c r="I26" s="83" t="s">
        <v>99</v>
      </c>
      <c r="J26" s="62"/>
      <c r="K26" s="62">
        <v>151.9</v>
      </c>
      <c r="L26" s="99"/>
      <c r="M26" s="62"/>
      <c r="N26" s="1211"/>
      <c r="O26" s="458"/>
      <c r="P26" s="477"/>
      <c r="Q26" s="184"/>
      <c r="R26" s="197"/>
    </row>
    <row r="27" spans="1:18" ht="16.5" customHeight="1" x14ac:dyDescent="0.2">
      <c r="A27" s="1632"/>
      <c r="B27" s="1633"/>
      <c r="C27" s="1944"/>
      <c r="D27" s="1928"/>
      <c r="E27" s="1626"/>
      <c r="F27" s="496"/>
      <c r="G27" s="1728"/>
      <c r="H27" s="821"/>
      <c r="I27" s="124" t="s">
        <v>60</v>
      </c>
      <c r="J27" s="1182"/>
      <c r="K27" s="1182">
        <v>100</v>
      </c>
      <c r="L27" s="147"/>
      <c r="M27" s="1182"/>
      <c r="N27" s="416"/>
      <c r="O27" s="158"/>
      <c r="P27" s="297"/>
      <c r="Q27" s="651"/>
      <c r="R27" s="298"/>
    </row>
    <row r="28" spans="1:18" ht="18.75" customHeight="1" x14ac:dyDescent="0.2">
      <c r="A28" s="233"/>
      <c r="B28" s="235"/>
      <c r="C28" s="358"/>
      <c r="D28" s="1127" t="s">
        <v>33</v>
      </c>
      <c r="E28" s="1807" t="s">
        <v>214</v>
      </c>
      <c r="F28" s="291" t="s">
        <v>47</v>
      </c>
      <c r="G28" s="88"/>
      <c r="H28" s="1920" t="s">
        <v>70</v>
      </c>
      <c r="I28" s="83" t="s">
        <v>25</v>
      </c>
      <c r="J28" s="62">
        <v>1</v>
      </c>
      <c r="K28" s="62"/>
      <c r="L28" s="99">
        <v>52</v>
      </c>
      <c r="M28" s="62"/>
      <c r="N28" s="1848" t="s">
        <v>148</v>
      </c>
      <c r="O28" s="845">
        <v>1</v>
      </c>
      <c r="P28" s="1103">
        <v>1</v>
      </c>
      <c r="Q28" s="1141"/>
      <c r="R28" s="1140"/>
    </row>
    <row r="29" spans="1:18" ht="21" customHeight="1" x14ac:dyDescent="0.2">
      <c r="A29" s="233"/>
      <c r="B29" s="235"/>
      <c r="C29" s="358"/>
      <c r="D29" s="1113"/>
      <c r="E29" s="1655"/>
      <c r="F29" s="1849" t="s">
        <v>110</v>
      </c>
      <c r="G29" s="88"/>
      <c r="H29" s="1920"/>
      <c r="I29" s="83" t="s">
        <v>60</v>
      </c>
      <c r="J29" s="62">
        <v>1.5</v>
      </c>
      <c r="K29" s="62">
        <v>1.5</v>
      </c>
      <c r="L29" s="99"/>
      <c r="M29" s="62"/>
      <c r="N29" s="1822"/>
      <c r="O29" s="833"/>
      <c r="P29" s="1138"/>
      <c r="Q29" s="380"/>
      <c r="R29" s="318"/>
    </row>
    <row r="30" spans="1:18" ht="29.25" customHeight="1" x14ac:dyDescent="0.2">
      <c r="A30" s="233"/>
      <c r="B30" s="235"/>
      <c r="C30" s="358"/>
      <c r="D30" s="1128"/>
      <c r="E30" s="1656"/>
      <c r="F30" s="1850"/>
      <c r="G30" s="88"/>
      <c r="H30" s="1920"/>
      <c r="I30" s="86"/>
      <c r="J30" s="1147"/>
      <c r="K30" s="1147"/>
      <c r="L30" s="147"/>
      <c r="M30" s="1147"/>
      <c r="N30" s="1158" t="s">
        <v>149</v>
      </c>
      <c r="O30" s="1159"/>
      <c r="P30" s="1160"/>
      <c r="Q30" s="1160">
        <v>1</v>
      </c>
      <c r="R30" s="1161"/>
    </row>
    <row r="31" spans="1:18" ht="17.25" customHeight="1" x14ac:dyDescent="0.2">
      <c r="A31" s="850"/>
      <c r="B31" s="851"/>
      <c r="C31" s="358"/>
      <c r="D31" s="854" t="s">
        <v>34</v>
      </c>
      <c r="E31" s="1714" t="s">
        <v>220</v>
      </c>
      <c r="F31" s="780" t="s">
        <v>47</v>
      </c>
      <c r="G31" s="852"/>
      <c r="H31" s="821"/>
      <c r="I31" s="83" t="s">
        <v>45</v>
      </c>
      <c r="J31" s="62">
        <v>31.2</v>
      </c>
      <c r="K31" s="62">
        <v>21.5</v>
      </c>
      <c r="L31" s="513"/>
      <c r="M31" s="163"/>
      <c r="N31" s="853" t="s">
        <v>46</v>
      </c>
      <c r="O31" s="316"/>
      <c r="P31" s="857">
        <v>1</v>
      </c>
      <c r="Q31" s="857"/>
      <c r="R31" s="855"/>
    </row>
    <row r="32" spans="1:18" ht="18" customHeight="1" x14ac:dyDescent="0.2">
      <c r="A32" s="850"/>
      <c r="B32" s="851"/>
      <c r="C32" s="357"/>
      <c r="D32" s="856"/>
      <c r="E32" s="1783"/>
      <c r="F32" s="782" t="s">
        <v>253</v>
      </c>
      <c r="G32" s="852"/>
      <c r="H32" s="821"/>
      <c r="I32" s="86"/>
      <c r="J32" s="449"/>
      <c r="K32" s="51"/>
      <c r="L32" s="514"/>
      <c r="M32" s="51"/>
      <c r="N32" s="200"/>
      <c r="O32" s="20"/>
      <c r="P32" s="47"/>
      <c r="Q32" s="47"/>
      <c r="R32" s="21"/>
    </row>
    <row r="33" spans="1:20" ht="15" customHeight="1" x14ac:dyDescent="0.2">
      <c r="A33" s="1632"/>
      <c r="B33" s="1633"/>
      <c r="C33" s="1944"/>
      <c r="D33" s="1927" t="s">
        <v>35</v>
      </c>
      <c r="E33" s="1807" t="s">
        <v>154</v>
      </c>
      <c r="F33" s="291" t="s">
        <v>47</v>
      </c>
      <c r="G33" s="1728"/>
      <c r="H33" s="821"/>
      <c r="I33" s="83" t="s">
        <v>25</v>
      </c>
      <c r="J33" s="62"/>
      <c r="K33" s="62"/>
      <c r="L33" s="99"/>
      <c r="M33" s="62">
        <v>25</v>
      </c>
      <c r="N33" s="1726" t="s">
        <v>261</v>
      </c>
      <c r="O33" s="509"/>
      <c r="P33" s="510"/>
      <c r="Q33" s="793"/>
      <c r="R33" s="511"/>
      <c r="T33" s="50"/>
    </row>
    <row r="34" spans="1:20" ht="18.75" customHeight="1" x14ac:dyDescent="0.2">
      <c r="A34" s="1632"/>
      <c r="B34" s="1633"/>
      <c r="C34" s="1944"/>
      <c r="D34" s="1666"/>
      <c r="E34" s="1655"/>
      <c r="F34" s="1860" t="s">
        <v>110</v>
      </c>
      <c r="G34" s="1728"/>
      <c r="H34" s="821"/>
      <c r="I34" s="83"/>
      <c r="J34" s="62"/>
      <c r="K34" s="62"/>
      <c r="L34" s="99"/>
      <c r="M34" s="62"/>
      <c r="N34" s="1731"/>
      <c r="O34" s="571"/>
      <c r="P34" s="572"/>
      <c r="Q34" s="572"/>
      <c r="R34" s="573"/>
    </row>
    <row r="35" spans="1:20" ht="18" customHeight="1" x14ac:dyDescent="0.2">
      <c r="A35" s="1632"/>
      <c r="B35" s="1633"/>
      <c r="C35" s="1944"/>
      <c r="D35" s="1928"/>
      <c r="E35" s="1656"/>
      <c r="F35" s="1815"/>
      <c r="G35" s="1728"/>
      <c r="H35" s="821"/>
      <c r="I35" s="86"/>
      <c r="J35" s="61"/>
      <c r="K35" s="449"/>
      <c r="L35" s="451"/>
      <c r="M35" s="449"/>
      <c r="N35" s="829"/>
      <c r="O35" s="20"/>
      <c r="P35" s="47"/>
      <c r="Q35" s="156"/>
      <c r="R35" s="31"/>
    </row>
    <row r="36" spans="1:20" ht="13.5" customHeight="1" x14ac:dyDescent="0.2">
      <c r="A36" s="233"/>
      <c r="B36" s="235"/>
      <c r="C36" s="351"/>
      <c r="D36" s="1927" t="s">
        <v>36</v>
      </c>
      <c r="E36" s="1729" t="s">
        <v>216</v>
      </c>
      <c r="F36" s="1084" t="s">
        <v>47</v>
      </c>
      <c r="G36" s="1728"/>
      <c r="H36" s="821"/>
      <c r="I36" s="83" t="s">
        <v>25</v>
      </c>
      <c r="J36" s="448"/>
      <c r="K36" s="62"/>
      <c r="L36" s="99"/>
      <c r="M36" s="62">
        <v>50</v>
      </c>
      <c r="N36" s="802" t="s">
        <v>150</v>
      </c>
      <c r="O36" s="261"/>
      <c r="P36" s="261"/>
      <c r="Q36" s="300"/>
      <c r="R36" s="710">
        <v>1</v>
      </c>
    </row>
    <row r="37" spans="1:20" ht="9.75" customHeight="1" x14ac:dyDescent="0.2">
      <c r="A37" s="233"/>
      <c r="B37" s="235"/>
      <c r="C37" s="351"/>
      <c r="D37" s="1928"/>
      <c r="E37" s="1783"/>
      <c r="F37" s="1083"/>
      <c r="G37" s="1935"/>
      <c r="H37" s="1085"/>
      <c r="I37" s="86"/>
      <c r="J37" s="449"/>
      <c r="K37" s="61"/>
      <c r="L37" s="147"/>
      <c r="M37" s="61"/>
      <c r="N37" s="519"/>
      <c r="O37" s="20"/>
      <c r="P37" s="20"/>
      <c r="Q37" s="301"/>
      <c r="R37" s="21"/>
    </row>
    <row r="38" spans="1:20" ht="17.25" customHeight="1" thickBot="1" x14ac:dyDescent="0.25">
      <c r="A38" s="68"/>
      <c r="B38" s="284"/>
      <c r="C38" s="175"/>
      <c r="D38" s="263"/>
      <c r="E38" s="364"/>
      <c r="F38" s="365"/>
      <c r="G38" s="175"/>
      <c r="H38" s="336"/>
      <c r="I38" s="196" t="s">
        <v>6</v>
      </c>
      <c r="J38" s="133">
        <f>SUM(J13:J37)</f>
        <v>895.4</v>
      </c>
      <c r="K38" s="133">
        <f>SUM(K13:K37)</f>
        <v>2780.8</v>
      </c>
      <c r="L38" s="133">
        <f t="shared" ref="L38:M38" si="0">SUM(L13:L37)</f>
        <v>1083</v>
      </c>
      <c r="M38" s="133">
        <f t="shared" si="0"/>
        <v>2034.4</v>
      </c>
      <c r="N38" s="366"/>
      <c r="O38" s="354"/>
      <c r="P38" s="355"/>
      <c r="Q38" s="355"/>
      <c r="R38" s="356"/>
    </row>
    <row r="39" spans="1:20" ht="32.25" customHeight="1" x14ac:dyDescent="0.2">
      <c r="A39" s="281" t="s">
        <v>5</v>
      </c>
      <c r="B39" s="283" t="s">
        <v>5</v>
      </c>
      <c r="C39" s="352" t="s">
        <v>7</v>
      </c>
      <c r="D39" s="180"/>
      <c r="E39" s="104" t="s">
        <v>50</v>
      </c>
      <c r="F39" s="105" t="s">
        <v>89</v>
      </c>
      <c r="G39" s="114" t="s">
        <v>43</v>
      </c>
      <c r="H39" s="198"/>
      <c r="I39" s="71"/>
      <c r="J39" s="453"/>
      <c r="K39" s="453"/>
      <c r="L39" s="452"/>
      <c r="M39" s="453"/>
      <c r="N39" s="66"/>
      <c r="O39" s="28"/>
      <c r="P39" s="28"/>
      <c r="Q39" s="631"/>
      <c r="R39" s="744"/>
    </row>
    <row r="40" spans="1:20" ht="16.5" customHeight="1" x14ac:dyDescent="0.2">
      <c r="A40" s="1852"/>
      <c r="B40" s="1633"/>
      <c r="C40" s="1944"/>
      <c r="D40" s="344" t="s">
        <v>5</v>
      </c>
      <c r="E40" s="1655" t="s">
        <v>212</v>
      </c>
      <c r="F40" s="494" t="s">
        <v>47</v>
      </c>
      <c r="G40" s="1634"/>
      <c r="H40" s="1920" t="s">
        <v>70</v>
      </c>
      <c r="I40" s="87" t="s">
        <v>100</v>
      </c>
      <c r="J40" s="1181">
        <v>100</v>
      </c>
      <c r="K40" s="1181">
        <v>200</v>
      </c>
      <c r="L40" s="121">
        <v>696.4</v>
      </c>
      <c r="M40" s="1181">
        <v>600</v>
      </c>
      <c r="N40" s="1848" t="s">
        <v>157</v>
      </c>
      <c r="O40" s="1152"/>
      <c r="P40" s="1152">
        <v>1</v>
      </c>
      <c r="Q40" s="1153"/>
      <c r="R40" s="1154"/>
    </row>
    <row r="41" spans="1:20" ht="23.25" customHeight="1" x14ac:dyDescent="0.2">
      <c r="A41" s="1852"/>
      <c r="B41" s="1633"/>
      <c r="C41" s="1944"/>
      <c r="D41" s="1113"/>
      <c r="E41" s="1655"/>
      <c r="F41" s="1108"/>
      <c r="G41" s="1634"/>
      <c r="H41" s="1920"/>
      <c r="I41" s="83" t="s">
        <v>25</v>
      </c>
      <c r="J41" s="62">
        <f>1000-366.6</f>
        <v>633.4</v>
      </c>
      <c r="K41" s="62">
        <f>500-143.4</f>
        <v>356.6</v>
      </c>
      <c r="L41" s="99">
        <v>103.6</v>
      </c>
      <c r="M41" s="62">
        <v>200</v>
      </c>
      <c r="N41" s="1851"/>
      <c r="O41" s="622"/>
      <c r="P41" s="622"/>
      <c r="Q41" s="626"/>
      <c r="R41" s="778"/>
    </row>
    <row r="42" spans="1:20" ht="39.75" customHeight="1" x14ac:dyDescent="0.2">
      <c r="A42" s="1852"/>
      <c r="B42" s="1633"/>
      <c r="C42" s="1944"/>
      <c r="D42" s="343"/>
      <c r="E42" s="1655"/>
      <c r="F42" s="494"/>
      <c r="G42" s="1634"/>
      <c r="H42" s="1920"/>
      <c r="I42" s="83" t="s">
        <v>99</v>
      </c>
      <c r="J42" s="62">
        <v>366.6</v>
      </c>
      <c r="K42" s="62"/>
      <c r="L42" s="99"/>
      <c r="M42" s="62"/>
      <c r="N42" s="30" t="s">
        <v>193</v>
      </c>
      <c r="O42" s="48">
        <v>85</v>
      </c>
      <c r="P42" s="48">
        <v>100</v>
      </c>
      <c r="Q42" s="627"/>
      <c r="R42" s="103"/>
    </row>
    <row r="43" spans="1:20" ht="28.5" customHeight="1" x14ac:dyDescent="0.2">
      <c r="A43" s="1852"/>
      <c r="B43" s="1633"/>
      <c r="C43" s="1944"/>
      <c r="D43" s="343"/>
      <c r="E43" s="1655"/>
      <c r="F43" s="494"/>
      <c r="G43" s="1634"/>
      <c r="H43" s="1920"/>
      <c r="I43" s="1"/>
      <c r="J43" s="1151"/>
      <c r="K43" s="62"/>
      <c r="L43" s="99"/>
      <c r="M43" s="62"/>
      <c r="N43" s="30" t="s">
        <v>194</v>
      </c>
      <c r="O43" s="48"/>
      <c r="P43" s="48">
        <v>30</v>
      </c>
      <c r="Q43" s="627">
        <v>80</v>
      </c>
      <c r="R43" s="103">
        <v>100</v>
      </c>
    </row>
    <row r="44" spans="1:20" ht="54" customHeight="1" x14ac:dyDescent="0.2">
      <c r="A44" s="1852"/>
      <c r="B44" s="1633"/>
      <c r="C44" s="1944"/>
      <c r="D44" s="343"/>
      <c r="E44" s="1655"/>
      <c r="F44" s="826"/>
      <c r="G44" s="1634"/>
      <c r="H44" s="1920"/>
      <c r="I44" s="83"/>
      <c r="J44" s="62"/>
      <c r="K44" s="62"/>
      <c r="L44" s="99"/>
      <c r="M44" s="62"/>
      <c r="N44" s="1210" t="s">
        <v>195</v>
      </c>
      <c r="O44" s="48"/>
      <c r="P44" s="48"/>
      <c r="Q44" s="627"/>
      <c r="R44" s="103">
        <v>5</v>
      </c>
    </row>
    <row r="45" spans="1:20" ht="18.75" customHeight="1" x14ac:dyDescent="0.2">
      <c r="A45" s="1852"/>
      <c r="B45" s="1633"/>
      <c r="C45" s="1944"/>
      <c r="D45" s="1927" t="s">
        <v>7</v>
      </c>
      <c r="E45" s="1807" t="s">
        <v>58</v>
      </c>
      <c r="F45" s="999" t="s">
        <v>47</v>
      </c>
      <c r="G45" s="1728"/>
      <c r="H45" s="117"/>
      <c r="I45" s="87" t="s">
        <v>25</v>
      </c>
      <c r="J45" s="1181">
        <f>100-87.4</f>
        <v>12.6</v>
      </c>
      <c r="K45" s="1181">
        <v>50</v>
      </c>
      <c r="L45" s="121">
        <v>361.3</v>
      </c>
      <c r="M45" s="1181">
        <v>1100</v>
      </c>
      <c r="N45" s="1726" t="s">
        <v>152</v>
      </c>
      <c r="O45" s="1120"/>
      <c r="P45" s="1119">
        <v>5</v>
      </c>
      <c r="Q45" s="628">
        <v>50</v>
      </c>
      <c r="R45" s="715">
        <v>80</v>
      </c>
    </row>
    <row r="46" spans="1:20" ht="12" customHeight="1" x14ac:dyDescent="0.2">
      <c r="A46" s="1852"/>
      <c r="B46" s="1633"/>
      <c r="C46" s="1944"/>
      <c r="D46" s="1666"/>
      <c r="E46" s="1655"/>
      <c r="F46" s="996"/>
      <c r="G46" s="1728"/>
      <c r="H46" s="117"/>
      <c r="I46" s="83" t="s">
        <v>100</v>
      </c>
      <c r="J46" s="62"/>
      <c r="K46" s="62"/>
      <c r="L46" s="99">
        <v>800</v>
      </c>
      <c r="M46" s="62"/>
      <c r="N46" s="1822"/>
      <c r="O46" s="791"/>
      <c r="P46" s="791"/>
      <c r="Q46" s="633"/>
      <c r="R46" s="318"/>
    </row>
    <row r="47" spans="1:20" ht="9.75" customHeight="1" x14ac:dyDescent="0.2">
      <c r="A47" s="1852"/>
      <c r="B47" s="1633"/>
      <c r="C47" s="1944"/>
      <c r="D47" s="1928"/>
      <c r="E47" s="1656"/>
      <c r="F47" s="1000"/>
      <c r="G47" s="1728"/>
      <c r="H47" s="117"/>
      <c r="I47" s="124"/>
      <c r="J47" s="1182"/>
      <c r="K47" s="1182"/>
      <c r="L47" s="147"/>
      <c r="M47" s="1182"/>
      <c r="N47" s="243"/>
      <c r="O47" s="1121"/>
      <c r="P47" s="1121"/>
      <c r="Q47" s="629"/>
      <c r="R47" s="31"/>
    </row>
    <row r="48" spans="1:20" ht="17.25" customHeight="1" x14ac:dyDescent="0.2">
      <c r="A48" s="824"/>
      <c r="B48" s="825"/>
      <c r="C48" s="361"/>
      <c r="D48" s="1927" t="s">
        <v>28</v>
      </c>
      <c r="E48" s="1807" t="s">
        <v>217</v>
      </c>
      <c r="F48" s="1808" t="s">
        <v>47</v>
      </c>
      <c r="G48" s="1829"/>
      <c r="H48" s="1940"/>
      <c r="I48" s="87" t="s">
        <v>60</v>
      </c>
      <c r="J48" s="1133">
        <v>5.9</v>
      </c>
      <c r="K48" s="1133">
        <v>0.8</v>
      </c>
      <c r="L48" s="368"/>
      <c r="M48" s="1133"/>
      <c r="N48" s="1118" t="s">
        <v>93</v>
      </c>
      <c r="O48" s="844">
        <v>1</v>
      </c>
      <c r="P48" s="430">
        <v>1</v>
      </c>
      <c r="Q48" s="1122"/>
      <c r="R48" s="1126"/>
    </row>
    <row r="49" spans="1:18" ht="21.75" customHeight="1" x14ac:dyDescent="0.2">
      <c r="A49" s="824"/>
      <c r="B49" s="825"/>
      <c r="C49" s="361"/>
      <c r="D49" s="1928"/>
      <c r="E49" s="1655"/>
      <c r="F49" s="1844"/>
      <c r="G49" s="1829"/>
      <c r="H49" s="1940"/>
      <c r="I49" s="86" t="s">
        <v>25</v>
      </c>
      <c r="J49" s="1134">
        <v>6.2</v>
      </c>
      <c r="K49" s="1155"/>
      <c r="L49" s="693"/>
      <c r="M49" s="1155"/>
      <c r="N49" s="19"/>
      <c r="O49" s="476"/>
      <c r="P49" s="444"/>
      <c r="Q49" s="301"/>
      <c r="R49" s="21"/>
    </row>
    <row r="50" spans="1:18" ht="16.5" customHeight="1" x14ac:dyDescent="0.2">
      <c r="A50" s="1104"/>
      <c r="B50" s="1105"/>
      <c r="C50" s="361"/>
      <c r="D50" s="1927" t="s">
        <v>33</v>
      </c>
      <c r="E50" s="1807" t="s">
        <v>202</v>
      </c>
      <c r="F50" s="1808" t="s">
        <v>47</v>
      </c>
      <c r="G50" s="1829"/>
      <c r="H50" s="1940"/>
      <c r="I50" s="83" t="s">
        <v>45</v>
      </c>
      <c r="J50" s="64"/>
      <c r="K50" s="64"/>
      <c r="L50" s="327">
        <v>95</v>
      </c>
      <c r="M50" s="64"/>
      <c r="N50" s="817" t="s">
        <v>93</v>
      </c>
      <c r="O50" s="441"/>
      <c r="P50" s="442"/>
      <c r="Q50" s="300">
        <v>1</v>
      </c>
      <c r="R50" s="1123"/>
    </row>
    <row r="51" spans="1:18" ht="17.25" customHeight="1" x14ac:dyDescent="0.2">
      <c r="A51" s="1104"/>
      <c r="B51" s="1105"/>
      <c r="C51" s="361"/>
      <c r="D51" s="1928"/>
      <c r="E51" s="1655"/>
      <c r="F51" s="1828"/>
      <c r="G51" s="1829"/>
      <c r="H51" s="1941"/>
      <c r="I51" s="739"/>
      <c r="J51" s="1136"/>
      <c r="K51" s="1136"/>
      <c r="L51" s="147"/>
      <c r="M51" s="1136"/>
      <c r="N51" s="19"/>
      <c r="O51" s="831"/>
      <c r="P51" s="444"/>
      <c r="Q51" s="301"/>
      <c r="R51" s="21"/>
    </row>
    <row r="52" spans="1:18" ht="16.5" customHeight="1" thickBot="1" x14ac:dyDescent="0.25">
      <c r="A52" s="68"/>
      <c r="B52" s="284"/>
      <c r="C52" s="175"/>
      <c r="D52" s="263"/>
      <c r="E52" s="349"/>
      <c r="F52" s="350"/>
      <c r="G52" s="263"/>
      <c r="H52" s="204"/>
      <c r="I52" s="172" t="s">
        <v>6</v>
      </c>
      <c r="J52" s="89">
        <f>SUM(J40:J49)</f>
        <v>1124.7</v>
      </c>
      <c r="K52" s="89">
        <f>SUM(K40:K51)</f>
        <v>607.4</v>
      </c>
      <c r="L52" s="89">
        <f>SUM(L40:L51)</f>
        <v>2056.3000000000002</v>
      </c>
      <c r="M52" s="89">
        <f>SUM(M40:M51)</f>
        <v>1900</v>
      </c>
      <c r="N52" s="353"/>
      <c r="O52" s="354"/>
      <c r="P52" s="355"/>
      <c r="Q52" s="355"/>
      <c r="R52" s="356"/>
    </row>
    <row r="53" spans="1:18" ht="36" customHeight="1" x14ac:dyDescent="0.2">
      <c r="A53" s="233" t="s">
        <v>5</v>
      </c>
      <c r="B53" s="256" t="s">
        <v>5</v>
      </c>
      <c r="C53" s="433" t="s">
        <v>28</v>
      </c>
      <c r="D53" s="215"/>
      <c r="E53" s="217" t="s">
        <v>96</v>
      </c>
      <c r="F53" s="264" t="s">
        <v>91</v>
      </c>
      <c r="G53" s="265" t="s">
        <v>43</v>
      </c>
      <c r="H53" s="218"/>
      <c r="I53" s="483"/>
      <c r="J53" s="482"/>
      <c r="K53" s="512"/>
      <c r="L53" s="216"/>
      <c r="M53" s="482"/>
      <c r="N53" s="805"/>
      <c r="O53" s="7"/>
      <c r="P53" s="53"/>
      <c r="Q53" s="157"/>
      <c r="R53" s="299"/>
    </row>
    <row r="54" spans="1:18" ht="14.1" customHeight="1" x14ac:dyDescent="0.2">
      <c r="A54" s="1632"/>
      <c r="B54" s="1791"/>
      <c r="C54" s="1944"/>
      <c r="D54" s="1831" t="s">
        <v>5</v>
      </c>
      <c r="E54" s="1625" t="s">
        <v>310</v>
      </c>
      <c r="F54" s="1780" t="s">
        <v>47</v>
      </c>
      <c r="G54" s="1831"/>
      <c r="H54" s="1938" t="s">
        <v>71</v>
      </c>
      <c r="I54" s="87" t="s">
        <v>100</v>
      </c>
      <c r="J54" s="1133">
        <f>860-300-300</f>
        <v>260</v>
      </c>
      <c r="K54" s="1133">
        <v>755.4</v>
      </c>
      <c r="L54" s="121">
        <v>211.8</v>
      </c>
      <c r="M54" s="55"/>
      <c r="N54" s="1726"/>
      <c r="O54" s="468"/>
      <c r="P54" s="471"/>
      <c r="Q54" s="709"/>
      <c r="R54" s="730"/>
    </row>
    <row r="55" spans="1:18" ht="14.1" customHeight="1" x14ac:dyDescent="0.2">
      <c r="A55" s="1632"/>
      <c r="B55" s="1791"/>
      <c r="C55" s="1944"/>
      <c r="D55" s="1634"/>
      <c r="E55" s="1843"/>
      <c r="F55" s="1781"/>
      <c r="G55" s="1634"/>
      <c r="H55" s="1939"/>
      <c r="I55" s="83" t="s">
        <v>25</v>
      </c>
      <c r="J55" s="64">
        <f>618.4-420</f>
        <v>198.4</v>
      </c>
      <c r="K55" s="64">
        <v>875.5</v>
      </c>
      <c r="L55" s="327">
        <v>374</v>
      </c>
      <c r="M55" s="64"/>
      <c r="N55" s="1822"/>
      <c r="O55" s="155"/>
      <c r="P55" s="155"/>
      <c r="Q55" s="155"/>
      <c r="R55" s="710"/>
    </row>
    <row r="56" spans="1:18" ht="14.1" customHeight="1" x14ac:dyDescent="0.2">
      <c r="A56" s="1632"/>
      <c r="B56" s="1791"/>
      <c r="C56" s="1944"/>
      <c r="D56" s="1634"/>
      <c r="E56" s="1838"/>
      <c r="F56" s="1781"/>
      <c r="G56" s="1634"/>
      <c r="H56" s="1939"/>
      <c r="I56" s="83" t="s">
        <v>245</v>
      </c>
      <c r="J56" s="62">
        <v>984.5</v>
      </c>
      <c r="K56" s="62">
        <v>1482.2</v>
      </c>
      <c r="L56" s="99">
        <v>122.8</v>
      </c>
      <c r="M56" s="62"/>
      <c r="N56" s="803"/>
      <c r="O56" s="155"/>
      <c r="P56" s="155"/>
      <c r="Q56" s="155"/>
      <c r="R56" s="710"/>
    </row>
    <row r="57" spans="1:18" ht="14.1" customHeight="1" x14ac:dyDescent="0.2">
      <c r="A57" s="1632"/>
      <c r="B57" s="1791"/>
      <c r="C57" s="1944"/>
      <c r="D57" s="1634"/>
      <c r="E57" s="465"/>
      <c r="F57" s="1781"/>
      <c r="G57" s="1634"/>
      <c r="H57" s="1939"/>
      <c r="I57" s="83" t="s">
        <v>48</v>
      </c>
      <c r="J57" s="62">
        <f>300-182.4</f>
        <v>117.6</v>
      </c>
      <c r="K57" s="62">
        <v>200</v>
      </c>
      <c r="L57" s="99"/>
      <c r="M57" s="62"/>
      <c r="N57" s="803"/>
      <c r="O57" s="155"/>
      <c r="P57" s="155"/>
      <c r="Q57" s="155"/>
      <c r="R57" s="710"/>
    </row>
    <row r="58" spans="1:18" ht="14.1" customHeight="1" x14ac:dyDescent="0.2">
      <c r="A58" s="1632"/>
      <c r="B58" s="1791"/>
      <c r="C58" s="1944"/>
      <c r="D58" s="1634"/>
      <c r="E58" s="465"/>
      <c r="F58" s="1781"/>
      <c r="G58" s="1634"/>
      <c r="H58" s="1939"/>
      <c r="I58" s="83" t="s">
        <v>45</v>
      </c>
      <c r="J58" s="62"/>
      <c r="K58" s="62">
        <v>104.9</v>
      </c>
      <c r="L58" s="99"/>
      <c r="M58" s="62"/>
      <c r="N58" s="803"/>
      <c r="O58" s="155"/>
      <c r="P58" s="155"/>
      <c r="Q58" s="155"/>
      <c r="R58" s="710"/>
    </row>
    <row r="59" spans="1:18" ht="14.1" customHeight="1" x14ac:dyDescent="0.2">
      <c r="A59" s="1632"/>
      <c r="B59" s="1791"/>
      <c r="C59" s="1944"/>
      <c r="D59" s="1634"/>
      <c r="E59" s="465"/>
      <c r="F59" s="1781"/>
      <c r="G59" s="1634"/>
      <c r="H59" s="1939"/>
      <c r="I59" s="83" t="s">
        <v>60</v>
      </c>
      <c r="J59" s="62">
        <f>420-260</f>
        <v>160</v>
      </c>
      <c r="K59" s="62">
        <v>186.9</v>
      </c>
      <c r="L59" s="99"/>
      <c r="M59" s="62"/>
      <c r="N59" s="803"/>
      <c r="O59" s="155"/>
      <c r="P59" s="155"/>
      <c r="Q59" s="155"/>
      <c r="R59" s="710"/>
    </row>
    <row r="60" spans="1:18" ht="25.5" customHeight="1" x14ac:dyDescent="0.2">
      <c r="A60" s="1632"/>
      <c r="B60" s="1791"/>
      <c r="C60" s="1944"/>
      <c r="D60" s="1634"/>
      <c r="E60" s="479" t="s">
        <v>155</v>
      </c>
      <c r="F60" s="1781"/>
      <c r="G60" s="1634"/>
      <c r="H60" s="1939"/>
      <c r="I60" s="132"/>
      <c r="J60" s="59"/>
      <c r="K60" s="59"/>
      <c r="L60" s="181"/>
      <c r="M60" s="59"/>
      <c r="N60" s="85" t="s">
        <v>196</v>
      </c>
      <c r="O60" s="25">
        <v>80</v>
      </c>
      <c r="P60" s="160">
        <v>100</v>
      </c>
      <c r="Q60" s="160"/>
      <c r="R60" s="26"/>
    </row>
    <row r="61" spans="1:18" ht="40.5" customHeight="1" x14ac:dyDescent="0.2">
      <c r="A61" s="1632"/>
      <c r="B61" s="1791"/>
      <c r="C61" s="1944"/>
      <c r="D61" s="1634"/>
      <c r="E61" s="469" t="s">
        <v>127</v>
      </c>
      <c r="F61" s="1784"/>
      <c r="G61" s="1832"/>
      <c r="H61" s="292"/>
      <c r="I61" s="86"/>
      <c r="J61" s="1182"/>
      <c r="K61" s="1182"/>
      <c r="L61" s="147"/>
      <c r="M61" s="1182"/>
      <c r="N61" s="480" t="s">
        <v>197</v>
      </c>
      <c r="O61" s="20"/>
      <c r="P61" s="47">
        <v>80</v>
      </c>
      <c r="Q61" s="47">
        <v>100</v>
      </c>
      <c r="R61" s="21"/>
    </row>
    <row r="62" spans="1:18" ht="15" customHeight="1" x14ac:dyDescent="0.2">
      <c r="A62" s="432"/>
      <c r="B62" s="434"/>
      <c r="C62" s="403"/>
      <c r="D62" s="1927" t="s">
        <v>7</v>
      </c>
      <c r="E62" s="1625" t="s">
        <v>311</v>
      </c>
      <c r="F62" s="435" t="s">
        <v>47</v>
      </c>
      <c r="G62" s="1829"/>
      <c r="H62" s="1936" t="s">
        <v>303</v>
      </c>
      <c r="I62" s="83" t="s">
        <v>100</v>
      </c>
      <c r="J62" s="62"/>
      <c r="K62" s="62"/>
      <c r="L62" s="99">
        <v>500</v>
      </c>
      <c r="M62" s="1181">
        <v>400</v>
      </c>
      <c r="N62" s="1117" t="s">
        <v>46</v>
      </c>
      <c r="O62" s="430">
        <v>1</v>
      </c>
      <c r="P62" s="430">
        <v>1</v>
      </c>
      <c r="Q62" s="630"/>
      <c r="R62" s="745"/>
    </row>
    <row r="63" spans="1:18" ht="15" customHeight="1" x14ac:dyDescent="0.2">
      <c r="A63" s="824"/>
      <c r="B63" s="827"/>
      <c r="C63" s="403"/>
      <c r="D63" s="1666"/>
      <c r="E63" s="1631"/>
      <c r="F63" s="518"/>
      <c r="G63" s="1829"/>
      <c r="H63" s="1937"/>
      <c r="I63" s="83" t="s">
        <v>60</v>
      </c>
      <c r="J63" s="62"/>
      <c r="K63" s="62">
        <v>11.8</v>
      </c>
      <c r="L63" s="99"/>
      <c r="M63" s="62"/>
      <c r="N63" s="1110" t="s">
        <v>151</v>
      </c>
      <c r="O63" s="442"/>
      <c r="P63" s="442"/>
      <c r="Q63" s="445">
        <v>30</v>
      </c>
      <c r="R63" s="575">
        <v>60</v>
      </c>
    </row>
    <row r="64" spans="1:18" ht="15" customHeight="1" x14ac:dyDescent="0.2">
      <c r="A64" s="997"/>
      <c r="B64" s="998"/>
      <c r="C64" s="403"/>
      <c r="D64" s="1666"/>
      <c r="E64" s="1631"/>
      <c r="F64" s="518"/>
      <c r="G64" s="1829"/>
      <c r="H64" s="1937"/>
      <c r="I64" s="83" t="s">
        <v>25</v>
      </c>
      <c r="J64" s="62">
        <v>26</v>
      </c>
      <c r="K64" s="62"/>
      <c r="L64" s="99"/>
      <c r="M64" s="62">
        <v>100</v>
      </c>
      <c r="N64" s="1110"/>
      <c r="O64" s="442"/>
      <c r="P64" s="442"/>
      <c r="Q64" s="445"/>
      <c r="R64" s="575"/>
    </row>
    <row r="65" spans="1:20" ht="21" customHeight="1" x14ac:dyDescent="0.2">
      <c r="A65" s="432"/>
      <c r="B65" s="434"/>
      <c r="C65" s="403"/>
      <c r="D65" s="1666"/>
      <c r="E65" s="1833"/>
      <c r="F65" s="1044"/>
      <c r="G65" s="1829"/>
      <c r="H65" s="1937"/>
      <c r="I65" s="124" t="s">
        <v>45</v>
      </c>
      <c r="J65" s="1182">
        <v>40</v>
      </c>
      <c r="K65" s="1182"/>
      <c r="L65" s="147">
        <v>40</v>
      </c>
      <c r="M65" s="1182"/>
      <c r="N65" s="519"/>
      <c r="O65" s="444"/>
      <c r="P65" s="444"/>
      <c r="Q65" s="516"/>
      <c r="R65" s="457"/>
    </row>
    <row r="66" spans="1:20" ht="21.75" customHeight="1" x14ac:dyDescent="0.2">
      <c r="A66" s="1042"/>
      <c r="B66" s="1043"/>
      <c r="C66" s="403"/>
      <c r="D66" s="1927" t="s">
        <v>28</v>
      </c>
      <c r="E66" s="1807" t="s">
        <v>305</v>
      </c>
      <c r="F66" s="1828" t="s">
        <v>47</v>
      </c>
      <c r="G66" s="1829"/>
      <c r="H66" s="1156"/>
      <c r="I66" s="324" t="s">
        <v>60</v>
      </c>
      <c r="J66" s="62">
        <v>263</v>
      </c>
      <c r="K66" s="62">
        <v>100</v>
      </c>
      <c r="L66" s="99"/>
      <c r="M66" s="62"/>
      <c r="N66" s="1726" t="s">
        <v>46</v>
      </c>
      <c r="O66" s="920">
        <v>1</v>
      </c>
      <c r="P66" s="1183">
        <v>1</v>
      </c>
      <c r="Q66" s="300"/>
      <c r="R66" s="1045"/>
    </row>
    <row r="67" spans="1:20" ht="17.25" customHeight="1" x14ac:dyDescent="0.2">
      <c r="A67" s="1042"/>
      <c r="B67" s="1043"/>
      <c r="C67" s="403"/>
      <c r="D67" s="1928"/>
      <c r="E67" s="1656"/>
      <c r="F67" s="1844"/>
      <c r="G67" s="1829"/>
      <c r="H67" s="1157"/>
      <c r="I67" s="124"/>
      <c r="J67" s="1136"/>
      <c r="K67" s="1136"/>
      <c r="L67" s="147"/>
      <c r="M67" s="1136"/>
      <c r="N67" s="1806"/>
      <c r="O67" s="20"/>
      <c r="P67" s="20"/>
      <c r="Q67" s="301"/>
      <c r="R67" s="21"/>
    </row>
    <row r="68" spans="1:20" ht="16.5" customHeight="1" thickBot="1" x14ac:dyDescent="0.25">
      <c r="A68" s="68"/>
      <c r="B68" s="284"/>
      <c r="C68" s="175"/>
      <c r="D68" s="263"/>
      <c r="E68" s="349"/>
      <c r="F68" s="350"/>
      <c r="G68" s="263"/>
      <c r="H68" s="204"/>
      <c r="I68" s="172" t="s">
        <v>6</v>
      </c>
      <c r="J68" s="133">
        <f>SUM(J54:J67)</f>
        <v>2049.5</v>
      </c>
      <c r="K68" s="89">
        <f>SUM(K54:K67)</f>
        <v>3716.7</v>
      </c>
      <c r="L68" s="89">
        <f>SUM(L54:L67)</f>
        <v>1248.5999999999999</v>
      </c>
      <c r="M68" s="89">
        <f>SUM(M54:M67)</f>
        <v>500</v>
      </c>
      <c r="N68" s="353"/>
      <c r="O68" s="354"/>
      <c r="P68" s="355"/>
      <c r="Q68" s="355"/>
      <c r="R68" s="356"/>
    </row>
    <row r="69" spans="1:20" ht="33" customHeight="1" x14ac:dyDescent="0.2">
      <c r="A69" s="236" t="s">
        <v>5</v>
      </c>
      <c r="B69" s="259" t="s">
        <v>5</v>
      </c>
      <c r="C69" s="352" t="s">
        <v>33</v>
      </c>
      <c r="D69" s="97"/>
      <c r="E69" s="104" t="s">
        <v>51</v>
      </c>
      <c r="F69" s="106" t="s">
        <v>88</v>
      </c>
      <c r="G69" s="115" t="s">
        <v>43</v>
      </c>
      <c r="H69" s="219"/>
      <c r="I69" s="71"/>
      <c r="J69" s="69"/>
      <c r="K69" s="69"/>
      <c r="L69" s="373"/>
      <c r="M69" s="69"/>
      <c r="N69" s="72"/>
      <c r="O69" s="28"/>
      <c r="P69" s="28"/>
      <c r="Q69" s="631"/>
      <c r="R69" s="744"/>
      <c r="T69" s="50"/>
    </row>
    <row r="70" spans="1:20" ht="15" customHeight="1" x14ac:dyDescent="0.2">
      <c r="A70" s="233"/>
      <c r="B70" s="256"/>
      <c r="C70" s="351"/>
      <c r="D70" s="1780" t="s">
        <v>5</v>
      </c>
      <c r="E70" s="1625" t="s">
        <v>59</v>
      </c>
      <c r="F70" s="1808" t="s">
        <v>47</v>
      </c>
      <c r="G70" s="1781"/>
      <c r="H70" s="1938" t="s">
        <v>304</v>
      </c>
      <c r="I70" s="55" t="s">
        <v>100</v>
      </c>
      <c r="J70" s="369">
        <f>500+617.1</f>
        <v>1117.0999999999999</v>
      </c>
      <c r="K70" s="55">
        <v>54.3</v>
      </c>
      <c r="L70" s="121"/>
      <c r="M70" s="55"/>
      <c r="N70" s="1842" t="s">
        <v>198</v>
      </c>
      <c r="O70" s="823">
        <v>60</v>
      </c>
      <c r="P70" s="823">
        <v>100</v>
      </c>
      <c r="Q70" s="712"/>
      <c r="R70" s="730"/>
    </row>
    <row r="71" spans="1:20" ht="15" customHeight="1" x14ac:dyDescent="0.2">
      <c r="A71" s="273"/>
      <c r="B71" s="289"/>
      <c r="C71" s="351"/>
      <c r="D71" s="1781"/>
      <c r="E71" s="1631"/>
      <c r="F71" s="1828"/>
      <c r="G71" s="1781"/>
      <c r="H71" s="1940"/>
      <c r="I71" s="62" t="s">
        <v>25</v>
      </c>
      <c r="J71" s="99">
        <f>400+1508.2</f>
        <v>1908.2</v>
      </c>
      <c r="K71" s="62"/>
      <c r="L71" s="99"/>
      <c r="M71" s="62"/>
      <c r="N71" s="1934"/>
      <c r="O71" s="261"/>
      <c r="P71" s="261"/>
      <c r="Q71" s="300"/>
      <c r="R71" s="710"/>
    </row>
    <row r="72" spans="1:20" ht="15" customHeight="1" x14ac:dyDescent="0.2">
      <c r="A72" s="783"/>
      <c r="B72" s="784"/>
      <c r="C72" s="786"/>
      <c r="D72" s="1781"/>
      <c r="E72" s="1631"/>
      <c r="F72" s="1828"/>
      <c r="G72" s="1781"/>
      <c r="H72" s="1940"/>
      <c r="I72" s="62" t="s">
        <v>99</v>
      </c>
      <c r="J72" s="99">
        <v>198.4</v>
      </c>
      <c r="K72" s="62"/>
      <c r="L72" s="99"/>
      <c r="M72" s="62"/>
      <c r="N72" s="272"/>
      <c r="O72" s="787"/>
      <c r="P72" s="787"/>
      <c r="Q72" s="300"/>
      <c r="R72" s="785"/>
    </row>
    <row r="73" spans="1:20" ht="15" customHeight="1" x14ac:dyDescent="0.2">
      <c r="A73" s="783"/>
      <c r="B73" s="784"/>
      <c r="C73" s="786"/>
      <c r="D73" s="1781"/>
      <c r="E73" s="1631"/>
      <c r="F73" s="1828"/>
      <c r="G73" s="1781"/>
      <c r="H73" s="1940"/>
      <c r="I73" s="62" t="s">
        <v>60</v>
      </c>
      <c r="J73" s="99">
        <v>192.4</v>
      </c>
      <c r="K73" s="62"/>
      <c r="L73" s="99"/>
      <c r="M73" s="62"/>
      <c r="N73" s="272"/>
      <c r="O73" s="787"/>
      <c r="P73" s="787"/>
      <c r="Q73" s="300"/>
      <c r="R73" s="785"/>
    </row>
    <row r="74" spans="1:20" ht="15" customHeight="1" x14ac:dyDescent="0.2">
      <c r="A74" s="233"/>
      <c r="B74" s="256"/>
      <c r="C74" s="351"/>
      <c r="D74" s="1781"/>
      <c r="E74" s="1631"/>
      <c r="F74" s="1828"/>
      <c r="G74" s="1781"/>
      <c r="H74" s="1940"/>
      <c r="I74" s="62" t="s">
        <v>48</v>
      </c>
      <c r="J74" s="99">
        <f>993.4+482.4</f>
        <v>1475.8</v>
      </c>
      <c r="K74" s="62">
        <v>1300</v>
      </c>
      <c r="L74" s="99"/>
      <c r="M74" s="62"/>
      <c r="N74" s="1948"/>
      <c r="O74" s="261"/>
      <c r="P74" s="261"/>
      <c r="Q74" s="300"/>
      <c r="R74" s="710"/>
    </row>
    <row r="75" spans="1:20" ht="15" customHeight="1" x14ac:dyDescent="0.2">
      <c r="A75" s="273"/>
      <c r="B75" s="289"/>
      <c r="C75" s="351"/>
      <c r="D75" s="1781"/>
      <c r="E75" s="1631"/>
      <c r="F75" s="1828"/>
      <c r="G75" s="1781"/>
      <c r="H75" s="1940"/>
      <c r="I75" s="61" t="s">
        <v>45</v>
      </c>
      <c r="J75" s="147">
        <v>3.2</v>
      </c>
      <c r="K75" s="61"/>
      <c r="L75" s="147"/>
      <c r="M75" s="61"/>
      <c r="N75" s="1949"/>
      <c r="O75" s="20"/>
      <c r="P75" s="20"/>
      <c r="Q75" s="300"/>
      <c r="R75" s="710"/>
    </row>
    <row r="76" spans="1:20" ht="14.25" customHeight="1" x14ac:dyDescent="0.2">
      <c r="A76" s="1632"/>
      <c r="B76" s="1791"/>
      <c r="C76" s="1944"/>
      <c r="D76" s="1927" t="s">
        <v>7</v>
      </c>
      <c r="E76" s="1807" t="s">
        <v>267</v>
      </c>
      <c r="F76" s="1824" t="s">
        <v>47</v>
      </c>
      <c r="G76" s="1930"/>
      <c r="H76" s="1920"/>
      <c r="I76" s="46" t="s">
        <v>25</v>
      </c>
      <c r="J76" s="62"/>
      <c r="K76" s="62">
        <v>10</v>
      </c>
      <c r="L76" s="99">
        <v>24.6</v>
      </c>
      <c r="M76" s="62">
        <v>22.5</v>
      </c>
      <c r="N76" s="1090" t="s">
        <v>46</v>
      </c>
      <c r="O76" s="1089"/>
      <c r="P76" s="1089">
        <v>1</v>
      </c>
      <c r="Q76" s="1091"/>
      <c r="R76" s="1093"/>
    </row>
    <row r="77" spans="1:20" ht="21" customHeight="1" x14ac:dyDescent="0.2">
      <c r="A77" s="1632"/>
      <c r="B77" s="1791"/>
      <c r="C77" s="1944"/>
      <c r="D77" s="1666"/>
      <c r="E77" s="1655"/>
      <c r="F77" s="1677"/>
      <c r="G77" s="1930"/>
      <c r="H77" s="1920"/>
      <c r="I77" s="83" t="s">
        <v>44</v>
      </c>
      <c r="J77" s="62"/>
      <c r="K77" s="62"/>
      <c r="L77" s="99">
        <v>425</v>
      </c>
      <c r="M77" s="62">
        <v>425</v>
      </c>
      <c r="N77" s="1821" t="s">
        <v>143</v>
      </c>
      <c r="O77" s="1095"/>
      <c r="P77" s="1095"/>
      <c r="Q77" s="300">
        <v>50</v>
      </c>
      <c r="R77" s="1092">
        <v>100</v>
      </c>
    </row>
    <row r="78" spans="1:20" ht="18.75" customHeight="1" x14ac:dyDescent="0.2">
      <c r="A78" s="1632"/>
      <c r="B78" s="1791"/>
      <c r="C78" s="1944"/>
      <c r="D78" s="1928"/>
      <c r="E78" s="1656"/>
      <c r="F78" s="1929"/>
      <c r="G78" s="1931"/>
      <c r="H78" s="1932"/>
      <c r="I78" s="124"/>
      <c r="J78" s="1094"/>
      <c r="K78" s="1094"/>
      <c r="L78" s="147"/>
      <c r="M78" s="1094"/>
      <c r="N78" s="1933"/>
      <c r="O78" s="20"/>
      <c r="P78" s="20"/>
      <c r="Q78" s="301"/>
      <c r="R78" s="21"/>
    </row>
    <row r="79" spans="1:20" ht="16.5" customHeight="1" thickBot="1" x14ac:dyDescent="0.25">
      <c r="A79" s="68"/>
      <c r="B79" s="284"/>
      <c r="C79" s="175"/>
      <c r="D79" s="263"/>
      <c r="E79" s="349"/>
      <c r="F79" s="350"/>
      <c r="G79" s="263"/>
      <c r="H79" s="204"/>
      <c r="I79" s="172" t="s">
        <v>6</v>
      </c>
      <c r="J79" s="89">
        <f>SUM(J70:J78)</f>
        <v>4895.1000000000004</v>
      </c>
      <c r="K79" s="89">
        <f>SUM(K70:K78)</f>
        <v>1364.3</v>
      </c>
      <c r="L79" s="89">
        <f>SUM(L70:L78)</f>
        <v>449.6</v>
      </c>
      <c r="M79" s="89">
        <f>SUM(M70:M78)</f>
        <v>447.5</v>
      </c>
      <c r="N79" s="353"/>
      <c r="O79" s="354"/>
      <c r="P79" s="355"/>
      <c r="Q79" s="355"/>
      <c r="R79" s="356"/>
    </row>
    <row r="80" spans="1:20" ht="33" customHeight="1" x14ac:dyDescent="0.2">
      <c r="A80" s="281" t="s">
        <v>5</v>
      </c>
      <c r="B80" s="259" t="s">
        <v>5</v>
      </c>
      <c r="C80" s="352" t="s">
        <v>34</v>
      </c>
      <c r="D80" s="97"/>
      <c r="E80" s="74" t="s">
        <v>95</v>
      </c>
      <c r="F80" s="106" t="s">
        <v>86</v>
      </c>
      <c r="G80" s="114" t="s">
        <v>43</v>
      </c>
      <c r="H80" s="116"/>
      <c r="I80" s="373"/>
      <c r="J80" s="69"/>
      <c r="K80" s="69"/>
      <c r="L80" s="373"/>
      <c r="M80" s="69"/>
      <c r="N80" s="165"/>
      <c r="O80" s="29"/>
      <c r="P80" s="29"/>
      <c r="Q80" s="733"/>
      <c r="R80" s="299"/>
    </row>
    <row r="81" spans="1:18" ht="14.25" customHeight="1" x14ac:dyDescent="0.2">
      <c r="A81" s="1063"/>
      <c r="B81" s="1066"/>
      <c r="C81" s="1074"/>
      <c r="D81" s="1071" t="s">
        <v>5</v>
      </c>
      <c r="E81" s="1807" t="s">
        <v>213</v>
      </c>
      <c r="F81" s="107" t="s">
        <v>47</v>
      </c>
      <c r="G81" s="1065"/>
      <c r="H81" s="1920" t="s">
        <v>116</v>
      </c>
      <c r="I81" s="83" t="s">
        <v>100</v>
      </c>
      <c r="J81" s="62">
        <f>700+300</f>
        <v>1000</v>
      </c>
      <c r="K81" s="62">
        <v>845.7</v>
      </c>
      <c r="L81" s="99"/>
      <c r="M81" s="62"/>
      <c r="N81" s="1726" t="s">
        <v>199</v>
      </c>
      <c r="O81" s="791">
        <v>80</v>
      </c>
      <c r="P81" s="791">
        <v>100</v>
      </c>
      <c r="Q81" s="633"/>
      <c r="R81" s="318"/>
    </row>
    <row r="82" spans="1:18" ht="12.75" customHeight="1" x14ac:dyDescent="0.2">
      <c r="A82" s="1063"/>
      <c r="B82" s="1066"/>
      <c r="C82" s="1074"/>
      <c r="D82" s="1068"/>
      <c r="E82" s="1655"/>
      <c r="F82" s="1924"/>
      <c r="G82" s="1065"/>
      <c r="H82" s="1921"/>
      <c r="I82" s="619" t="s">
        <v>25</v>
      </c>
      <c r="J82" s="742">
        <v>352.5</v>
      </c>
      <c r="K82" s="1041">
        <v>472.5</v>
      </c>
      <c r="L82" s="99"/>
      <c r="M82" s="62"/>
      <c r="N82" s="1822"/>
      <c r="O82" s="791"/>
      <c r="P82" s="791"/>
      <c r="Q82" s="633"/>
      <c r="R82" s="318"/>
    </row>
    <row r="83" spans="1:18" ht="15" customHeight="1" x14ac:dyDescent="0.2">
      <c r="A83" s="1063"/>
      <c r="B83" s="1066"/>
      <c r="C83" s="1074"/>
      <c r="D83" s="1064"/>
      <c r="E83" s="1655"/>
      <c r="F83" s="1924"/>
      <c r="G83" s="1065"/>
      <c r="H83" s="1921"/>
      <c r="I83" s="751" t="s">
        <v>60</v>
      </c>
      <c r="J83" s="742">
        <v>1533.9</v>
      </c>
      <c r="K83" s="540"/>
      <c r="L83" s="99"/>
      <c r="M83" s="62"/>
      <c r="N83" s="1067"/>
      <c r="O83" s="791"/>
      <c r="P83" s="791"/>
      <c r="Q83" s="633"/>
      <c r="R83" s="318"/>
    </row>
    <row r="84" spans="1:18" ht="16.5" customHeight="1" x14ac:dyDescent="0.2">
      <c r="A84" s="1063"/>
      <c r="B84" s="1066"/>
      <c r="C84" s="1074"/>
      <c r="D84" s="1064"/>
      <c r="E84" s="1655"/>
      <c r="F84" s="1924"/>
      <c r="G84" s="1065"/>
      <c r="H84" s="1921"/>
      <c r="I84" s="541" t="s">
        <v>99</v>
      </c>
      <c r="J84" s="539">
        <v>403.6</v>
      </c>
      <c r="K84" s="539"/>
      <c r="L84" s="147"/>
      <c r="M84" s="1075"/>
      <c r="N84" s="1073"/>
      <c r="O84" s="1069"/>
      <c r="P84" s="1069"/>
      <c r="Q84" s="633"/>
      <c r="R84" s="318"/>
    </row>
    <row r="85" spans="1:18" ht="15.75" customHeight="1" x14ac:dyDescent="0.2">
      <c r="A85" s="1063"/>
      <c r="B85" s="1066"/>
      <c r="C85" s="1074"/>
      <c r="D85" s="1071" t="s">
        <v>7</v>
      </c>
      <c r="E85" s="1807" t="s">
        <v>218</v>
      </c>
      <c r="F85" s="107" t="s">
        <v>47</v>
      </c>
      <c r="G85" s="1065"/>
      <c r="H85" s="1920"/>
      <c r="I85" s="83" t="s">
        <v>25</v>
      </c>
      <c r="J85" s="64"/>
      <c r="K85" s="62">
        <v>43.3</v>
      </c>
      <c r="L85" s="99"/>
      <c r="M85" s="62">
        <v>160.6</v>
      </c>
      <c r="N85" s="1211" t="s">
        <v>222</v>
      </c>
      <c r="O85" s="749"/>
      <c r="P85" s="750">
        <v>10</v>
      </c>
      <c r="Q85" s="734">
        <v>40</v>
      </c>
      <c r="R85" s="746">
        <v>80</v>
      </c>
    </row>
    <row r="86" spans="1:18" ht="19.5" customHeight="1" x14ac:dyDescent="0.2">
      <c r="A86" s="1063"/>
      <c r="B86" s="1066"/>
      <c r="C86" s="1074"/>
      <c r="D86" s="1072"/>
      <c r="E86" s="1823"/>
      <c r="F86" s="542"/>
      <c r="G86" s="1065"/>
      <c r="H86" s="1921"/>
      <c r="I86" s="1182" t="s">
        <v>100</v>
      </c>
      <c r="J86" s="1178"/>
      <c r="K86" s="1182"/>
      <c r="L86" s="147">
        <v>800</v>
      </c>
      <c r="M86" s="1182">
        <v>800</v>
      </c>
      <c r="N86" s="416"/>
      <c r="O86" s="1069"/>
      <c r="P86" s="1069"/>
      <c r="Q86" s="629"/>
      <c r="R86" s="31"/>
    </row>
    <row r="87" spans="1:18" ht="15" customHeight="1" x14ac:dyDescent="0.2">
      <c r="A87" s="273"/>
      <c r="B87" s="289"/>
      <c r="C87" s="351"/>
      <c r="D87" s="701" t="s">
        <v>28</v>
      </c>
      <c r="E87" s="1807" t="s">
        <v>135</v>
      </c>
      <c r="F87" s="1808" t="s">
        <v>336</v>
      </c>
      <c r="G87" s="801"/>
      <c r="H87" s="1920"/>
      <c r="I87" s="87" t="s">
        <v>25</v>
      </c>
      <c r="J87" s="1181">
        <f>326.1+123.9-430</f>
        <v>20</v>
      </c>
      <c r="K87" s="1181"/>
      <c r="L87" s="121"/>
      <c r="M87" s="1181"/>
      <c r="N87" s="1426" t="s">
        <v>46</v>
      </c>
      <c r="O87" s="846">
        <v>1</v>
      </c>
      <c r="P87" s="1427">
        <v>1</v>
      </c>
      <c r="Q87" s="628"/>
      <c r="R87" s="1434"/>
    </row>
    <row r="88" spans="1:18" ht="21" customHeight="1" x14ac:dyDescent="0.2">
      <c r="A88" s="273"/>
      <c r="B88" s="289"/>
      <c r="C88" s="362"/>
      <c r="D88" s="701"/>
      <c r="E88" s="1655"/>
      <c r="F88" s="1809"/>
      <c r="G88" s="801"/>
      <c r="H88" s="1920"/>
      <c r="I88" s="83" t="s">
        <v>60</v>
      </c>
      <c r="J88" s="62"/>
      <c r="K88" s="62">
        <v>18.2</v>
      </c>
      <c r="L88" s="99"/>
      <c r="M88" s="62"/>
      <c r="N88" s="1431"/>
      <c r="O88" s="1430"/>
      <c r="P88" s="1430"/>
      <c r="Q88" s="633"/>
      <c r="R88" s="318"/>
    </row>
    <row r="89" spans="1:18" ht="18.75" customHeight="1" x14ac:dyDescent="0.2">
      <c r="A89" s="273"/>
      <c r="B89" s="289"/>
      <c r="C89" s="362"/>
      <c r="D89" s="1082"/>
      <c r="E89" s="1816"/>
      <c r="F89" s="1809"/>
      <c r="G89" s="801"/>
      <c r="H89" s="1920"/>
      <c r="I89" s="86"/>
      <c r="J89" s="61"/>
      <c r="K89" s="1075"/>
      <c r="L89" s="147"/>
      <c r="M89" s="1038"/>
      <c r="N89" s="1432" t="s">
        <v>345</v>
      </c>
      <c r="O89" s="20"/>
      <c r="P89" s="20"/>
      <c r="Q89" s="301"/>
      <c r="R89" s="21"/>
    </row>
    <row r="90" spans="1:18" ht="14.25" customHeight="1" x14ac:dyDescent="0.2">
      <c r="A90" s="704"/>
      <c r="B90" s="708"/>
      <c r="C90" s="716"/>
      <c r="D90" s="701" t="s">
        <v>33</v>
      </c>
      <c r="E90" s="1807" t="s">
        <v>244</v>
      </c>
      <c r="F90" s="107" t="s">
        <v>47</v>
      </c>
      <c r="G90" s="801"/>
      <c r="H90" s="809"/>
      <c r="I90" s="83" t="s">
        <v>25</v>
      </c>
      <c r="J90" s="64"/>
      <c r="K90" s="62"/>
      <c r="L90" s="99">
        <v>82</v>
      </c>
      <c r="M90" s="62"/>
      <c r="N90" s="808" t="s">
        <v>46</v>
      </c>
      <c r="O90" s="543"/>
      <c r="P90" s="543"/>
      <c r="Q90" s="1819">
        <v>1</v>
      </c>
      <c r="R90" s="318"/>
    </row>
    <row r="91" spans="1:18" ht="12.75" customHeight="1" x14ac:dyDescent="0.2">
      <c r="A91" s="704"/>
      <c r="B91" s="708"/>
      <c r="C91" s="716"/>
      <c r="D91" s="701"/>
      <c r="E91" s="1818"/>
      <c r="F91" s="542"/>
      <c r="G91" s="801"/>
      <c r="H91" s="809"/>
      <c r="I91" s="86"/>
      <c r="J91" s="57"/>
      <c r="K91" s="61"/>
      <c r="L91" s="147"/>
      <c r="M91" s="61"/>
      <c r="N91" s="819"/>
      <c r="O91" s="791"/>
      <c r="P91" s="791"/>
      <c r="Q91" s="1961"/>
      <c r="R91" s="31"/>
    </row>
    <row r="92" spans="1:18" ht="25.5" hidden="1" customHeight="1" x14ac:dyDescent="0.2">
      <c r="A92" s="811"/>
      <c r="B92" s="812"/>
      <c r="C92" s="813"/>
      <c r="D92" s="814" t="s">
        <v>35</v>
      </c>
      <c r="E92" s="1807" t="s">
        <v>259</v>
      </c>
      <c r="F92" s="774" t="s">
        <v>47</v>
      </c>
      <c r="G92" s="868"/>
      <c r="H92" s="1920"/>
      <c r="I92" s="83" t="s">
        <v>25</v>
      </c>
      <c r="J92" s="64"/>
      <c r="K92" s="62"/>
      <c r="L92" s="99"/>
      <c r="M92" s="62"/>
      <c r="N92" s="872" t="s">
        <v>260</v>
      </c>
      <c r="O92" s="873"/>
      <c r="P92" s="873">
        <v>100</v>
      </c>
      <c r="Q92" s="628"/>
      <c r="R92" s="318"/>
    </row>
    <row r="93" spans="1:18" ht="14.25" hidden="1" customHeight="1" x14ac:dyDescent="0.2">
      <c r="A93" s="811"/>
      <c r="B93" s="812"/>
      <c r="C93" s="813"/>
      <c r="D93" s="815"/>
      <c r="E93" s="1818"/>
      <c r="F93" s="542"/>
      <c r="G93" s="868"/>
      <c r="H93" s="1921"/>
      <c r="I93" s="61"/>
      <c r="J93" s="57"/>
      <c r="K93" s="61"/>
      <c r="L93" s="147"/>
      <c r="M93" s="61"/>
      <c r="N93" s="416"/>
      <c r="O93" s="874"/>
      <c r="P93" s="874"/>
      <c r="Q93" s="629"/>
      <c r="R93" s="31"/>
    </row>
    <row r="94" spans="1:18" ht="16.5" customHeight="1" thickBot="1" x14ac:dyDescent="0.25">
      <c r="A94" s="68"/>
      <c r="B94" s="284"/>
      <c r="C94" s="175"/>
      <c r="D94" s="263"/>
      <c r="E94" s="349"/>
      <c r="F94" s="350"/>
      <c r="G94" s="263"/>
      <c r="H94" s="204"/>
      <c r="I94" s="196" t="s">
        <v>6</v>
      </c>
      <c r="J94" s="133">
        <f>SUM(J81:J93)</f>
        <v>3310</v>
      </c>
      <c r="K94" s="133">
        <f>SUM(K81:K93)</f>
        <v>1379.7</v>
      </c>
      <c r="L94" s="133">
        <f>SUM(L81:L93)</f>
        <v>882</v>
      </c>
      <c r="M94" s="133">
        <f>SUM(M81:M93)</f>
        <v>960.6</v>
      </c>
      <c r="N94" s="353"/>
      <c r="O94" s="354"/>
      <c r="P94" s="355"/>
      <c r="Q94" s="355"/>
      <c r="R94" s="356"/>
    </row>
    <row r="95" spans="1:18" ht="29.25" customHeight="1" x14ac:dyDescent="0.2">
      <c r="A95" s="273" t="s">
        <v>5</v>
      </c>
      <c r="B95" s="289" t="s">
        <v>5</v>
      </c>
      <c r="C95" s="351" t="s">
        <v>35</v>
      </c>
      <c r="D95" s="346"/>
      <c r="E95" s="199" t="s">
        <v>72</v>
      </c>
      <c r="F95" s="389" t="s">
        <v>90</v>
      </c>
      <c r="G95" s="250" t="s">
        <v>43</v>
      </c>
      <c r="H95" s="248"/>
      <c r="I95" s="69"/>
      <c r="J95" s="515"/>
      <c r="K95" s="76"/>
      <c r="L95" s="371"/>
      <c r="M95" s="76"/>
      <c r="N95" s="63"/>
      <c r="O95" s="7"/>
      <c r="P95" s="53"/>
      <c r="Q95" s="157"/>
      <c r="R95" s="299"/>
    </row>
    <row r="96" spans="1:18" ht="14.25" customHeight="1" x14ac:dyDescent="0.2">
      <c r="A96" s="233"/>
      <c r="B96" s="256"/>
      <c r="C96" s="351"/>
      <c r="D96" s="359" t="s">
        <v>5</v>
      </c>
      <c r="E96" s="1807" t="s">
        <v>133</v>
      </c>
      <c r="F96" s="1808" t="s">
        <v>336</v>
      </c>
      <c r="G96" s="247"/>
      <c r="H96" s="1992" t="s">
        <v>306</v>
      </c>
      <c r="I96" s="64" t="s">
        <v>60</v>
      </c>
      <c r="J96" s="215">
        <v>219.3</v>
      </c>
      <c r="K96" s="62">
        <v>0</v>
      </c>
      <c r="L96" s="99"/>
      <c r="M96" s="62"/>
      <c r="N96" s="808" t="s">
        <v>46</v>
      </c>
      <c r="O96" s="442"/>
      <c r="P96" s="445">
        <v>1</v>
      </c>
      <c r="Q96" s="709"/>
      <c r="R96" s="730"/>
    </row>
    <row r="97" spans="1:18" ht="13.5" customHeight="1" x14ac:dyDescent="0.2">
      <c r="A97" s="795"/>
      <c r="B97" s="797"/>
      <c r="C97" s="799"/>
      <c r="D97" s="359"/>
      <c r="E97" s="1655"/>
      <c r="F97" s="1809"/>
      <c r="G97" s="796"/>
      <c r="H97" s="1920"/>
      <c r="I97" s="64" t="s">
        <v>100</v>
      </c>
      <c r="J97" s="62"/>
      <c r="K97" s="62">
        <v>243.1</v>
      </c>
      <c r="L97" s="99"/>
      <c r="M97" s="62">
        <v>1200</v>
      </c>
      <c r="N97" s="1761" t="s">
        <v>257</v>
      </c>
      <c r="O97" s="442"/>
      <c r="P97" s="445"/>
      <c r="Q97" s="1138">
        <v>60</v>
      </c>
      <c r="R97" s="1123">
        <v>90</v>
      </c>
    </row>
    <row r="98" spans="1:18" ht="12.75" customHeight="1" x14ac:dyDescent="0.2">
      <c r="A98" s="795"/>
      <c r="B98" s="797"/>
      <c r="C98" s="799"/>
      <c r="D98" s="359"/>
      <c r="E98" s="1655"/>
      <c r="F98" s="1809"/>
      <c r="G98" s="796"/>
      <c r="H98" s="1920"/>
      <c r="I98" s="64" t="s">
        <v>268</v>
      </c>
      <c r="J98" s="60"/>
      <c r="K98" s="62"/>
      <c r="L98" s="99">
        <v>5000</v>
      </c>
      <c r="M98" s="62">
        <v>8609.1</v>
      </c>
      <c r="N98" s="1810"/>
      <c r="O98" s="442"/>
      <c r="P98" s="445"/>
      <c r="Q98" s="1138"/>
      <c r="R98" s="1123"/>
    </row>
    <row r="99" spans="1:18" ht="12.75" customHeight="1" x14ac:dyDescent="0.2">
      <c r="A99" s="1142"/>
      <c r="B99" s="1144"/>
      <c r="C99" s="1146"/>
      <c r="D99" s="359"/>
      <c r="E99" s="1655"/>
      <c r="F99" s="518"/>
      <c r="G99" s="1143"/>
      <c r="H99" s="1920"/>
      <c r="I99" s="64" t="s">
        <v>331</v>
      </c>
      <c r="J99" s="60"/>
      <c r="K99" s="62"/>
      <c r="L99" s="99">
        <v>10000</v>
      </c>
      <c r="M99" s="62"/>
      <c r="N99" s="1149"/>
      <c r="O99" s="442"/>
      <c r="P99" s="445"/>
      <c r="Q99" s="1148"/>
      <c r="R99" s="1145"/>
    </row>
    <row r="100" spans="1:18" ht="14.25" customHeight="1" x14ac:dyDescent="0.2">
      <c r="A100" s="795"/>
      <c r="B100" s="797"/>
      <c r="C100" s="799"/>
      <c r="D100" s="359"/>
      <c r="E100" s="1655"/>
      <c r="F100" s="518"/>
      <c r="G100" s="796"/>
      <c r="H100" s="1920"/>
      <c r="I100" s="64" t="s">
        <v>25</v>
      </c>
      <c r="J100" s="60">
        <v>70.5</v>
      </c>
      <c r="K100" s="62"/>
      <c r="L100" s="99"/>
      <c r="M100" s="62"/>
      <c r="N100" s="828"/>
      <c r="O100" s="442"/>
      <c r="P100" s="445"/>
      <c r="Q100" s="800"/>
      <c r="R100" s="798"/>
    </row>
    <row r="101" spans="1:18" ht="13.5" customHeight="1" x14ac:dyDescent="0.2">
      <c r="A101" s="233"/>
      <c r="B101" s="256"/>
      <c r="C101" s="351"/>
      <c r="D101" s="360"/>
      <c r="E101" s="1655"/>
      <c r="F101" s="254"/>
      <c r="G101" s="247"/>
      <c r="H101" s="1920"/>
      <c r="I101" s="57" t="s">
        <v>99</v>
      </c>
      <c r="J101" s="167">
        <v>1.1000000000000001</v>
      </c>
      <c r="K101" s="61"/>
      <c r="L101" s="147"/>
      <c r="M101" s="61"/>
      <c r="N101" s="804"/>
      <c r="O101" s="261"/>
      <c r="P101" s="300"/>
      <c r="Q101" s="47"/>
      <c r="R101" s="21"/>
    </row>
    <row r="102" spans="1:18" ht="15" customHeight="1" x14ac:dyDescent="0.2">
      <c r="A102" s="1104"/>
      <c r="B102" s="1109"/>
      <c r="C102" s="1132"/>
      <c r="D102" s="359"/>
      <c r="E102" s="1945" t="s">
        <v>223</v>
      </c>
      <c r="F102" s="1167" t="s">
        <v>47</v>
      </c>
      <c r="G102" s="454"/>
      <c r="H102" s="117"/>
      <c r="I102" s="842" t="s">
        <v>45</v>
      </c>
      <c r="J102" s="1165">
        <v>30</v>
      </c>
      <c r="K102" s="244"/>
      <c r="L102" s="1053"/>
      <c r="M102" s="244"/>
      <c r="N102" s="1166" t="s">
        <v>126</v>
      </c>
      <c r="O102" s="845">
        <v>1</v>
      </c>
      <c r="P102" s="455"/>
      <c r="Q102" s="1103"/>
      <c r="R102" s="1126"/>
    </row>
    <row r="103" spans="1:18" ht="12.75" customHeight="1" x14ac:dyDescent="0.2">
      <c r="A103" s="1104"/>
      <c r="B103" s="1109"/>
      <c r="C103" s="1132"/>
      <c r="D103" s="359"/>
      <c r="E103" s="1946"/>
      <c r="F103" s="1167"/>
      <c r="G103" s="454"/>
      <c r="H103" s="1124"/>
      <c r="I103" s="64"/>
      <c r="J103" s="60"/>
      <c r="K103" s="62"/>
      <c r="L103" s="99"/>
      <c r="M103" s="62"/>
      <c r="N103" s="1111"/>
      <c r="O103" s="442"/>
      <c r="P103" s="445"/>
      <c r="Q103" s="1138"/>
      <c r="R103" s="1123"/>
    </row>
    <row r="104" spans="1:18" ht="9.75" customHeight="1" x14ac:dyDescent="0.2">
      <c r="A104" s="1104"/>
      <c r="B104" s="1109"/>
      <c r="C104" s="1132"/>
      <c r="D104" s="360"/>
      <c r="E104" s="1947"/>
      <c r="F104" s="1129"/>
      <c r="G104" s="1168"/>
      <c r="H104" s="1124"/>
      <c r="I104" s="1134"/>
      <c r="J104" s="167"/>
      <c r="K104" s="1136"/>
      <c r="L104" s="147"/>
      <c r="M104" s="1136"/>
      <c r="N104" s="456"/>
      <c r="O104" s="444"/>
      <c r="P104" s="516"/>
      <c r="Q104" s="753"/>
      <c r="R104" s="457"/>
    </row>
    <row r="105" spans="1:18" ht="15" customHeight="1" thickBot="1" x14ac:dyDescent="0.25">
      <c r="A105" s="237"/>
      <c r="B105" s="258"/>
      <c r="C105" s="347"/>
      <c r="D105" s="263"/>
      <c r="E105" s="349"/>
      <c r="F105" s="350"/>
      <c r="G105" s="263"/>
      <c r="H105" s="204"/>
      <c r="I105" s="89" t="s">
        <v>6</v>
      </c>
      <c r="J105" s="336">
        <f>SUM(J96:J104)</f>
        <v>320.89999999999998</v>
      </c>
      <c r="K105" s="336">
        <f>SUM(K96:K101)</f>
        <v>243.1</v>
      </c>
      <c r="L105" s="336">
        <f>SUM(L96:L101)</f>
        <v>15000</v>
      </c>
      <c r="M105" s="336">
        <f>SUM(M96:M101)</f>
        <v>9809.1</v>
      </c>
      <c r="N105" s="353"/>
      <c r="O105" s="354"/>
      <c r="P105" s="355"/>
      <c r="Q105" s="355"/>
      <c r="R105" s="356"/>
    </row>
    <row r="106" spans="1:18" ht="27" customHeight="1" x14ac:dyDescent="0.2">
      <c r="A106" s="233" t="s">
        <v>5</v>
      </c>
      <c r="B106" s="256" t="s">
        <v>5</v>
      </c>
      <c r="C106" s="358" t="s">
        <v>36</v>
      </c>
      <c r="D106" s="346"/>
      <c r="E106" s="108" t="s">
        <v>224</v>
      </c>
      <c r="F106" s="125"/>
      <c r="G106" s="252" t="s">
        <v>43</v>
      </c>
      <c r="H106" s="1942" t="s">
        <v>70</v>
      </c>
      <c r="I106" s="740"/>
      <c r="J106" s="56"/>
      <c r="K106" s="375"/>
      <c r="L106" s="123"/>
      <c r="M106" s="56"/>
      <c r="N106" s="70"/>
      <c r="O106" s="24"/>
      <c r="P106" s="28"/>
      <c r="Q106" s="637"/>
      <c r="R106" s="605"/>
    </row>
    <row r="107" spans="1:18" ht="13.5" customHeight="1" x14ac:dyDescent="0.2">
      <c r="A107" s="233"/>
      <c r="B107" s="256"/>
      <c r="C107" s="357"/>
      <c r="D107" s="464" t="s">
        <v>5</v>
      </c>
      <c r="E107" s="407" t="s">
        <v>85</v>
      </c>
      <c r="F107" s="472"/>
      <c r="G107" s="246"/>
      <c r="H107" s="1921"/>
      <c r="I107" s="87"/>
      <c r="J107" s="55"/>
      <c r="K107" s="55"/>
      <c r="L107" s="121"/>
      <c r="M107" s="55"/>
      <c r="N107" s="1811" t="s">
        <v>139</v>
      </c>
      <c r="O107" s="430">
        <v>100</v>
      </c>
      <c r="P107" s="430">
        <v>100</v>
      </c>
      <c r="Q107" s="630">
        <v>100</v>
      </c>
      <c r="R107" s="745">
        <v>100</v>
      </c>
    </row>
    <row r="108" spans="1:18" ht="16.5" customHeight="1" x14ac:dyDescent="0.2">
      <c r="A108" s="462"/>
      <c r="B108" s="463"/>
      <c r="C108" s="357"/>
      <c r="D108" s="470"/>
      <c r="E108" s="142"/>
      <c r="F108" s="473"/>
      <c r="G108" s="466"/>
      <c r="H108" s="467"/>
      <c r="I108" s="86" t="s">
        <v>25</v>
      </c>
      <c r="J108" s="61">
        <v>3</v>
      </c>
      <c r="K108" s="61">
        <v>3</v>
      </c>
      <c r="L108" s="147">
        <v>3</v>
      </c>
      <c r="M108" s="61">
        <v>3</v>
      </c>
      <c r="N108" s="1812"/>
      <c r="O108" s="442"/>
      <c r="P108" s="442"/>
      <c r="Q108" s="445"/>
      <c r="R108" s="575"/>
    </row>
    <row r="109" spans="1:18" s="9" customFormat="1" ht="54.75" customHeight="1" x14ac:dyDescent="0.2">
      <c r="A109" s="233"/>
      <c r="B109" s="256"/>
      <c r="C109" s="351"/>
      <c r="D109" s="343" t="s">
        <v>7</v>
      </c>
      <c r="E109" s="481" t="s">
        <v>77</v>
      </c>
      <c r="F109" s="241"/>
      <c r="G109" s="276"/>
      <c r="H109" s="302"/>
      <c r="I109" s="741" t="s">
        <v>25</v>
      </c>
      <c r="J109" s="330">
        <v>25</v>
      </c>
      <c r="K109" s="330">
        <v>25</v>
      </c>
      <c r="L109" s="329">
        <v>25</v>
      </c>
      <c r="M109" s="330">
        <v>25</v>
      </c>
      <c r="N109" s="1813"/>
      <c r="O109" s="431"/>
      <c r="P109" s="431"/>
      <c r="Q109" s="634"/>
      <c r="R109" s="653"/>
    </row>
    <row r="110" spans="1:18" ht="15" customHeight="1" thickBot="1" x14ac:dyDescent="0.25">
      <c r="A110" s="282"/>
      <c r="B110" s="258"/>
      <c r="C110" s="347"/>
      <c r="D110" s="263"/>
      <c r="E110" s="349"/>
      <c r="F110" s="350"/>
      <c r="G110" s="263"/>
      <c r="H110" s="204"/>
      <c r="I110" s="172" t="s">
        <v>6</v>
      </c>
      <c r="J110" s="133">
        <f>SUM(J107:J109)</f>
        <v>28</v>
      </c>
      <c r="K110" s="133">
        <f t="shared" ref="K110:M110" si="1">SUM(K107:K109)</f>
        <v>28</v>
      </c>
      <c r="L110" s="133">
        <f>SUM(L107:L109)</f>
        <v>28</v>
      </c>
      <c r="M110" s="133">
        <f t="shared" si="1"/>
        <v>28</v>
      </c>
      <c r="N110" s="353"/>
      <c r="O110" s="354"/>
      <c r="P110" s="355"/>
      <c r="Q110" s="355"/>
      <c r="R110" s="356"/>
    </row>
    <row r="111" spans="1:18" ht="14.25" customHeight="1" thickBot="1" x14ac:dyDescent="0.25">
      <c r="A111" s="78" t="s">
        <v>5</v>
      </c>
      <c r="B111" s="260" t="s">
        <v>5</v>
      </c>
      <c r="C111" s="1773" t="s">
        <v>8</v>
      </c>
      <c r="D111" s="1732"/>
      <c r="E111" s="1732"/>
      <c r="F111" s="1732"/>
      <c r="G111" s="1732"/>
      <c r="H111" s="1732"/>
      <c r="I111" s="1733"/>
      <c r="J111" s="331">
        <f>J110+J105+J94+J79+J68+J52+J38</f>
        <v>12623.6</v>
      </c>
      <c r="K111" s="136">
        <f>K110+K105+K94+K79+K68+K52+K38</f>
        <v>10120</v>
      </c>
      <c r="L111" s="136">
        <f t="shared" ref="L111:M111" si="2">L110+L105+L94+L79+L68+L52+L38</f>
        <v>20747.5</v>
      </c>
      <c r="M111" s="136">
        <f t="shared" si="2"/>
        <v>15679.6</v>
      </c>
      <c r="N111" s="992"/>
      <c r="O111" s="149"/>
      <c r="P111" s="149"/>
      <c r="Q111" s="719"/>
      <c r="R111" s="702"/>
    </row>
    <row r="112" spans="1:18" ht="14.25" customHeight="1" thickBot="1" x14ac:dyDescent="0.25">
      <c r="A112" s="78" t="s">
        <v>5</v>
      </c>
      <c r="B112" s="260" t="s">
        <v>7</v>
      </c>
      <c r="C112" s="1799" t="s">
        <v>32</v>
      </c>
      <c r="D112" s="1799"/>
      <c r="E112" s="1799"/>
      <c r="F112" s="1799"/>
      <c r="G112" s="1799"/>
      <c r="H112" s="1799"/>
      <c r="I112" s="1799"/>
      <c r="J112" s="1800"/>
      <c r="K112" s="1800"/>
      <c r="L112" s="1800"/>
      <c r="M112" s="1800"/>
      <c r="N112" s="1799"/>
      <c r="O112" s="1736"/>
      <c r="P112" s="1736"/>
      <c r="Q112" s="1736"/>
      <c r="R112" s="1801"/>
    </row>
    <row r="113" spans="1:19" ht="30" customHeight="1" x14ac:dyDescent="0.2">
      <c r="A113" s="556" t="s">
        <v>5</v>
      </c>
      <c r="B113" s="259" t="s">
        <v>7</v>
      </c>
      <c r="C113" s="352" t="s">
        <v>5</v>
      </c>
      <c r="D113" s="180"/>
      <c r="E113" s="113" t="s">
        <v>56</v>
      </c>
      <c r="F113" s="109" t="s">
        <v>114</v>
      </c>
      <c r="G113" s="418"/>
      <c r="H113" s="419"/>
      <c r="I113" s="91"/>
      <c r="J113" s="144"/>
      <c r="K113" s="144"/>
      <c r="L113" s="144"/>
      <c r="M113" s="144"/>
      <c r="N113" s="81"/>
      <c r="O113" s="169"/>
      <c r="P113" s="169"/>
      <c r="Q113" s="735"/>
      <c r="R113" s="755"/>
    </row>
    <row r="114" spans="1:19" ht="14.25" customHeight="1" x14ac:dyDescent="0.2">
      <c r="A114" s="546"/>
      <c r="B114" s="566"/>
      <c r="C114" s="547"/>
      <c r="D114" s="544" t="s">
        <v>5</v>
      </c>
      <c r="E114" s="545" t="s">
        <v>52</v>
      </c>
      <c r="F114" s="568"/>
      <c r="G114" s="549">
        <v>6</v>
      </c>
      <c r="H114" s="1920" t="s">
        <v>73</v>
      </c>
      <c r="I114" s="82"/>
      <c r="J114" s="168"/>
      <c r="K114" s="168"/>
      <c r="L114" s="168"/>
      <c r="M114" s="168"/>
      <c r="N114" s="303"/>
      <c r="O114" s="161"/>
      <c r="P114" s="161"/>
      <c r="Q114" s="398"/>
      <c r="R114" s="306"/>
    </row>
    <row r="115" spans="1:19" ht="15.75" customHeight="1" x14ac:dyDescent="0.2">
      <c r="A115" s="546"/>
      <c r="B115" s="566"/>
      <c r="C115" s="547"/>
      <c r="D115" s="544"/>
      <c r="E115" s="1802" t="s">
        <v>78</v>
      </c>
      <c r="F115" s="568"/>
      <c r="G115" s="544"/>
      <c r="H115" s="1937"/>
      <c r="I115" s="83" t="s">
        <v>25</v>
      </c>
      <c r="J115" s="62">
        <f>3746.2-1556.5-388.2</f>
        <v>1801.5</v>
      </c>
      <c r="K115" s="127">
        <v>4928</v>
      </c>
      <c r="L115" s="127">
        <f>4978-50</f>
        <v>4928</v>
      </c>
      <c r="M115" s="127">
        <f>5055.7-127.7</f>
        <v>4928</v>
      </c>
      <c r="N115" s="1360" t="s">
        <v>41</v>
      </c>
      <c r="O115" s="215">
        <v>5.9</v>
      </c>
      <c r="P115" s="215">
        <v>6</v>
      </c>
      <c r="Q115" s="215">
        <v>6</v>
      </c>
      <c r="R115" s="40">
        <v>6</v>
      </c>
    </row>
    <row r="116" spans="1:19" ht="15.75" customHeight="1" x14ac:dyDescent="0.2">
      <c r="A116" s="546"/>
      <c r="B116" s="566"/>
      <c r="C116" s="547"/>
      <c r="D116" s="544"/>
      <c r="E116" s="1802"/>
      <c r="F116" s="568"/>
      <c r="G116" s="544"/>
      <c r="H116" s="1937"/>
      <c r="I116" s="83" t="s">
        <v>60</v>
      </c>
      <c r="J116" s="62">
        <f>1150+1556.5-56-26</f>
        <v>2624.5</v>
      </c>
      <c r="K116" s="127"/>
      <c r="L116" s="127"/>
      <c r="M116" s="127"/>
      <c r="N116" s="1360"/>
      <c r="O116" s="215"/>
      <c r="P116" s="1361"/>
      <c r="Q116" s="300"/>
      <c r="R116" s="1359"/>
    </row>
    <row r="117" spans="1:19" ht="14.25" customHeight="1" x14ac:dyDescent="0.2">
      <c r="A117" s="546"/>
      <c r="B117" s="566"/>
      <c r="C117" s="547"/>
      <c r="D117" s="544"/>
      <c r="E117" s="1802"/>
      <c r="F117" s="565"/>
      <c r="G117" s="544"/>
      <c r="H117" s="1937"/>
      <c r="I117" s="140" t="s">
        <v>75</v>
      </c>
      <c r="J117" s="140"/>
      <c r="K117" s="131"/>
      <c r="L117" s="131"/>
      <c r="M117" s="131"/>
      <c r="N117" s="1363"/>
      <c r="O117" s="203"/>
      <c r="P117" s="682"/>
      <c r="Q117" s="310"/>
      <c r="R117" s="731"/>
    </row>
    <row r="118" spans="1:19" ht="19.5" customHeight="1" x14ac:dyDescent="0.2">
      <c r="A118" s="546"/>
      <c r="B118" s="566"/>
      <c r="C118" s="547"/>
      <c r="D118" s="544"/>
      <c r="E118" s="212" t="s">
        <v>79</v>
      </c>
      <c r="F118" s="565"/>
      <c r="G118" s="544"/>
      <c r="H118" s="570"/>
      <c r="I118" s="83" t="s">
        <v>25</v>
      </c>
      <c r="J118" s="83">
        <v>8.6</v>
      </c>
      <c r="K118" s="127">
        <v>10.5</v>
      </c>
      <c r="L118" s="127">
        <v>10.6</v>
      </c>
      <c r="M118" s="127">
        <v>10.8</v>
      </c>
      <c r="N118" s="85" t="s">
        <v>145</v>
      </c>
      <c r="O118" s="182">
        <v>3.7</v>
      </c>
      <c r="P118" s="34">
        <v>4</v>
      </c>
      <c r="Q118" s="635">
        <v>4</v>
      </c>
      <c r="R118" s="35">
        <v>4</v>
      </c>
    </row>
    <row r="119" spans="1:19" ht="26.25" customHeight="1" x14ac:dyDescent="0.2">
      <c r="A119" s="546"/>
      <c r="B119" s="566"/>
      <c r="C119" s="547"/>
      <c r="D119" s="544"/>
      <c r="E119" s="286" t="s">
        <v>80</v>
      </c>
      <c r="F119" s="565"/>
      <c r="G119" s="544"/>
      <c r="H119" s="570"/>
      <c r="I119" s="84" t="s">
        <v>25</v>
      </c>
      <c r="J119" s="132">
        <v>63.7</v>
      </c>
      <c r="K119" s="129">
        <v>56.3</v>
      </c>
      <c r="L119" s="129">
        <v>56.9</v>
      </c>
      <c r="M119" s="129">
        <v>58.1</v>
      </c>
      <c r="N119" s="1363" t="s">
        <v>146</v>
      </c>
      <c r="O119" s="342">
        <v>26.7</v>
      </c>
      <c r="P119" s="182">
        <v>24.8</v>
      </c>
      <c r="Q119" s="422">
        <v>24.8</v>
      </c>
      <c r="R119" s="756">
        <v>24.8</v>
      </c>
    </row>
    <row r="120" spans="1:19" ht="15.75" customHeight="1" x14ac:dyDescent="0.2">
      <c r="A120" s="546"/>
      <c r="B120" s="566"/>
      <c r="C120" s="547"/>
      <c r="D120" s="549"/>
      <c r="E120" s="1803" t="s">
        <v>134</v>
      </c>
      <c r="F120" s="565"/>
      <c r="G120" s="544"/>
      <c r="H120" s="574"/>
      <c r="I120" s="83" t="s">
        <v>68</v>
      </c>
      <c r="J120" s="83">
        <v>8</v>
      </c>
      <c r="K120" s="127">
        <v>10</v>
      </c>
      <c r="L120" s="127">
        <v>107</v>
      </c>
      <c r="M120" s="127">
        <v>107</v>
      </c>
      <c r="N120" s="1805" t="s">
        <v>337</v>
      </c>
      <c r="O120" s="367" t="s">
        <v>43</v>
      </c>
      <c r="P120" s="508">
        <v>4</v>
      </c>
      <c r="Q120" s="508">
        <v>3</v>
      </c>
      <c r="R120" s="195">
        <v>3</v>
      </c>
    </row>
    <row r="121" spans="1:19" ht="17.25" customHeight="1" x14ac:dyDescent="0.2">
      <c r="A121" s="546"/>
      <c r="B121" s="566"/>
      <c r="C121" s="547"/>
      <c r="D121" s="549"/>
      <c r="E121" s="1698"/>
      <c r="F121" s="568"/>
      <c r="G121" s="544"/>
      <c r="H121" s="574"/>
      <c r="I121" s="83" t="s">
        <v>75</v>
      </c>
      <c r="J121" s="83">
        <v>16.2</v>
      </c>
      <c r="K121" s="83">
        <v>97</v>
      </c>
      <c r="L121" s="83"/>
      <c r="M121" s="83"/>
      <c r="N121" s="1830"/>
      <c r="O121" s="37"/>
      <c r="P121" s="1362"/>
      <c r="Q121" s="1362"/>
      <c r="R121" s="1359"/>
    </row>
    <row r="122" spans="1:19" ht="16.5" customHeight="1" x14ac:dyDescent="0.2">
      <c r="A122" s="546"/>
      <c r="B122" s="566"/>
      <c r="C122" s="547"/>
      <c r="D122" s="550"/>
      <c r="E122" s="1782"/>
      <c r="F122" s="568"/>
      <c r="G122" s="544"/>
      <c r="H122" s="574"/>
      <c r="I122" s="83" t="s">
        <v>60</v>
      </c>
      <c r="J122" s="83">
        <f>56+26</f>
        <v>82</v>
      </c>
      <c r="K122" s="83"/>
      <c r="L122" s="83"/>
      <c r="M122" s="83"/>
      <c r="N122" s="1806"/>
      <c r="O122" s="304"/>
      <c r="P122" s="47"/>
      <c r="Q122" s="1383"/>
      <c r="R122" s="1382"/>
    </row>
    <row r="123" spans="1:19" ht="14.25" customHeight="1" x14ac:dyDescent="0.2">
      <c r="A123" s="546"/>
      <c r="B123" s="566"/>
      <c r="C123" s="547"/>
      <c r="D123" s="549" t="s">
        <v>7</v>
      </c>
      <c r="E123" s="270" t="s">
        <v>163</v>
      </c>
      <c r="F123" s="568"/>
      <c r="G123" s="544"/>
      <c r="H123" s="574"/>
      <c r="I123" s="145"/>
      <c r="J123" s="168"/>
      <c r="K123" s="139"/>
      <c r="L123" s="139"/>
      <c r="M123" s="139"/>
      <c r="N123" s="1360"/>
      <c r="O123" s="37"/>
      <c r="P123" s="188"/>
      <c r="Q123" s="162"/>
      <c r="R123" s="306"/>
    </row>
    <row r="124" spans="1:19" ht="52.5" customHeight="1" x14ac:dyDescent="0.2">
      <c r="A124" s="546"/>
      <c r="B124" s="566"/>
      <c r="C124" s="547"/>
      <c r="D124" s="549"/>
      <c r="E124" s="271" t="s">
        <v>164</v>
      </c>
      <c r="F124" s="568"/>
      <c r="G124" s="544"/>
      <c r="H124" s="574"/>
      <c r="I124" s="140" t="s">
        <v>25</v>
      </c>
      <c r="J124" s="67">
        <v>388.2</v>
      </c>
      <c r="K124" s="171"/>
      <c r="L124" s="131"/>
      <c r="M124" s="131"/>
      <c r="N124" s="44" t="s">
        <v>159</v>
      </c>
      <c r="O124" s="308">
        <v>21</v>
      </c>
      <c r="P124" s="308">
        <v>21</v>
      </c>
      <c r="Q124" s="337">
        <v>21</v>
      </c>
      <c r="R124" s="731">
        <v>21</v>
      </c>
      <c r="S124" s="683"/>
    </row>
    <row r="125" spans="1:19" ht="22.5" customHeight="1" x14ac:dyDescent="0.2">
      <c r="A125" s="546"/>
      <c r="B125" s="566"/>
      <c r="C125" s="547"/>
      <c r="D125" s="549"/>
      <c r="E125" s="1793" t="s">
        <v>165</v>
      </c>
      <c r="F125" s="568"/>
      <c r="G125" s="544"/>
      <c r="H125" s="574"/>
      <c r="I125" s="83" t="s">
        <v>25</v>
      </c>
      <c r="J125" s="62">
        <v>49.6</v>
      </c>
      <c r="K125" s="118"/>
      <c r="L125" s="127"/>
      <c r="M125" s="127">
        <v>99</v>
      </c>
      <c r="N125" s="1795" t="s">
        <v>225</v>
      </c>
      <c r="O125" s="307">
        <v>12</v>
      </c>
      <c r="P125" s="307"/>
      <c r="Q125" s="1383"/>
      <c r="R125" s="1384">
        <v>17</v>
      </c>
    </row>
    <row r="126" spans="1:19" ht="21" customHeight="1" x14ac:dyDescent="0.2">
      <c r="A126" s="546"/>
      <c r="B126" s="566"/>
      <c r="C126" s="547"/>
      <c r="D126" s="550"/>
      <c r="E126" s="1794"/>
      <c r="F126" s="568"/>
      <c r="G126" s="544"/>
      <c r="H126" s="574"/>
      <c r="I126" s="86"/>
      <c r="J126" s="1182"/>
      <c r="K126" s="119"/>
      <c r="L126" s="128"/>
      <c r="M126" s="128"/>
      <c r="N126" s="1796"/>
      <c r="O126" s="304"/>
      <c r="P126" s="305"/>
      <c r="Q126" s="47"/>
      <c r="R126" s="21"/>
    </row>
    <row r="127" spans="1:19" ht="18" customHeight="1" x14ac:dyDescent="0.2">
      <c r="A127" s="1632"/>
      <c r="B127" s="1633"/>
      <c r="C127" s="1944"/>
      <c r="D127" s="1666" t="s">
        <v>28</v>
      </c>
      <c r="E127" s="1729" t="s">
        <v>42</v>
      </c>
      <c r="F127" s="1781"/>
      <c r="G127" s="1634"/>
      <c r="H127" s="551"/>
      <c r="I127" s="83" t="s">
        <v>25</v>
      </c>
      <c r="J127" s="62">
        <v>59.5</v>
      </c>
      <c r="K127" s="60">
        <v>59.5</v>
      </c>
      <c r="L127" s="127">
        <v>59.5</v>
      </c>
      <c r="M127" s="127">
        <v>59.5</v>
      </c>
      <c r="N127" s="1797" t="s">
        <v>54</v>
      </c>
      <c r="O127" s="1785">
        <v>7</v>
      </c>
      <c r="P127" s="1785">
        <v>7</v>
      </c>
      <c r="Q127" s="1787">
        <v>7</v>
      </c>
      <c r="R127" s="1789">
        <v>7</v>
      </c>
    </row>
    <row r="128" spans="1:19" ht="18" customHeight="1" x14ac:dyDescent="0.2">
      <c r="A128" s="1632"/>
      <c r="B128" s="1633"/>
      <c r="C128" s="1944"/>
      <c r="D128" s="1666"/>
      <c r="E128" s="1783"/>
      <c r="F128" s="1781"/>
      <c r="G128" s="1634"/>
      <c r="H128" s="551"/>
      <c r="I128" s="86" t="s">
        <v>60</v>
      </c>
      <c r="J128" s="1182"/>
      <c r="K128" s="119"/>
      <c r="L128" s="128"/>
      <c r="M128" s="128"/>
      <c r="N128" s="1798"/>
      <c r="O128" s="1786"/>
      <c r="P128" s="1786"/>
      <c r="Q128" s="1788"/>
      <c r="R128" s="1790"/>
    </row>
    <row r="129" spans="1:18" ht="18" customHeight="1" x14ac:dyDescent="0.2">
      <c r="A129" s="1632"/>
      <c r="B129" s="1791"/>
      <c r="C129" s="1944"/>
      <c r="D129" s="1927" t="s">
        <v>33</v>
      </c>
      <c r="E129" s="1759" t="s">
        <v>328</v>
      </c>
      <c r="F129" s="1792"/>
      <c r="G129" s="1728"/>
      <c r="H129" s="1920"/>
      <c r="I129" s="87"/>
      <c r="J129" s="1181"/>
      <c r="K129" s="120"/>
      <c r="L129" s="126"/>
      <c r="M129" s="1181"/>
      <c r="N129" s="226" t="s">
        <v>191</v>
      </c>
      <c r="O129" s="27"/>
      <c r="P129" s="311"/>
      <c r="Q129" s="664"/>
      <c r="R129" s="312"/>
    </row>
    <row r="130" spans="1:18" ht="18.75" customHeight="1" x14ac:dyDescent="0.2">
      <c r="A130" s="1632"/>
      <c r="B130" s="1791"/>
      <c r="C130" s="1944"/>
      <c r="D130" s="1666"/>
      <c r="E130" s="1669"/>
      <c r="F130" s="1792"/>
      <c r="G130" s="1728"/>
      <c r="H130" s="1920"/>
      <c r="I130" s="83" t="s">
        <v>25</v>
      </c>
      <c r="J130" s="62">
        <v>45.6</v>
      </c>
      <c r="K130" s="118">
        <v>40</v>
      </c>
      <c r="L130" s="127">
        <v>40</v>
      </c>
      <c r="M130" s="62">
        <v>40</v>
      </c>
      <c r="N130" s="85" t="s">
        <v>221</v>
      </c>
      <c r="O130" s="32">
        <v>1</v>
      </c>
      <c r="P130" s="415">
        <v>1</v>
      </c>
      <c r="Q130" s="429">
        <v>1</v>
      </c>
      <c r="R130" s="33">
        <v>1</v>
      </c>
    </row>
    <row r="131" spans="1:18" ht="25.5" customHeight="1" x14ac:dyDescent="0.2">
      <c r="A131" s="1632"/>
      <c r="B131" s="1791"/>
      <c r="C131" s="1944"/>
      <c r="D131" s="1666"/>
      <c r="E131" s="1669"/>
      <c r="F131" s="1792"/>
      <c r="G131" s="1728"/>
      <c r="H131" s="1920"/>
      <c r="I131" s="83"/>
      <c r="J131" s="62"/>
      <c r="K131" s="118"/>
      <c r="L131" s="83"/>
      <c r="M131" s="62"/>
      <c r="N131" s="1428" t="s">
        <v>158</v>
      </c>
      <c r="O131" s="1195">
        <v>1</v>
      </c>
      <c r="P131" s="1196">
        <v>1</v>
      </c>
      <c r="Q131" s="1197">
        <v>1</v>
      </c>
      <c r="R131" s="1198">
        <v>1</v>
      </c>
    </row>
    <row r="132" spans="1:18" ht="15" customHeight="1" x14ac:dyDescent="0.2">
      <c r="A132" s="1187"/>
      <c r="B132" s="1191"/>
      <c r="C132" s="1194"/>
      <c r="D132" s="1188"/>
      <c r="E132" s="1189"/>
      <c r="F132" s="1192"/>
      <c r="G132" s="1190"/>
      <c r="H132" s="1193"/>
      <c r="I132" s="132" t="s">
        <v>25</v>
      </c>
      <c r="J132" s="59"/>
      <c r="K132" s="59">
        <v>4</v>
      </c>
      <c r="L132" s="181">
        <v>4</v>
      </c>
      <c r="M132" s="59"/>
      <c r="N132" s="85" t="s">
        <v>276</v>
      </c>
      <c r="O132" s="32"/>
      <c r="P132" s="415">
        <v>1</v>
      </c>
      <c r="Q132" s="429">
        <v>1</v>
      </c>
      <c r="R132" s="33"/>
    </row>
    <row r="133" spans="1:18" ht="15" customHeight="1" x14ac:dyDescent="0.2">
      <c r="A133" s="865"/>
      <c r="B133" s="870"/>
      <c r="C133" s="876"/>
      <c r="D133" s="866"/>
      <c r="E133" s="867"/>
      <c r="F133" s="681"/>
      <c r="G133" s="868"/>
      <c r="H133" s="875"/>
      <c r="I133" s="83" t="s">
        <v>25</v>
      </c>
      <c r="J133" s="62"/>
      <c r="K133" s="62"/>
      <c r="L133" s="99">
        <v>55</v>
      </c>
      <c r="M133" s="62">
        <v>55</v>
      </c>
      <c r="N133" s="1431" t="s">
        <v>275</v>
      </c>
      <c r="O133" s="1425"/>
      <c r="P133" s="300">
        <v>1</v>
      </c>
      <c r="Q133" s="1423">
        <v>1</v>
      </c>
      <c r="R133" s="1417">
        <v>1</v>
      </c>
    </row>
    <row r="134" spans="1:18" ht="15" customHeight="1" x14ac:dyDescent="0.2">
      <c r="A134" s="1415"/>
      <c r="B134" s="1420"/>
      <c r="C134" s="1424"/>
      <c r="D134" s="1416"/>
      <c r="E134" s="1414"/>
      <c r="F134" s="681"/>
      <c r="G134" s="1418"/>
      <c r="H134" s="1422"/>
      <c r="I134" s="140" t="s">
        <v>75</v>
      </c>
      <c r="J134" s="67"/>
      <c r="K134" s="67">
        <v>55</v>
      </c>
      <c r="L134" s="122"/>
      <c r="M134" s="67"/>
      <c r="N134" s="1431"/>
      <c r="O134" s="245"/>
      <c r="P134" s="428"/>
      <c r="Q134" s="754"/>
      <c r="R134" s="1412"/>
    </row>
    <row r="135" spans="1:18" ht="27" customHeight="1" x14ac:dyDescent="0.2">
      <c r="A135" s="865"/>
      <c r="B135" s="870"/>
      <c r="C135" s="876"/>
      <c r="D135" s="866"/>
      <c r="E135" s="867"/>
      <c r="F135" s="871"/>
      <c r="G135" s="868"/>
      <c r="H135" s="875"/>
      <c r="I135" s="788"/>
      <c r="J135" s="75"/>
      <c r="K135" s="75"/>
      <c r="L135" s="979"/>
      <c r="M135" s="75"/>
      <c r="N135" s="1428" t="s">
        <v>341</v>
      </c>
      <c r="O135" s="507"/>
      <c r="P135" s="1164"/>
      <c r="Q135" s="508"/>
      <c r="R135" s="195"/>
    </row>
    <row r="136" spans="1:18" ht="15" customHeight="1" x14ac:dyDescent="0.2">
      <c r="A136" s="865"/>
      <c r="B136" s="870"/>
      <c r="C136" s="876"/>
      <c r="D136" s="866"/>
      <c r="E136" s="867"/>
      <c r="F136" s="871"/>
      <c r="G136" s="868"/>
      <c r="H136" s="875"/>
      <c r="I136" s="140"/>
      <c r="J136" s="67"/>
      <c r="K136" s="67"/>
      <c r="L136" s="122"/>
      <c r="M136" s="67"/>
      <c r="N136" s="1433" t="s">
        <v>340</v>
      </c>
      <c r="O136" s="1337"/>
      <c r="P136" s="1338"/>
      <c r="Q136" s="1339"/>
      <c r="R136" s="23"/>
    </row>
    <row r="137" spans="1:18" ht="22.5" customHeight="1" x14ac:dyDescent="0.2">
      <c r="A137" s="1632"/>
      <c r="B137" s="1791"/>
      <c r="C137" s="1944"/>
      <c r="D137" s="1969" t="s">
        <v>34</v>
      </c>
      <c r="E137" s="1729" t="s">
        <v>132</v>
      </c>
      <c r="F137" s="1780" t="s">
        <v>335</v>
      </c>
      <c r="G137" s="1728"/>
      <c r="H137" s="551"/>
      <c r="I137" s="87" t="s">
        <v>68</v>
      </c>
      <c r="J137" s="1181">
        <v>486.4</v>
      </c>
      <c r="K137" s="187">
        <v>188.7</v>
      </c>
      <c r="L137" s="121">
        <v>188.7</v>
      </c>
      <c r="M137" s="1181"/>
      <c r="N137" s="1429" t="s">
        <v>277</v>
      </c>
      <c r="O137" s="910">
        <v>125</v>
      </c>
      <c r="P137" s="911">
        <v>205</v>
      </c>
      <c r="Q137" s="665"/>
      <c r="R137" s="579"/>
    </row>
    <row r="138" spans="1:18" ht="26.25" customHeight="1" x14ac:dyDescent="0.2">
      <c r="A138" s="1632"/>
      <c r="B138" s="1791"/>
      <c r="C138" s="1944"/>
      <c r="D138" s="1630"/>
      <c r="E138" s="1783"/>
      <c r="F138" s="1784"/>
      <c r="G138" s="1728"/>
      <c r="H138" s="551"/>
      <c r="I138" s="86" t="s">
        <v>75</v>
      </c>
      <c r="J138" s="1182">
        <v>199.9</v>
      </c>
      <c r="K138" s="167">
        <v>250</v>
      </c>
      <c r="L138" s="86"/>
      <c r="M138" s="1182"/>
      <c r="N138" s="1432" t="s">
        <v>278</v>
      </c>
      <c r="O138" s="1340">
        <v>65</v>
      </c>
      <c r="P138" s="1340">
        <f>65+18</f>
        <v>83</v>
      </c>
      <c r="Q138" s="1341">
        <v>100</v>
      </c>
      <c r="R138" s="580"/>
    </row>
    <row r="139" spans="1:18" ht="19.5" customHeight="1" x14ac:dyDescent="0.2">
      <c r="A139" s="569"/>
      <c r="B139" s="566"/>
      <c r="C139" s="358"/>
      <c r="D139" s="549" t="s">
        <v>35</v>
      </c>
      <c r="E139" s="1669" t="s">
        <v>208</v>
      </c>
      <c r="F139" s="1245"/>
      <c r="G139" s="1222"/>
      <c r="H139" s="1920"/>
      <c r="I139" s="62" t="s">
        <v>68</v>
      </c>
      <c r="J139" s="62">
        <v>3</v>
      </c>
      <c r="K139" s="118"/>
      <c r="L139" s="83"/>
      <c r="M139" s="62"/>
      <c r="N139" s="1358" t="s">
        <v>209</v>
      </c>
      <c r="O139" s="909">
        <v>1</v>
      </c>
      <c r="P139" s="245">
        <v>1</v>
      </c>
      <c r="Q139" s="428"/>
      <c r="R139" s="1357"/>
    </row>
    <row r="140" spans="1:18" ht="15" customHeight="1" x14ac:dyDescent="0.2">
      <c r="A140" s="569"/>
      <c r="B140" s="566"/>
      <c r="C140" s="358"/>
      <c r="D140" s="492"/>
      <c r="E140" s="1669"/>
      <c r="F140" s="111"/>
      <c r="G140" s="1273"/>
      <c r="H140" s="1989"/>
      <c r="I140" s="1182" t="s">
        <v>75</v>
      </c>
      <c r="J140" s="61"/>
      <c r="K140" s="119">
        <v>3</v>
      </c>
      <c r="L140" s="128"/>
      <c r="M140" s="128"/>
      <c r="N140" s="200"/>
      <c r="O140" s="1361"/>
      <c r="P140" s="316"/>
      <c r="Q140" s="300"/>
      <c r="R140" s="1359"/>
    </row>
    <row r="141" spans="1:18" ht="18" customHeight="1" thickBot="1" x14ac:dyDescent="0.25">
      <c r="A141" s="1002"/>
      <c r="B141" s="1007"/>
      <c r="C141" s="403"/>
      <c r="D141" s="1021"/>
      <c r="E141" s="1019"/>
      <c r="F141" s="1035"/>
      <c r="G141" s="361"/>
      <c r="H141" s="670"/>
      <c r="I141" s="1022" t="s">
        <v>6</v>
      </c>
      <c r="J141" s="1023">
        <f>SUM(J114:J140)</f>
        <v>5836.7</v>
      </c>
      <c r="K141" s="1023">
        <f>SUM(K114:K140)</f>
        <v>5702</v>
      </c>
      <c r="L141" s="1023">
        <f>SUM(L114:L140)</f>
        <v>5449.7</v>
      </c>
      <c r="M141" s="1023">
        <f>SUM(M114:M140)</f>
        <v>5357.4</v>
      </c>
      <c r="N141" s="366"/>
      <c r="O141" s="354"/>
      <c r="P141" s="355"/>
      <c r="Q141" s="355"/>
      <c r="R141" s="356"/>
    </row>
    <row r="142" spans="1:18" ht="27.75" customHeight="1" x14ac:dyDescent="0.2">
      <c r="A142" s="1010" t="s">
        <v>5</v>
      </c>
      <c r="B142" s="1011" t="s">
        <v>7</v>
      </c>
      <c r="C142" s="582" t="s">
        <v>7</v>
      </c>
      <c r="D142" s="1005"/>
      <c r="E142" s="1032" t="s">
        <v>297</v>
      </c>
      <c r="F142" s="1020"/>
      <c r="G142" s="1024"/>
      <c r="H142" s="419"/>
      <c r="I142" s="65"/>
      <c r="J142" s="1025"/>
      <c r="K142" s="91"/>
      <c r="L142" s="1026"/>
      <c r="M142" s="65"/>
      <c r="N142" s="1027"/>
      <c r="O142" s="1028"/>
      <c r="P142" s="1029"/>
      <c r="Q142" s="1030"/>
      <c r="R142" s="1031"/>
    </row>
    <row r="143" spans="1:18" ht="18" customHeight="1" x14ac:dyDescent="0.2">
      <c r="A143" s="1013"/>
      <c r="B143" s="1007"/>
      <c r="C143" s="358"/>
      <c r="D143" s="1014" t="s">
        <v>5</v>
      </c>
      <c r="E143" s="1729" t="s">
        <v>122</v>
      </c>
      <c r="F143" s="1780" t="s">
        <v>252</v>
      </c>
      <c r="G143" s="1003">
        <v>6</v>
      </c>
      <c r="H143" s="1992" t="s">
        <v>307</v>
      </c>
      <c r="I143" s="75" t="s">
        <v>68</v>
      </c>
      <c r="J143" s="75">
        <v>50</v>
      </c>
      <c r="K143" s="75"/>
      <c r="L143" s="75"/>
      <c r="M143" s="75"/>
      <c r="N143" s="1051" t="s">
        <v>279</v>
      </c>
      <c r="O143" s="1050">
        <v>13</v>
      </c>
      <c r="P143" s="1050"/>
      <c r="Q143" s="638"/>
      <c r="R143" s="1052"/>
    </row>
    <row r="144" spans="1:18" ht="17.25" customHeight="1" x14ac:dyDescent="0.2">
      <c r="A144" s="1049"/>
      <c r="B144" s="1048"/>
      <c r="C144" s="358"/>
      <c r="D144" s="1046"/>
      <c r="E144" s="1714"/>
      <c r="F144" s="1781"/>
      <c r="G144" s="1047"/>
      <c r="H144" s="1937"/>
      <c r="I144" s="62" t="s">
        <v>68</v>
      </c>
      <c r="J144" s="83"/>
      <c r="K144" s="83">
        <v>33.4</v>
      </c>
      <c r="L144" s="62">
        <v>50</v>
      </c>
      <c r="M144" s="62"/>
      <c r="N144" s="1110" t="s">
        <v>211</v>
      </c>
      <c r="O144" s="1139">
        <v>5</v>
      </c>
      <c r="P144" s="1139">
        <v>8</v>
      </c>
      <c r="Q144" s="1139">
        <v>5</v>
      </c>
      <c r="R144" s="1123"/>
    </row>
    <row r="145" spans="1:20" ht="14.25" customHeight="1" x14ac:dyDescent="0.2">
      <c r="A145" s="1013"/>
      <c r="B145" s="1007"/>
      <c r="C145" s="358"/>
      <c r="D145" s="1001"/>
      <c r="E145" s="1698"/>
      <c r="F145" s="1747"/>
      <c r="G145" s="1006"/>
      <c r="H145" s="2005"/>
      <c r="I145" s="62" t="s">
        <v>75</v>
      </c>
      <c r="J145" s="83"/>
      <c r="K145" s="127">
        <v>6.8</v>
      </c>
      <c r="L145" s="62"/>
      <c r="M145" s="62"/>
      <c r="N145" s="1137"/>
      <c r="O145" s="682"/>
      <c r="P145" s="682"/>
      <c r="Q145" s="682"/>
      <c r="R145" s="731"/>
    </row>
    <row r="146" spans="1:20" ht="30" customHeight="1" x14ac:dyDescent="0.2">
      <c r="A146" s="1049"/>
      <c r="B146" s="1048"/>
      <c r="C146" s="358"/>
      <c r="D146" s="1046"/>
      <c r="E146" s="912"/>
      <c r="F146" s="111"/>
      <c r="G146" s="1130"/>
      <c r="H146" s="1054" t="s">
        <v>210</v>
      </c>
      <c r="I146" s="762" t="s">
        <v>68</v>
      </c>
      <c r="J146" s="761"/>
      <c r="K146" s="1162">
        <v>48</v>
      </c>
      <c r="L146" s="761">
        <v>30</v>
      </c>
      <c r="M146" s="761"/>
      <c r="N146" s="200" t="s">
        <v>123</v>
      </c>
      <c r="O146" s="20"/>
      <c r="P146" s="20">
        <v>8</v>
      </c>
      <c r="Q146" s="301">
        <v>5</v>
      </c>
      <c r="R146" s="21"/>
      <c r="T146" s="50"/>
    </row>
    <row r="147" spans="1:20" ht="16.5" customHeight="1" x14ac:dyDescent="0.2">
      <c r="A147" s="317"/>
      <c r="B147" s="1012"/>
      <c r="C147" s="1018"/>
      <c r="D147" s="1014" t="s">
        <v>7</v>
      </c>
      <c r="E147" s="1729" t="s">
        <v>298</v>
      </c>
      <c r="F147" s="780" t="s">
        <v>47</v>
      </c>
      <c r="G147" s="1006" t="s">
        <v>43</v>
      </c>
      <c r="H147" s="1920" t="s">
        <v>128</v>
      </c>
      <c r="I147" s="224" t="s">
        <v>68</v>
      </c>
      <c r="J147" s="99">
        <v>150</v>
      </c>
      <c r="K147" s="62">
        <f>595.9-190</f>
        <v>405.9</v>
      </c>
      <c r="L147" s="99"/>
      <c r="M147" s="62"/>
      <c r="N147" s="1137" t="s">
        <v>270</v>
      </c>
      <c r="O147" s="837" t="s">
        <v>192</v>
      </c>
      <c r="P147" s="838" t="s">
        <v>269</v>
      </c>
      <c r="Q147" s="649"/>
      <c r="R147" s="524"/>
    </row>
    <row r="148" spans="1:20" ht="15" customHeight="1" x14ac:dyDescent="0.2">
      <c r="A148" s="317"/>
      <c r="B148" s="1012"/>
      <c r="C148" s="1018"/>
      <c r="D148" s="1001"/>
      <c r="E148" s="1698"/>
      <c r="F148" s="1008"/>
      <c r="G148" s="1006"/>
      <c r="H148" s="1937"/>
      <c r="I148" s="224" t="s">
        <v>68</v>
      </c>
      <c r="J148" s="227"/>
      <c r="K148" s="62">
        <v>26.5</v>
      </c>
      <c r="L148" s="99"/>
      <c r="M148" s="62">
        <v>354.4</v>
      </c>
      <c r="N148" s="1116" t="s">
        <v>227</v>
      </c>
      <c r="O148" s="37"/>
      <c r="P148" s="502" t="s">
        <v>55</v>
      </c>
      <c r="Q148" s="188"/>
      <c r="R148" s="332"/>
    </row>
    <row r="149" spans="1:20" ht="15.75" customHeight="1" x14ac:dyDescent="0.2">
      <c r="A149" s="317"/>
      <c r="B149" s="1012"/>
      <c r="C149" s="1018"/>
      <c r="D149" s="1001"/>
      <c r="E149" s="1698"/>
      <c r="F149" s="1008"/>
      <c r="G149" s="1006"/>
      <c r="H149" s="1937"/>
      <c r="I149" s="224" t="s">
        <v>25</v>
      </c>
      <c r="J149" s="227">
        <v>40</v>
      </c>
      <c r="K149" s="62"/>
      <c r="L149" s="99"/>
      <c r="M149" s="62"/>
      <c r="N149" s="659" t="s">
        <v>271</v>
      </c>
      <c r="O149" s="37"/>
      <c r="P149" s="502"/>
      <c r="Q149" s="188"/>
      <c r="R149" s="332" t="s">
        <v>200</v>
      </c>
    </row>
    <row r="150" spans="1:20" ht="18" customHeight="1" x14ac:dyDescent="0.2">
      <c r="A150" s="317"/>
      <c r="B150" s="1012"/>
      <c r="C150" s="1018"/>
      <c r="D150" s="1001"/>
      <c r="E150" s="1036"/>
      <c r="F150" s="1008"/>
      <c r="G150" s="1006"/>
      <c r="H150" s="1937"/>
      <c r="I150" s="847" t="s">
        <v>60</v>
      </c>
      <c r="J150" s="848"/>
      <c r="K150" s="67">
        <v>0.4</v>
      </c>
      <c r="L150" s="122"/>
      <c r="M150" s="67"/>
      <c r="N150" s="849" t="s">
        <v>226</v>
      </c>
      <c r="O150" s="841" t="s">
        <v>55</v>
      </c>
      <c r="P150" s="838"/>
      <c r="Q150" s="649"/>
      <c r="R150" s="524"/>
    </row>
    <row r="151" spans="1:20" ht="35.25" customHeight="1" x14ac:dyDescent="0.2">
      <c r="A151" s="317"/>
      <c r="B151" s="1012"/>
      <c r="C151" s="1018"/>
      <c r="D151" s="1001"/>
      <c r="E151" s="1714" t="s">
        <v>300</v>
      </c>
      <c r="F151" s="1008"/>
      <c r="G151" s="1006"/>
      <c r="H151" s="1015"/>
      <c r="I151" s="224" t="s">
        <v>68</v>
      </c>
      <c r="J151" s="99"/>
      <c r="K151" s="62">
        <v>30</v>
      </c>
      <c r="L151" s="99">
        <v>160</v>
      </c>
      <c r="M151" s="62"/>
      <c r="N151" s="1110" t="s">
        <v>299</v>
      </c>
      <c r="O151" s="37"/>
      <c r="P151" s="502"/>
      <c r="Q151" s="188" t="s">
        <v>55</v>
      </c>
      <c r="R151" s="332"/>
    </row>
    <row r="152" spans="1:20" ht="6.75" customHeight="1" x14ac:dyDescent="0.2">
      <c r="A152" s="317"/>
      <c r="B152" s="1012"/>
      <c r="C152" s="1018"/>
      <c r="D152" s="1001"/>
      <c r="E152" s="1782"/>
      <c r="F152" s="1009"/>
      <c r="G152" s="1017"/>
      <c r="H152" s="1016"/>
      <c r="I152" s="73"/>
      <c r="J152" s="153"/>
      <c r="K152" s="73"/>
      <c r="L152" s="153"/>
      <c r="M152" s="73"/>
      <c r="N152" s="660"/>
      <c r="O152" s="836"/>
      <c r="P152" s="503"/>
      <c r="Q152" s="305"/>
      <c r="R152" s="440"/>
    </row>
    <row r="153" spans="1:20" ht="18" customHeight="1" thickBot="1" x14ac:dyDescent="0.25">
      <c r="A153" s="1004"/>
      <c r="B153" s="258"/>
      <c r="C153" s="347"/>
      <c r="D153" s="263"/>
      <c r="E153" s="364"/>
      <c r="F153" s="365"/>
      <c r="G153" s="175"/>
      <c r="H153" s="336"/>
      <c r="I153" s="133" t="s">
        <v>6</v>
      </c>
      <c r="J153" s="196">
        <f>SUM(J143:J152)</f>
        <v>240</v>
      </c>
      <c r="K153" s="196">
        <f>SUM(K143:K152)</f>
        <v>551</v>
      </c>
      <c r="L153" s="196">
        <f>SUM(L143:L152)</f>
        <v>240</v>
      </c>
      <c r="M153" s="196">
        <f>SUM(M143:M152)</f>
        <v>354.4</v>
      </c>
      <c r="N153" s="366"/>
      <c r="O153" s="982"/>
      <c r="P153" s="1033"/>
      <c r="Q153" s="1033"/>
      <c r="R153" s="1034"/>
    </row>
    <row r="154" spans="1:20" ht="14.25" customHeight="1" x14ac:dyDescent="0.2">
      <c r="A154" s="1774" t="s">
        <v>5</v>
      </c>
      <c r="B154" s="1776" t="s">
        <v>7</v>
      </c>
      <c r="C154" s="1665" t="s">
        <v>28</v>
      </c>
      <c r="D154" s="1993"/>
      <c r="E154" s="1779" t="s">
        <v>121</v>
      </c>
      <c r="F154" s="779" t="s">
        <v>47</v>
      </c>
      <c r="G154" s="1665">
        <v>5</v>
      </c>
      <c r="H154" s="1942" t="s">
        <v>71</v>
      </c>
      <c r="I154" s="62" t="s">
        <v>60</v>
      </c>
      <c r="J154" s="99"/>
      <c r="K154" s="62">
        <v>113</v>
      </c>
      <c r="L154" s="99"/>
      <c r="M154" s="176"/>
      <c r="N154" s="1770" t="s">
        <v>228</v>
      </c>
      <c r="O154" s="262"/>
      <c r="P154" s="262"/>
      <c r="Q154" s="736">
        <v>17</v>
      </c>
      <c r="R154" s="576"/>
    </row>
    <row r="155" spans="1:20" ht="14.25" customHeight="1" x14ac:dyDescent="0.2">
      <c r="A155" s="1651"/>
      <c r="B155" s="1777"/>
      <c r="C155" s="1666"/>
      <c r="D155" s="1634"/>
      <c r="E155" s="1714"/>
      <c r="F155" s="780" t="s">
        <v>253</v>
      </c>
      <c r="G155" s="1666"/>
      <c r="H155" s="1920"/>
      <c r="I155" s="62" t="s">
        <v>25</v>
      </c>
      <c r="J155" s="99">
        <v>113</v>
      </c>
      <c r="K155" s="62"/>
      <c r="L155" s="99">
        <v>639.5</v>
      </c>
      <c r="M155" s="62"/>
      <c r="N155" s="1771"/>
      <c r="O155" s="1076"/>
      <c r="P155" s="1076"/>
      <c r="Q155" s="300"/>
      <c r="R155" s="1070"/>
    </row>
    <row r="156" spans="1:20" ht="15" customHeight="1" x14ac:dyDescent="0.2">
      <c r="A156" s="1651"/>
      <c r="B156" s="1777"/>
      <c r="C156" s="1666"/>
      <c r="D156" s="1634"/>
      <c r="E156" s="1714"/>
      <c r="F156" s="780"/>
      <c r="G156" s="1666"/>
      <c r="H156" s="1920"/>
      <c r="I156" s="62" t="s">
        <v>245</v>
      </c>
      <c r="J156" s="99">
        <v>640</v>
      </c>
      <c r="K156" s="62">
        <v>4264.5</v>
      </c>
      <c r="L156" s="99"/>
      <c r="M156" s="62"/>
      <c r="N156" s="1772"/>
      <c r="O156" s="261"/>
      <c r="P156" s="261"/>
      <c r="Q156" s="300"/>
      <c r="R156" s="710"/>
    </row>
    <row r="157" spans="1:20" ht="16.5" customHeight="1" thickBot="1" x14ac:dyDescent="0.25">
      <c r="A157" s="1775"/>
      <c r="B157" s="1778"/>
      <c r="C157" s="1667"/>
      <c r="D157" s="1994"/>
      <c r="E157" s="223"/>
      <c r="F157" s="781"/>
      <c r="G157" s="1667"/>
      <c r="H157" s="2000"/>
      <c r="I157" s="89" t="s">
        <v>6</v>
      </c>
      <c r="J157" s="263">
        <f>SUM(J154:J156)</f>
        <v>753</v>
      </c>
      <c r="K157" s="89">
        <f>SUM(K154:K156)</f>
        <v>4377.5</v>
      </c>
      <c r="L157" s="263">
        <f>SUM(L154:L156)</f>
        <v>639.5</v>
      </c>
      <c r="M157" s="89">
        <f>SUM(M154:M156)</f>
        <v>0</v>
      </c>
      <c r="N157" s="757"/>
      <c r="O157" s="178"/>
      <c r="P157" s="178"/>
      <c r="Q157" s="636"/>
      <c r="R157" s="534"/>
    </row>
    <row r="158" spans="1:20" ht="14.25" customHeight="1" thickBot="1" x14ac:dyDescent="0.25">
      <c r="A158" s="90" t="s">
        <v>5</v>
      </c>
      <c r="B158" s="260" t="s">
        <v>7</v>
      </c>
      <c r="C158" s="1773" t="s">
        <v>8</v>
      </c>
      <c r="D158" s="1732"/>
      <c r="E158" s="1732"/>
      <c r="F158" s="1732"/>
      <c r="G158" s="1732"/>
      <c r="H158" s="1732"/>
      <c r="I158" s="1733"/>
      <c r="J158" s="331">
        <f>J157+J153+J141</f>
        <v>6829.7</v>
      </c>
      <c r="K158" s="331">
        <f>K157+K153+K141</f>
        <v>10630.5</v>
      </c>
      <c r="L158" s="331">
        <f>L157+L153+L141</f>
        <v>6329.2</v>
      </c>
      <c r="M158" s="136">
        <f>M157+M153+M141</f>
        <v>5711.8</v>
      </c>
      <c r="N158" s="1734"/>
      <c r="O158" s="1734"/>
      <c r="P158" s="1734"/>
      <c r="Q158" s="1734"/>
      <c r="R158" s="1735"/>
    </row>
    <row r="159" spans="1:20" ht="18" customHeight="1" thickBot="1" x14ac:dyDescent="0.25">
      <c r="A159" s="78" t="s">
        <v>5</v>
      </c>
      <c r="B159" s="260" t="s">
        <v>28</v>
      </c>
      <c r="C159" s="1736" t="s">
        <v>112</v>
      </c>
      <c r="D159" s="1737"/>
      <c r="E159" s="1737"/>
      <c r="F159" s="1737"/>
      <c r="G159" s="1737"/>
      <c r="H159" s="1737"/>
      <c r="I159" s="1737"/>
      <c r="J159" s="1737"/>
      <c r="K159" s="1737"/>
      <c r="L159" s="1737"/>
      <c r="M159" s="1737"/>
      <c r="N159" s="1737"/>
      <c r="O159" s="1737"/>
      <c r="P159" s="1737"/>
      <c r="Q159" s="1737"/>
      <c r="R159" s="1738"/>
    </row>
    <row r="160" spans="1:20" ht="27" customHeight="1" x14ac:dyDescent="0.2">
      <c r="A160" s="236" t="s">
        <v>5</v>
      </c>
      <c r="B160" s="259" t="s">
        <v>28</v>
      </c>
      <c r="C160" s="352" t="s">
        <v>5</v>
      </c>
      <c r="D160" s="345"/>
      <c r="E160" s="210" t="s">
        <v>109</v>
      </c>
      <c r="F160" s="110" t="s">
        <v>253</v>
      </c>
      <c r="G160" s="253"/>
      <c r="H160" s="221"/>
      <c r="I160" s="91"/>
      <c r="J160" s="80"/>
      <c r="K160" s="130"/>
      <c r="L160" s="130"/>
      <c r="M160" s="130"/>
      <c r="N160" s="92"/>
      <c r="O160" s="180"/>
      <c r="P160" s="179"/>
      <c r="Q160" s="179"/>
      <c r="R160" s="314"/>
    </row>
    <row r="161" spans="1:18" ht="13.5" customHeight="1" x14ac:dyDescent="0.2">
      <c r="A161" s="233"/>
      <c r="B161" s="256"/>
      <c r="C161" s="351"/>
      <c r="D161" s="288" t="s">
        <v>5</v>
      </c>
      <c r="E161" s="1625" t="s">
        <v>107</v>
      </c>
      <c r="F161" s="1740" t="s">
        <v>76</v>
      </c>
      <c r="G161" s="393" t="s">
        <v>37</v>
      </c>
      <c r="H161" s="1992" t="s">
        <v>74</v>
      </c>
      <c r="I161" s="55" t="s">
        <v>100</v>
      </c>
      <c r="J161" s="87"/>
      <c r="K161" s="126"/>
      <c r="L161" s="55"/>
      <c r="M161" s="55"/>
      <c r="N161" s="279"/>
      <c r="O161" s="215"/>
      <c r="P161" s="39"/>
      <c r="Q161" s="635"/>
      <c r="R161" s="35"/>
    </row>
    <row r="162" spans="1:18" ht="15" customHeight="1" x14ac:dyDescent="0.2">
      <c r="A162" s="233"/>
      <c r="B162" s="256"/>
      <c r="C162" s="351"/>
      <c r="D162" s="343"/>
      <c r="E162" s="1631"/>
      <c r="F162" s="1755"/>
      <c r="G162" s="394"/>
      <c r="H162" s="1920"/>
      <c r="I162" s="62" t="s">
        <v>25</v>
      </c>
      <c r="J162" s="83"/>
      <c r="K162" s="127"/>
      <c r="L162" s="62"/>
      <c r="M162" s="62"/>
      <c r="N162" s="280"/>
      <c r="O162" s="261"/>
      <c r="P162" s="300"/>
      <c r="Q162" s="754"/>
      <c r="R162" s="713"/>
    </row>
    <row r="163" spans="1:18" ht="18.75" customHeight="1" x14ac:dyDescent="0.2">
      <c r="A163" s="233"/>
      <c r="B163" s="256"/>
      <c r="C163" s="351"/>
      <c r="D163" s="343"/>
      <c r="E163" s="1631"/>
      <c r="F163" s="1756"/>
      <c r="G163" s="394"/>
      <c r="H163" s="1920"/>
      <c r="I163" s="62" t="s">
        <v>75</v>
      </c>
      <c r="J163" s="83"/>
      <c r="K163" s="131"/>
      <c r="L163" s="67"/>
      <c r="M163" s="67"/>
      <c r="N163" s="220"/>
      <c r="O163" s="170"/>
      <c r="P163" s="310"/>
      <c r="Q163" s="337"/>
      <c r="R163" s="731"/>
    </row>
    <row r="164" spans="1:18" ht="25.5" customHeight="1" x14ac:dyDescent="0.2">
      <c r="A164" s="273"/>
      <c r="B164" s="289"/>
      <c r="C164" s="351"/>
      <c r="D164" s="343"/>
      <c r="E164" s="1631"/>
      <c r="F164" s="278"/>
      <c r="G164" s="394"/>
      <c r="H164" s="1920"/>
      <c r="I164" s="75" t="s">
        <v>68</v>
      </c>
      <c r="J164" s="417">
        <v>55.1</v>
      </c>
      <c r="K164" s="127">
        <f>190.8</f>
        <v>190.8</v>
      </c>
      <c r="L164" s="62">
        <v>190.8</v>
      </c>
      <c r="M164" s="62">
        <v>190.8</v>
      </c>
      <c r="N164" s="397" t="s">
        <v>113</v>
      </c>
      <c r="O164" s="215">
        <v>13.8</v>
      </c>
      <c r="P164" s="39">
        <v>14.5</v>
      </c>
      <c r="Q164" s="39">
        <v>14.5</v>
      </c>
      <c r="R164" s="40">
        <v>14.5</v>
      </c>
    </row>
    <row r="165" spans="1:18" ht="15" customHeight="1" x14ac:dyDescent="0.2">
      <c r="A165" s="273"/>
      <c r="B165" s="289"/>
      <c r="C165" s="351"/>
      <c r="D165" s="343"/>
      <c r="E165" s="1631"/>
      <c r="F165" s="278"/>
      <c r="G165" s="394"/>
      <c r="H165" s="1920"/>
      <c r="I165" s="62" t="s">
        <v>100</v>
      </c>
      <c r="J165" s="127">
        <v>100</v>
      </c>
      <c r="K165" s="127">
        <v>120</v>
      </c>
      <c r="L165" s="62">
        <v>120</v>
      </c>
      <c r="M165" s="62">
        <v>120</v>
      </c>
      <c r="N165" s="1097" t="s">
        <v>38</v>
      </c>
      <c r="O165" s="1099">
        <v>67</v>
      </c>
      <c r="P165" s="300">
        <f>66+5</f>
        <v>71</v>
      </c>
      <c r="Q165" s="1100">
        <v>71</v>
      </c>
      <c r="R165" s="1098">
        <v>71</v>
      </c>
    </row>
    <row r="166" spans="1:18" ht="15.75" customHeight="1" x14ac:dyDescent="0.2">
      <c r="A166" s="390"/>
      <c r="B166" s="396"/>
      <c r="C166" s="391"/>
      <c r="D166" s="392"/>
      <c r="E166" s="1631"/>
      <c r="F166" s="395"/>
      <c r="G166" s="394"/>
      <c r="H166" s="1920"/>
      <c r="I166" s="67" t="s">
        <v>75</v>
      </c>
      <c r="J166" s="131">
        <f>149.2-11.7</f>
        <v>137.5</v>
      </c>
      <c r="K166" s="131">
        <v>1.4</v>
      </c>
      <c r="L166" s="67"/>
      <c r="M166" s="67"/>
      <c r="N166" s="1101" t="s">
        <v>81</v>
      </c>
      <c r="O166" s="1102">
        <v>1.8</v>
      </c>
      <c r="P166" s="420"/>
      <c r="Q166" s="620"/>
      <c r="R166" s="421"/>
    </row>
    <row r="167" spans="1:18" ht="15.75" customHeight="1" x14ac:dyDescent="0.2">
      <c r="A167" s="865"/>
      <c r="B167" s="870"/>
      <c r="C167" s="876"/>
      <c r="D167" s="864"/>
      <c r="E167" s="1631"/>
      <c r="F167" s="869"/>
      <c r="G167" s="868"/>
      <c r="H167" s="1920"/>
      <c r="I167" s="59" t="s">
        <v>68</v>
      </c>
      <c r="J167" s="59"/>
      <c r="K167" s="127">
        <v>18.3</v>
      </c>
      <c r="L167" s="62"/>
      <c r="M167" s="62"/>
      <c r="N167" s="917" t="s">
        <v>327</v>
      </c>
      <c r="O167" s="25">
        <v>165</v>
      </c>
      <c r="P167" s="948">
        <v>100</v>
      </c>
      <c r="Q167" s="949"/>
      <c r="R167" s="950"/>
    </row>
    <row r="168" spans="1:18" ht="13.5" customHeight="1" x14ac:dyDescent="0.2">
      <c r="A168" s="880"/>
      <c r="B168" s="883"/>
      <c r="C168" s="891"/>
      <c r="D168" s="881"/>
      <c r="E168" s="1631"/>
      <c r="F168" s="887"/>
      <c r="G168" s="882"/>
      <c r="H168" s="1920"/>
      <c r="I168" s="62" t="s">
        <v>100</v>
      </c>
      <c r="J168" s="83"/>
      <c r="K168" s="417">
        <v>104</v>
      </c>
      <c r="L168" s="75"/>
      <c r="M168" s="75"/>
      <c r="N168" s="1925" t="s">
        <v>325</v>
      </c>
      <c r="O168" s="1212"/>
      <c r="P168" s="300">
        <v>100</v>
      </c>
      <c r="Q168" s="1199"/>
      <c r="R168" s="40"/>
    </row>
    <row r="169" spans="1:18" ht="15" customHeight="1" x14ac:dyDescent="0.2">
      <c r="A169" s="390"/>
      <c r="B169" s="396"/>
      <c r="C169" s="391"/>
      <c r="D169" s="392"/>
      <c r="E169" s="1631"/>
      <c r="F169" s="395"/>
      <c r="G169" s="394"/>
      <c r="H169" s="1920"/>
      <c r="I169" s="62" t="s">
        <v>75</v>
      </c>
      <c r="J169" s="140">
        <v>12.8</v>
      </c>
      <c r="K169" s="131"/>
      <c r="L169" s="67"/>
      <c r="M169" s="67"/>
      <c r="N169" s="1926"/>
      <c r="O169" s="1285"/>
      <c r="P169" s="310"/>
      <c r="Q169" s="915"/>
      <c r="R169" s="916"/>
    </row>
    <row r="170" spans="1:18" ht="27" customHeight="1" x14ac:dyDescent="0.2">
      <c r="A170" s="880"/>
      <c r="B170" s="883"/>
      <c r="C170" s="891"/>
      <c r="D170" s="881"/>
      <c r="E170" s="1631"/>
      <c r="F170" s="887"/>
      <c r="G170" s="882"/>
      <c r="H170" s="1920"/>
      <c r="I170" s="59" t="s">
        <v>68</v>
      </c>
      <c r="J170" s="59"/>
      <c r="K170" s="129">
        <v>45</v>
      </c>
      <c r="L170" s="59"/>
      <c r="M170" s="59"/>
      <c r="N170" s="205" t="s">
        <v>280</v>
      </c>
      <c r="O170" s="25"/>
      <c r="P170" s="25">
        <v>1</v>
      </c>
      <c r="Q170" s="921"/>
      <c r="R170" s="922"/>
    </row>
    <row r="171" spans="1:18" ht="19.5" customHeight="1" x14ac:dyDescent="0.2">
      <c r="A171" s="390"/>
      <c r="B171" s="396"/>
      <c r="C171" s="391"/>
      <c r="D171" s="392"/>
      <c r="E171" s="1631"/>
      <c r="F171" s="395"/>
      <c r="G171" s="394"/>
      <c r="H171" s="1920"/>
      <c r="I171" s="62" t="s">
        <v>75</v>
      </c>
      <c r="J171" s="127">
        <v>54</v>
      </c>
      <c r="K171" s="127">
        <v>36.6</v>
      </c>
      <c r="L171" s="244"/>
      <c r="M171" s="244"/>
      <c r="N171" s="1751" t="s">
        <v>346</v>
      </c>
      <c r="O171" s="920">
        <v>3</v>
      </c>
      <c r="P171" s="300">
        <v>5</v>
      </c>
      <c r="Q171" s="667"/>
      <c r="R171" s="578"/>
    </row>
    <row r="172" spans="1:18" ht="36.75" customHeight="1" x14ac:dyDescent="0.2">
      <c r="A172" s="614"/>
      <c r="B172" s="617"/>
      <c r="C172" s="615"/>
      <c r="D172" s="864"/>
      <c r="E172" s="1631"/>
      <c r="F172" s="618"/>
      <c r="G172" s="616"/>
      <c r="H172" s="1920"/>
      <c r="I172" s="67" t="s">
        <v>60</v>
      </c>
      <c r="J172" s="131">
        <f>150-16.7</f>
        <v>133.30000000000001</v>
      </c>
      <c r="K172" s="131">
        <v>31.9</v>
      </c>
      <c r="L172" s="907"/>
      <c r="M172" s="907"/>
      <c r="N172" s="1999"/>
      <c r="O172" s="919"/>
      <c r="P172" s="310"/>
      <c r="Q172" s="758"/>
      <c r="R172" s="621"/>
    </row>
    <row r="173" spans="1:18" ht="16.5" customHeight="1" x14ac:dyDescent="0.2">
      <c r="A173" s="865"/>
      <c r="B173" s="870"/>
      <c r="C173" s="876"/>
      <c r="D173" s="877"/>
      <c r="E173" s="863"/>
      <c r="F173" s="869"/>
      <c r="G173" s="868"/>
      <c r="H173" s="993"/>
      <c r="I173" s="901" t="s">
        <v>60</v>
      </c>
      <c r="J173" s="131">
        <v>49</v>
      </c>
      <c r="K173" s="908"/>
      <c r="L173" s="907"/>
      <c r="M173" s="907"/>
      <c r="N173" s="913" t="s">
        <v>238</v>
      </c>
      <c r="O173" s="862">
        <v>100</v>
      </c>
      <c r="P173" s="914"/>
      <c r="Q173" s="921"/>
      <c r="R173" s="922"/>
    </row>
    <row r="174" spans="1:18" ht="15" customHeight="1" x14ac:dyDescent="0.2">
      <c r="A174" s="233"/>
      <c r="B174" s="256"/>
      <c r="C174" s="351"/>
      <c r="D174" s="343" t="s">
        <v>7</v>
      </c>
      <c r="E174" s="274" t="s">
        <v>64</v>
      </c>
      <c r="F174" s="315"/>
      <c r="G174" s="409"/>
      <c r="H174" s="994"/>
      <c r="I174" s="62" t="s">
        <v>100</v>
      </c>
      <c r="J174" s="87">
        <v>150</v>
      </c>
      <c r="K174" s="126">
        <v>120</v>
      </c>
      <c r="L174" s="1181">
        <v>120</v>
      </c>
      <c r="M174" s="55">
        <v>120</v>
      </c>
      <c r="N174" s="878" t="s">
        <v>82</v>
      </c>
      <c r="O174" s="879">
        <v>1</v>
      </c>
      <c r="P174" s="879">
        <v>1</v>
      </c>
      <c r="Q174" s="889">
        <v>1</v>
      </c>
      <c r="R174" s="892">
        <v>1</v>
      </c>
    </row>
    <row r="175" spans="1:18" ht="15" customHeight="1" x14ac:dyDescent="0.2">
      <c r="A175" s="880"/>
      <c r="B175" s="883"/>
      <c r="C175" s="891"/>
      <c r="D175" s="881"/>
      <c r="E175" s="884"/>
      <c r="F175" s="923"/>
      <c r="G175" s="881"/>
      <c r="H175" s="994"/>
      <c r="I175" s="62" t="s">
        <v>68</v>
      </c>
      <c r="J175" s="83">
        <v>4.9000000000000004</v>
      </c>
      <c r="K175" s="127">
        <v>15</v>
      </c>
      <c r="L175" s="83">
        <v>15</v>
      </c>
      <c r="M175" s="83">
        <v>15</v>
      </c>
      <c r="N175" s="885"/>
      <c r="O175" s="894"/>
      <c r="P175" s="894"/>
      <c r="Q175" s="300"/>
      <c r="R175" s="890"/>
    </row>
    <row r="176" spans="1:18" ht="16.5" customHeight="1" x14ac:dyDescent="0.2">
      <c r="A176" s="233"/>
      <c r="B176" s="256"/>
      <c r="C176" s="351"/>
      <c r="D176" s="587"/>
      <c r="E176" s="285"/>
      <c r="F176" s="134"/>
      <c r="G176" s="703"/>
      <c r="H176" s="411"/>
      <c r="I176" s="901" t="s">
        <v>75</v>
      </c>
      <c r="J176" s="86">
        <v>12.3</v>
      </c>
      <c r="K176" s="128"/>
      <c r="L176" s="86"/>
      <c r="M176" s="86"/>
      <c r="N176" s="200"/>
      <c r="O176" s="20"/>
      <c r="P176" s="20"/>
      <c r="Q176" s="301"/>
      <c r="R176" s="21"/>
    </row>
    <row r="177" spans="1:18" ht="13.5" customHeight="1" x14ac:dyDescent="0.2">
      <c r="A177" s="606"/>
      <c r="B177" s="608"/>
      <c r="C177" s="607"/>
      <c r="D177" s="717" t="s">
        <v>28</v>
      </c>
      <c r="E177" s="1753" t="s">
        <v>115</v>
      </c>
      <c r="F177" s="760"/>
      <c r="G177" s="454"/>
      <c r="H177" s="1983"/>
      <c r="I177" s="62" t="s">
        <v>68</v>
      </c>
      <c r="J177" s="87"/>
      <c r="K177" s="126">
        <v>8</v>
      </c>
      <c r="L177" s="126">
        <v>8</v>
      </c>
      <c r="M177" s="126">
        <v>8</v>
      </c>
      <c r="N177" s="1757" t="s">
        <v>233</v>
      </c>
      <c r="O177" s="2001">
        <v>14</v>
      </c>
      <c r="P177" s="2001">
        <v>14</v>
      </c>
      <c r="Q177" s="1922">
        <v>14</v>
      </c>
      <c r="R177" s="1987">
        <v>14</v>
      </c>
    </row>
    <row r="178" spans="1:18" ht="10.5" customHeight="1" x14ac:dyDescent="0.2">
      <c r="A178" s="606"/>
      <c r="B178" s="608"/>
      <c r="C178" s="607"/>
      <c r="D178" s="703"/>
      <c r="E178" s="1862"/>
      <c r="F178" s="591"/>
      <c r="G178" s="454"/>
      <c r="H178" s="1983"/>
      <c r="I178" s="62"/>
      <c r="J178" s="62"/>
      <c r="K178" s="127"/>
      <c r="L178" s="62"/>
      <c r="M178" s="62"/>
      <c r="N178" s="1761"/>
      <c r="O178" s="2002"/>
      <c r="P178" s="2002"/>
      <c r="Q178" s="1923"/>
      <c r="R178" s="1988"/>
    </row>
    <row r="179" spans="1:18" ht="15.75" customHeight="1" x14ac:dyDescent="0.2">
      <c r="A179" s="611"/>
      <c r="B179" s="613"/>
      <c r="C179" s="612"/>
      <c r="D179" s="721"/>
      <c r="E179" s="1754"/>
      <c r="F179" s="592"/>
      <c r="G179" s="454"/>
      <c r="H179" s="720"/>
      <c r="I179" s="62" t="s">
        <v>75</v>
      </c>
      <c r="J179" s="83">
        <v>8</v>
      </c>
      <c r="K179" s="83"/>
      <c r="L179" s="83"/>
      <c r="M179" s="83"/>
      <c r="N179" s="885"/>
      <c r="O179" s="155"/>
      <c r="P179" s="261"/>
      <c r="Q179" s="300"/>
      <c r="R179" s="710"/>
    </row>
    <row r="180" spans="1:18" ht="12" customHeight="1" x14ac:dyDescent="0.2">
      <c r="A180" s="233"/>
      <c r="B180" s="256"/>
      <c r="C180" s="351"/>
      <c r="D180" s="344" t="s">
        <v>33</v>
      </c>
      <c r="E180" s="1669" t="s">
        <v>108</v>
      </c>
      <c r="F180" s="774"/>
      <c r="G180" s="251"/>
      <c r="H180" s="1920"/>
      <c r="I180" s="55"/>
      <c r="J180" s="145"/>
      <c r="K180" s="87"/>
      <c r="L180" s="87"/>
      <c r="M180" s="87"/>
      <c r="N180" s="1726"/>
      <c r="O180" s="1995"/>
      <c r="P180" s="1995"/>
      <c r="Q180" s="1995"/>
      <c r="R180" s="2003"/>
    </row>
    <row r="181" spans="1:18" ht="14.25" customHeight="1" x14ac:dyDescent="0.2">
      <c r="A181" s="233"/>
      <c r="B181" s="256"/>
      <c r="C181" s="351"/>
      <c r="D181" s="344"/>
      <c r="E181" s="2010"/>
      <c r="F181" s="888"/>
      <c r="G181" s="251"/>
      <c r="H181" s="1991"/>
      <c r="I181" s="67"/>
      <c r="J181" s="140"/>
      <c r="K181" s="140"/>
      <c r="L181" s="140"/>
      <c r="M181" s="140"/>
      <c r="N181" s="1997"/>
      <c r="O181" s="1998"/>
      <c r="P181" s="1996"/>
      <c r="Q181" s="1996"/>
      <c r="R181" s="2004"/>
    </row>
    <row r="182" spans="1:18" ht="29.25" customHeight="1" x14ac:dyDescent="0.2">
      <c r="A182" s="273"/>
      <c r="B182" s="289"/>
      <c r="C182" s="351"/>
      <c r="D182" s="344"/>
      <c r="E182" s="294"/>
      <c r="F182" s="773"/>
      <c r="G182" s="277"/>
      <c r="H182" s="538" t="s">
        <v>118</v>
      </c>
      <c r="I182" s="59" t="s">
        <v>68</v>
      </c>
      <c r="J182" s="182">
        <f>476+12+30</f>
        <v>518</v>
      </c>
      <c r="K182" s="84">
        <v>544</v>
      </c>
      <c r="L182" s="84">
        <v>564</v>
      </c>
      <c r="M182" s="84">
        <v>574</v>
      </c>
      <c r="N182" s="205" t="s">
        <v>140</v>
      </c>
      <c r="O182" s="588">
        <v>170</v>
      </c>
      <c r="P182" s="588">
        <v>172</v>
      </c>
      <c r="Q182" s="588">
        <v>174</v>
      </c>
      <c r="R182" s="589">
        <v>175</v>
      </c>
    </row>
    <row r="183" spans="1:18" ht="38.25" customHeight="1" x14ac:dyDescent="0.2">
      <c r="A183" s="233"/>
      <c r="B183" s="256"/>
      <c r="C183" s="351"/>
      <c r="D183" s="718"/>
      <c r="E183" s="705"/>
      <c r="F183" s="111"/>
      <c r="G183" s="251"/>
      <c r="H183" s="925" t="s">
        <v>74</v>
      </c>
      <c r="I183" s="761" t="s">
        <v>68</v>
      </c>
      <c r="J183" s="762">
        <v>135.1</v>
      </c>
      <c r="K183" s="762"/>
      <c r="L183" s="762"/>
      <c r="M183" s="762"/>
      <c r="N183" s="924" t="s">
        <v>136</v>
      </c>
      <c r="O183" s="777"/>
      <c r="P183" s="777"/>
      <c r="Q183" s="777"/>
      <c r="R183" s="530"/>
    </row>
    <row r="184" spans="1:18" ht="18.75" customHeight="1" x14ac:dyDescent="0.2">
      <c r="A184" s="240"/>
      <c r="B184" s="257"/>
      <c r="C184" s="358"/>
      <c r="D184" s="1200" t="s">
        <v>34</v>
      </c>
      <c r="E184" s="1669" t="s">
        <v>156</v>
      </c>
      <c r="F184" s="1204" t="s">
        <v>47</v>
      </c>
      <c r="G184" s="1201"/>
      <c r="H184" s="1920"/>
      <c r="I184" s="62" t="s">
        <v>25</v>
      </c>
      <c r="J184" s="83">
        <v>90.1</v>
      </c>
      <c r="K184" s="83">
        <v>76.5</v>
      </c>
      <c r="L184" s="83"/>
      <c r="M184" s="83"/>
      <c r="N184" s="1761" t="s">
        <v>137</v>
      </c>
      <c r="O184" s="458">
        <v>34</v>
      </c>
      <c r="P184" s="458">
        <v>15</v>
      </c>
      <c r="Q184" s="477"/>
      <c r="R184" s="197"/>
    </row>
    <row r="185" spans="1:18" ht="21" customHeight="1" x14ac:dyDescent="0.2">
      <c r="A185" s="240"/>
      <c r="B185" s="257"/>
      <c r="C185" s="357"/>
      <c r="D185" s="1206"/>
      <c r="E185" s="1986"/>
      <c r="F185" s="112"/>
      <c r="G185" s="1208"/>
      <c r="H185" s="1989"/>
      <c r="I185" s="1182" t="s">
        <v>68</v>
      </c>
      <c r="J185" s="86">
        <v>95.9</v>
      </c>
      <c r="K185" s="128"/>
      <c r="L185" s="128"/>
      <c r="M185" s="128"/>
      <c r="N185" s="1990"/>
      <c r="O185" s="459"/>
      <c r="P185" s="459"/>
      <c r="Q185" s="737"/>
      <c r="R185" s="759"/>
    </row>
    <row r="186" spans="1:18" ht="15.75" customHeight="1" thickBot="1" x14ac:dyDescent="0.25">
      <c r="A186" s="68"/>
      <c r="B186" s="239"/>
      <c r="C186" s="175"/>
      <c r="D186" s="175"/>
      <c r="E186" s="364"/>
      <c r="F186" s="365"/>
      <c r="G186" s="175"/>
      <c r="H186" s="336"/>
      <c r="I186" s="133" t="s">
        <v>6</v>
      </c>
      <c r="J186" s="133">
        <f>SUM(J161:J185)</f>
        <v>1556</v>
      </c>
      <c r="K186" s="133">
        <f>SUM(K161:K185)</f>
        <v>1311.5</v>
      </c>
      <c r="L186" s="133">
        <f>SUM(L161:L185)</f>
        <v>1017.8</v>
      </c>
      <c r="M186" s="133">
        <f>SUM(M161:M185)</f>
        <v>1027.8</v>
      </c>
      <c r="N186" s="366"/>
      <c r="O186" s="982"/>
      <c r="P186" s="1033"/>
      <c r="Q186" s="355"/>
      <c r="R186" s="356"/>
    </row>
    <row r="187" spans="1:18" ht="17.25" customHeight="1" x14ac:dyDescent="0.2">
      <c r="A187" s="1661" t="s">
        <v>5</v>
      </c>
      <c r="B187" s="1663" t="s">
        <v>28</v>
      </c>
      <c r="C187" s="1665" t="s">
        <v>7</v>
      </c>
      <c r="D187" s="2007"/>
      <c r="E187" s="1668" t="s">
        <v>330</v>
      </c>
      <c r="F187" s="1671" t="s">
        <v>253</v>
      </c>
      <c r="G187" s="1763" t="s">
        <v>55</v>
      </c>
      <c r="H187" s="1942" t="s">
        <v>63</v>
      </c>
      <c r="I187" s="96" t="s">
        <v>25</v>
      </c>
      <c r="J187" s="206">
        <v>112.6</v>
      </c>
      <c r="K187" s="176">
        <v>136.80000000000001</v>
      </c>
      <c r="L187" s="206">
        <v>146.69999999999999</v>
      </c>
      <c r="M187" s="206">
        <v>146.69999999999999</v>
      </c>
      <c r="N187" s="225" t="s">
        <v>67</v>
      </c>
      <c r="O187" s="255">
        <v>18</v>
      </c>
      <c r="P187" s="255">
        <v>18</v>
      </c>
      <c r="Q187" s="625">
        <v>18</v>
      </c>
      <c r="R187" s="652">
        <v>18</v>
      </c>
    </row>
    <row r="188" spans="1:18" ht="15.75" customHeight="1" x14ac:dyDescent="0.2">
      <c r="A188" s="1632"/>
      <c r="B188" s="1633"/>
      <c r="C188" s="1666"/>
      <c r="D188" s="2008"/>
      <c r="E188" s="1669"/>
      <c r="F188" s="1672"/>
      <c r="G188" s="1728"/>
      <c r="H188" s="1920"/>
      <c r="I188" s="73" t="s">
        <v>60</v>
      </c>
      <c r="J188" s="143">
        <v>93</v>
      </c>
      <c r="K188" s="56"/>
      <c r="L188" s="143"/>
      <c r="M188" s="56"/>
      <c r="N188" s="560" t="s">
        <v>83</v>
      </c>
      <c r="O188" s="261">
        <v>7</v>
      </c>
      <c r="P188" s="261">
        <v>7</v>
      </c>
      <c r="Q188" s="300">
        <v>7</v>
      </c>
      <c r="R188" s="710">
        <v>7</v>
      </c>
    </row>
    <row r="189" spans="1:18" ht="16.5" customHeight="1" thickBot="1" x14ac:dyDescent="0.25">
      <c r="A189" s="1662"/>
      <c r="B189" s="1664"/>
      <c r="C189" s="1667"/>
      <c r="D189" s="2009"/>
      <c r="E189" s="1670"/>
      <c r="F189" s="1673"/>
      <c r="G189" s="1764"/>
      <c r="H189" s="1943"/>
      <c r="I189" s="133" t="s">
        <v>6</v>
      </c>
      <c r="J189" s="146">
        <f>SUM(J187:J188)</f>
        <v>205.6</v>
      </c>
      <c r="K189" s="146">
        <f>SUM(K187:K188)</f>
        <v>136.80000000000001</v>
      </c>
      <c r="L189" s="196">
        <f>SUM(L187:L188)</f>
        <v>146.69999999999999</v>
      </c>
      <c r="M189" s="196">
        <f>SUM(M187:M188)</f>
        <v>146.69999999999999</v>
      </c>
      <c r="N189" s="517"/>
      <c r="O189" s="178"/>
      <c r="P189" s="178"/>
      <c r="Q189" s="636"/>
      <c r="R189" s="534"/>
    </row>
    <row r="190" spans="1:18" ht="19.5" customHeight="1" x14ac:dyDescent="0.2">
      <c r="A190" s="564" t="s">
        <v>5</v>
      </c>
      <c r="B190" s="581" t="s">
        <v>28</v>
      </c>
      <c r="C190" s="582" t="s">
        <v>28</v>
      </c>
      <c r="D190" s="563"/>
      <c r="E190" s="1765" t="s">
        <v>174</v>
      </c>
      <c r="F190" s="1767" t="s">
        <v>252</v>
      </c>
      <c r="G190" s="558"/>
      <c r="H190" s="583"/>
      <c r="I190" s="506"/>
      <c r="J190" s="584"/>
      <c r="K190" s="506"/>
      <c r="L190" s="584"/>
      <c r="M190" s="506"/>
      <c r="N190" s="585"/>
      <c r="O190" s="173"/>
      <c r="P190" s="173"/>
      <c r="Q190" s="207"/>
      <c r="R190" s="214"/>
    </row>
    <row r="191" spans="1:18" ht="20.25" customHeight="1" x14ac:dyDescent="0.2">
      <c r="A191" s="553"/>
      <c r="B191" s="554"/>
      <c r="C191" s="552"/>
      <c r="D191" s="550"/>
      <c r="E191" s="1984"/>
      <c r="F191" s="2006"/>
      <c r="G191" s="567"/>
      <c r="H191" s="484"/>
      <c r="I191" s="482"/>
      <c r="J191" s="483"/>
      <c r="K191" s="482"/>
      <c r="L191" s="483"/>
      <c r="M191" s="482"/>
      <c r="N191" s="561"/>
      <c r="O191" s="859"/>
      <c r="P191" s="42"/>
      <c r="Q191" s="147"/>
      <c r="R191" s="43"/>
    </row>
    <row r="192" spans="1:18" ht="24.75" customHeight="1" x14ac:dyDescent="0.2">
      <c r="A192" s="1651"/>
      <c r="B192" s="1746"/>
      <c r="C192" s="1956"/>
      <c r="D192" s="717" t="s">
        <v>5</v>
      </c>
      <c r="E192" s="1759" t="s">
        <v>219</v>
      </c>
      <c r="F192" s="1740" t="s">
        <v>256</v>
      </c>
      <c r="G192" s="555">
        <v>5</v>
      </c>
      <c r="H192" s="1920" t="s">
        <v>171</v>
      </c>
      <c r="I192" s="62" t="s">
        <v>44</v>
      </c>
      <c r="J192" s="83">
        <v>342</v>
      </c>
      <c r="K192" s="62">
        <v>420</v>
      </c>
      <c r="L192" s="83">
        <v>330</v>
      </c>
      <c r="M192" s="62"/>
      <c r="N192" s="272" t="s">
        <v>130</v>
      </c>
      <c r="O192" s="860" t="s">
        <v>131</v>
      </c>
      <c r="P192" s="245"/>
      <c r="Q192" s="428"/>
      <c r="R192" s="713">
        <v>100</v>
      </c>
    </row>
    <row r="193" spans="1:20" ht="24.75" customHeight="1" x14ac:dyDescent="0.2">
      <c r="A193" s="1651"/>
      <c r="B193" s="1746"/>
      <c r="C193" s="1956"/>
      <c r="D193" s="701"/>
      <c r="E193" s="1985"/>
      <c r="F193" s="1741"/>
      <c r="G193" s="559"/>
      <c r="H193" s="1920"/>
      <c r="I193" s="62" t="s">
        <v>25</v>
      </c>
      <c r="J193" s="99">
        <f>164-4</f>
        <v>160</v>
      </c>
      <c r="K193" s="62">
        <v>207</v>
      </c>
      <c r="L193" s="83">
        <v>50.2</v>
      </c>
      <c r="M193" s="62"/>
      <c r="N193" s="186" t="s">
        <v>207</v>
      </c>
      <c r="O193" s="861">
        <v>1</v>
      </c>
      <c r="P193" s="429">
        <v>1</v>
      </c>
      <c r="Q193" s="32"/>
      <c r="R193" s="33"/>
    </row>
    <row r="194" spans="1:20" ht="12.75" customHeight="1" x14ac:dyDescent="0.2">
      <c r="A194" s="1651"/>
      <c r="B194" s="1746"/>
      <c r="C194" s="1956"/>
      <c r="D194" s="1172"/>
      <c r="E194" s="1985"/>
      <c r="F194" s="1741"/>
      <c r="G194" s="1173"/>
      <c r="H194" s="1920"/>
      <c r="I194" s="62" t="s">
        <v>60</v>
      </c>
      <c r="J194" s="99">
        <v>150</v>
      </c>
      <c r="K194" s="62">
        <v>277.3</v>
      </c>
      <c r="L194" s="83"/>
      <c r="M194" s="62"/>
      <c r="N194" s="1213"/>
      <c r="O194" s="1174"/>
      <c r="P194" s="508"/>
      <c r="Q194" s="507"/>
      <c r="R194" s="195"/>
    </row>
    <row r="195" spans="1:20" ht="14.25" customHeight="1" x14ac:dyDescent="0.2">
      <c r="A195" s="1651"/>
      <c r="B195" s="1746"/>
      <c r="C195" s="1956"/>
      <c r="D195" s="1172"/>
      <c r="E195" s="1985"/>
      <c r="F195" s="1741"/>
      <c r="G195" s="1173"/>
      <c r="H195" s="1920"/>
      <c r="I195" s="62" t="s">
        <v>100</v>
      </c>
      <c r="J195" s="99"/>
      <c r="K195" s="62"/>
      <c r="L195" s="83"/>
      <c r="M195" s="62"/>
      <c r="N195" s="1215"/>
      <c r="O195" s="1176"/>
      <c r="P195" s="1180"/>
      <c r="Q195" s="1183"/>
      <c r="R195" s="1179"/>
    </row>
    <row r="196" spans="1:20" ht="17.25" customHeight="1" x14ac:dyDescent="0.2">
      <c r="A196" s="1651"/>
      <c r="B196" s="1746"/>
      <c r="C196" s="1956"/>
      <c r="D196" s="718"/>
      <c r="E196" s="1760"/>
      <c r="F196" s="1745"/>
      <c r="G196" s="703"/>
      <c r="H196" s="1920"/>
      <c r="I196" s="61" t="s">
        <v>48</v>
      </c>
      <c r="J196" s="147"/>
      <c r="K196" s="1182"/>
      <c r="L196" s="86">
        <v>1500</v>
      </c>
      <c r="M196" s="1182">
        <v>1000</v>
      </c>
      <c r="N196" s="1214" t="s">
        <v>124</v>
      </c>
      <c r="O196" s="1175" t="s">
        <v>192</v>
      </c>
      <c r="P196" s="1186"/>
      <c r="Q196" s="20"/>
      <c r="R196" s="21"/>
    </row>
    <row r="197" spans="1:20" ht="15.75" customHeight="1" x14ac:dyDescent="0.2">
      <c r="A197" s="1651"/>
      <c r="B197" s="1746"/>
      <c r="C197" s="1956"/>
      <c r="D197" s="549" t="s">
        <v>7</v>
      </c>
      <c r="E197" s="1714" t="s">
        <v>203</v>
      </c>
      <c r="F197" s="1718" t="s">
        <v>254</v>
      </c>
      <c r="G197" s="701"/>
      <c r="H197" s="1920"/>
      <c r="I197" s="62" t="s">
        <v>25</v>
      </c>
      <c r="J197" s="83">
        <v>15</v>
      </c>
      <c r="K197" s="62">
        <v>42.2</v>
      </c>
      <c r="L197" s="83">
        <v>5.4</v>
      </c>
      <c r="M197" s="62">
        <v>5</v>
      </c>
      <c r="N197" s="186" t="s">
        <v>166</v>
      </c>
      <c r="O197" s="861">
        <v>1</v>
      </c>
      <c r="P197" s="160">
        <v>1</v>
      </c>
      <c r="Q197" s="1148"/>
      <c r="R197" s="1145"/>
    </row>
    <row r="198" spans="1:20" ht="24" customHeight="1" x14ac:dyDescent="0.2">
      <c r="A198" s="1651"/>
      <c r="B198" s="1746"/>
      <c r="C198" s="1956"/>
      <c r="D198" s="549"/>
      <c r="E198" s="1739"/>
      <c r="F198" s="1747"/>
      <c r="G198" s="703"/>
      <c r="H198" s="1920"/>
      <c r="I198" s="62" t="s">
        <v>60</v>
      </c>
      <c r="J198" s="83"/>
      <c r="K198" s="62">
        <v>12.3</v>
      </c>
      <c r="L198" s="83"/>
      <c r="M198" s="62"/>
      <c r="N198" s="1742" t="s">
        <v>204</v>
      </c>
      <c r="O198" s="508"/>
      <c r="P198" s="508"/>
      <c r="Q198" s="508"/>
      <c r="R198" s="195">
        <v>1</v>
      </c>
    </row>
    <row r="199" spans="1:20" ht="19.5" customHeight="1" x14ac:dyDescent="0.2">
      <c r="A199" s="317"/>
      <c r="B199" s="554"/>
      <c r="C199" s="381"/>
      <c r="D199" s="549"/>
      <c r="E199" s="1739"/>
      <c r="F199" s="1748"/>
      <c r="G199" s="703"/>
      <c r="H199" s="609"/>
      <c r="I199" s="62" t="s">
        <v>44</v>
      </c>
      <c r="J199" s="83">
        <v>135</v>
      </c>
      <c r="K199" s="62">
        <v>499.1</v>
      </c>
      <c r="L199" s="83">
        <v>48</v>
      </c>
      <c r="M199" s="62">
        <v>45</v>
      </c>
      <c r="N199" s="1743"/>
      <c r="O199" s="337"/>
      <c r="P199" s="337"/>
      <c r="Q199" s="337"/>
      <c r="R199" s="731"/>
    </row>
    <row r="200" spans="1:20" ht="14.25" customHeight="1" x14ac:dyDescent="0.2">
      <c r="A200" s="1632"/>
      <c r="B200" s="1633"/>
      <c r="C200" s="1956"/>
      <c r="D200" s="1958" t="s">
        <v>28</v>
      </c>
      <c r="E200" s="1729" t="s">
        <v>162</v>
      </c>
      <c r="F200" s="1740" t="s">
        <v>125</v>
      </c>
      <c r="G200" s="1666"/>
      <c r="H200" s="1920"/>
      <c r="I200" s="185" t="s">
        <v>25</v>
      </c>
      <c r="J200" s="87">
        <v>18.100000000000001</v>
      </c>
      <c r="K200" s="1135">
        <v>14.7</v>
      </c>
      <c r="L200" s="87"/>
      <c r="M200" s="748"/>
      <c r="N200" s="843" t="s">
        <v>141</v>
      </c>
      <c r="O200" s="846">
        <v>1</v>
      </c>
      <c r="P200" s="562"/>
      <c r="Q200" s="711"/>
      <c r="R200" s="707"/>
    </row>
    <row r="201" spans="1:20" ht="13.5" customHeight="1" x14ac:dyDescent="0.2">
      <c r="A201" s="1632"/>
      <c r="B201" s="1633"/>
      <c r="C201" s="1956"/>
      <c r="D201" s="1959"/>
      <c r="E201" s="1739"/>
      <c r="F201" s="1741"/>
      <c r="G201" s="1666"/>
      <c r="H201" s="1920"/>
      <c r="I201" s="62" t="s">
        <v>245</v>
      </c>
      <c r="J201" s="83"/>
      <c r="K201" s="62">
        <v>83.3</v>
      </c>
      <c r="L201" s="83"/>
      <c r="M201" s="493"/>
      <c r="N201" s="272" t="s">
        <v>205</v>
      </c>
      <c r="O201" s="379"/>
      <c r="P201" s="380">
        <v>6</v>
      </c>
      <c r="Q201" s="155"/>
      <c r="R201" s="710"/>
    </row>
    <row r="202" spans="1:20" ht="14.25" customHeight="1" x14ac:dyDescent="0.2">
      <c r="A202" s="1632"/>
      <c r="B202" s="1633"/>
      <c r="C202" s="1956"/>
      <c r="D202" s="1960"/>
      <c r="E202" s="1744"/>
      <c r="F202" s="1745"/>
      <c r="G202" s="1666"/>
      <c r="H202" s="1920"/>
      <c r="I202" s="73" t="s">
        <v>44</v>
      </c>
      <c r="J202" s="143">
        <v>102.5</v>
      </c>
      <c r="K202" s="1136"/>
      <c r="L202" s="86"/>
      <c r="M202" s="763"/>
      <c r="N202" s="19"/>
      <c r="O202" s="156"/>
      <c r="P202" s="53"/>
      <c r="Q202" s="47"/>
      <c r="R202" s="21"/>
    </row>
    <row r="203" spans="1:20" ht="37.5" customHeight="1" x14ac:dyDescent="0.2">
      <c r="A203" s="593"/>
      <c r="B203" s="594"/>
      <c r="C203" s="595"/>
      <c r="D203" s="548" t="s">
        <v>34</v>
      </c>
      <c r="E203" s="886" t="s">
        <v>129</v>
      </c>
      <c r="F203" s="623" t="s">
        <v>170</v>
      </c>
      <c r="G203" s="486" t="s">
        <v>37</v>
      </c>
      <c r="H203" s="893" t="s">
        <v>206</v>
      </c>
      <c r="I203" s="485" t="s">
        <v>75</v>
      </c>
      <c r="J203" s="313">
        <v>24.2</v>
      </c>
      <c r="K203" s="485">
        <v>24.2</v>
      </c>
      <c r="L203" s="603"/>
      <c r="M203" s="602"/>
      <c r="N203" s="70" t="s">
        <v>84</v>
      </c>
      <c r="O203" s="1163">
        <v>1</v>
      </c>
      <c r="P203" s="597">
        <v>1</v>
      </c>
      <c r="Q203" s="597"/>
      <c r="R203" s="598"/>
      <c r="T203" s="50"/>
    </row>
    <row r="204" spans="1:20" ht="15.75" customHeight="1" x14ac:dyDescent="0.2">
      <c r="A204" s="1632"/>
      <c r="B204" s="1633"/>
      <c r="C204" s="1956"/>
      <c r="D204" s="1958" t="s">
        <v>35</v>
      </c>
      <c r="E204" s="1729" t="s">
        <v>230</v>
      </c>
      <c r="F204" s="1740" t="s">
        <v>125</v>
      </c>
      <c r="G204" s="1969" t="s">
        <v>37</v>
      </c>
      <c r="H204" s="1920"/>
      <c r="I204" s="55" t="s">
        <v>68</v>
      </c>
      <c r="J204" s="87"/>
      <c r="K204" s="1037">
        <v>12</v>
      </c>
      <c r="L204" s="87">
        <v>6</v>
      </c>
      <c r="M204" s="895">
        <v>6</v>
      </c>
      <c r="N204" s="1726" t="s">
        <v>249</v>
      </c>
      <c r="O204" s="985">
        <v>6</v>
      </c>
      <c r="P204" s="989">
        <v>11</v>
      </c>
      <c r="Q204" s="984">
        <v>12</v>
      </c>
      <c r="R204" s="987">
        <v>14</v>
      </c>
    </row>
    <row r="205" spans="1:20" ht="15" customHeight="1" x14ac:dyDescent="0.2">
      <c r="A205" s="1632"/>
      <c r="B205" s="1633"/>
      <c r="C205" s="1956"/>
      <c r="D205" s="1959"/>
      <c r="E205" s="1714"/>
      <c r="F205" s="1718"/>
      <c r="G205" s="1629"/>
      <c r="H205" s="1920"/>
      <c r="I205" s="62" t="s">
        <v>25</v>
      </c>
      <c r="J205" s="83">
        <v>6</v>
      </c>
      <c r="K205" s="64"/>
      <c r="L205" s="83"/>
      <c r="M205" s="62"/>
      <c r="N205" s="1731"/>
      <c r="O205" s="988"/>
      <c r="P205" s="380"/>
      <c r="Q205" s="988"/>
      <c r="R205" s="986"/>
    </row>
    <row r="206" spans="1:20" ht="26.25" customHeight="1" x14ac:dyDescent="0.2">
      <c r="A206" s="1632"/>
      <c r="B206" s="1633"/>
      <c r="C206" s="1956"/>
      <c r="D206" s="1959"/>
      <c r="E206" s="1739"/>
      <c r="F206" s="1741"/>
      <c r="G206" s="1629"/>
      <c r="H206" s="1920"/>
      <c r="I206" s="62" t="s">
        <v>75</v>
      </c>
      <c r="J206" s="83">
        <v>4</v>
      </c>
      <c r="K206" s="493"/>
      <c r="L206" s="535"/>
      <c r="M206" s="493"/>
      <c r="N206" s="1040" t="s">
        <v>301</v>
      </c>
      <c r="O206" s="380"/>
      <c r="P206" s="380">
        <v>3</v>
      </c>
      <c r="Q206" s="1039"/>
      <c r="R206" s="986"/>
    </row>
    <row r="207" spans="1:20" ht="6" customHeight="1" x14ac:dyDescent="0.2">
      <c r="A207" s="1632"/>
      <c r="B207" s="1633"/>
      <c r="C207" s="1956"/>
      <c r="D207" s="1960"/>
      <c r="E207" s="1744"/>
      <c r="F207" s="1745"/>
      <c r="G207" s="1630"/>
      <c r="H207" s="1932"/>
      <c r="I207" s="73"/>
      <c r="J207" s="56"/>
      <c r="K207" s="56"/>
      <c r="L207" s="143"/>
      <c r="M207" s="763"/>
      <c r="N207" s="19"/>
      <c r="O207" s="156"/>
      <c r="P207" s="53"/>
      <c r="Q207" s="47"/>
      <c r="R207" s="21"/>
    </row>
    <row r="208" spans="1:20" ht="14.25" customHeight="1" thickBot="1" x14ac:dyDescent="0.25">
      <c r="A208" s="68"/>
      <c r="B208" s="557"/>
      <c r="C208" s="382"/>
      <c r="D208" s="382"/>
      <c r="E208" s="383"/>
      <c r="F208" s="384"/>
      <c r="G208" s="382"/>
      <c r="H208" s="385"/>
      <c r="I208" s="133" t="s">
        <v>6</v>
      </c>
      <c r="J208" s="196">
        <f>SUM(J192:J207)</f>
        <v>956.8</v>
      </c>
      <c r="K208" s="196">
        <f>SUM(K192:K207)</f>
        <v>1592.1</v>
      </c>
      <c r="L208" s="196">
        <f>SUM(L192:L207)</f>
        <v>1939.6</v>
      </c>
      <c r="M208" s="196">
        <f>SUM(M192:M207)</f>
        <v>1056</v>
      </c>
      <c r="N208" s="386"/>
      <c r="O208" s="387"/>
      <c r="P208" s="387"/>
      <c r="Q208" s="738"/>
      <c r="R208" s="766"/>
    </row>
    <row r="209" spans="1:18" ht="14.25" customHeight="1" thickBot="1" x14ac:dyDescent="0.25">
      <c r="A209" s="90" t="s">
        <v>5</v>
      </c>
      <c r="B209" s="79" t="s">
        <v>28</v>
      </c>
      <c r="C209" s="1732" t="s">
        <v>8</v>
      </c>
      <c r="D209" s="1732"/>
      <c r="E209" s="1732"/>
      <c r="F209" s="1732"/>
      <c r="G209" s="1732"/>
      <c r="H209" s="1732"/>
      <c r="I209" s="1733"/>
      <c r="J209" s="201">
        <f>J208+J189+J186</f>
        <v>2718.4</v>
      </c>
      <c r="K209" s="201">
        <f>K208+K189+K186</f>
        <v>3040.4</v>
      </c>
      <c r="L209" s="201">
        <f>L208+L189+L186</f>
        <v>3104.1</v>
      </c>
      <c r="M209" s="201">
        <f>M208+M189+M186</f>
        <v>2230.5</v>
      </c>
      <c r="N209" s="1734"/>
      <c r="O209" s="1734"/>
      <c r="P209" s="1734"/>
      <c r="Q209" s="1734"/>
      <c r="R209" s="1735"/>
    </row>
    <row r="210" spans="1:18" ht="14.25" customHeight="1" thickBot="1" x14ac:dyDescent="0.25">
      <c r="A210" s="78" t="s">
        <v>5</v>
      </c>
      <c r="B210" s="79" t="s">
        <v>33</v>
      </c>
      <c r="C210" s="1736" t="s">
        <v>173</v>
      </c>
      <c r="D210" s="1737"/>
      <c r="E210" s="1737"/>
      <c r="F210" s="1737"/>
      <c r="G210" s="1737"/>
      <c r="H210" s="1737"/>
      <c r="I210" s="1737"/>
      <c r="J210" s="1737"/>
      <c r="K210" s="1737"/>
      <c r="L210" s="1737"/>
      <c r="M210" s="1737"/>
      <c r="N210" s="1737"/>
      <c r="O210" s="1737"/>
      <c r="P210" s="1737"/>
      <c r="Q210" s="1737"/>
      <c r="R210" s="1738"/>
    </row>
    <row r="211" spans="1:18" ht="31.5" customHeight="1" x14ac:dyDescent="0.2">
      <c r="A211" s="236" t="s">
        <v>5</v>
      </c>
      <c r="B211" s="238" t="s">
        <v>33</v>
      </c>
      <c r="C211" s="363" t="s">
        <v>5</v>
      </c>
      <c r="D211" s="97"/>
      <c r="E211" s="113" t="s">
        <v>106</v>
      </c>
      <c r="F211" s="125"/>
      <c r="G211" s="97"/>
      <c r="H211" s="419"/>
      <c r="I211" s="91"/>
      <c r="J211" s="426"/>
      <c r="K211" s="77"/>
      <c r="L211" s="77"/>
      <c r="M211" s="77"/>
      <c r="N211" s="98"/>
      <c r="O211" s="6"/>
      <c r="P211" s="6"/>
      <c r="Q211" s="639"/>
      <c r="R211" s="764"/>
    </row>
    <row r="212" spans="1:18" ht="15.75" customHeight="1" x14ac:dyDescent="0.2">
      <c r="A212" s="399"/>
      <c r="B212" s="400"/>
      <c r="C212" s="358"/>
      <c r="D212" s="504" t="s">
        <v>5</v>
      </c>
      <c r="E212" s="423" t="s">
        <v>103</v>
      </c>
      <c r="F212" s="406"/>
      <c r="G212" s="414">
        <v>6</v>
      </c>
      <c r="H212" s="1992" t="s">
        <v>102</v>
      </c>
      <c r="I212" s="602"/>
      <c r="J212" s="958"/>
      <c r="K212" s="602"/>
      <c r="L212" s="602"/>
      <c r="M212" s="602"/>
      <c r="N212" s="601"/>
      <c r="O212" s="957"/>
      <c r="P212" s="604"/>
      <c r="Q212" s="926"/>
      <c r="R212" s="697"/>
    </row>
    <row r="213" spans="1:18" ht="14.25" customHeight="1" x14ac:dyDescent="0.2">
      <c r="A213" s="928"/>
      <c r="B213" s="929"/>
      <c r="C213" s="358"/>
      <c r="D213" s="1957" t="s">
        <v>181</v>
      </c>
      <c r="E213" s="934" t="s">
        <v>283</v>
      </c>
      <c r="F213" s="937"/>
      <c r="G213" s="936"/>
      <c r="H213" s="1937"/>
      <c r="I213" s="62" t="s">
        <v>100</v>
      </c>
      <c r="J213" s="83"/>
      <c r="K213" s="62">
        <v>1000</v>
      </c>
      <c r="L213" s="62"/>
      <c r="M213" s="62"/>
      <c r="N213" s="933" t="s">
        <v>66</v>
      </c>
      <c r="O213" s="215"/>
      <c r="P213" s="215">
        <v>5.9</v>
      </c>
      <c r="Q213" s="99"/>
      <c r="R213" s="40"/>
    </row>
    <row r="214" spans="1:18" ht="13.5" customHeight="1" x14ac:dyDescent="0.2">
      <c r="A214" s="928"/>
      <c r="B214" s="929"/>
      <c r="C214" s="358"/>
      <c r="D214" s="1658"/>
      <c r="E214" s="222" t="s">
        <v>187</v>
      </c>
      <c r="F214" s="937"/>
      <c r="G214" s="936"/>
      <c r="H214" s="1937"/>
      <c r="I214" s="62" t="s">
        <v>60</v>
      </c>
      <c r="J214" s="83"/>
      <c r="K214" s="62">
        <v>38.200000000000003</v>
      </c>
      <c r="L214" s="62"/>
      <c r="M214" s="62"/>
      <c r="N214" s="933"/>
      <c r="O214" s="215"/>
      <c r="P214" s="215"/>
      <c r="Q214" s="99"/>
      <c r="R214" s="40"/>
    </row>
    <row r="215" spans="1:18" ht="14.25" customHeight="1" x14ac:dyDescent="0.2">
      <c r="A215" s="928"/>
      <c r="B215" s="929"/>
      <c r="C215" s="358"/>
      <c r="D215" s="1658"/>
      <c r="E215" s="222" t="s">
        <v>180</v>
      </c>
      <c r="F215" s="937"/>
      <c r="G215" s="936"/>
      <c r="H215" s="1937"/>
      <c r="I215" s="62"/>
      <c r="J215" s="83"/>
      <c r="K215" s="62"/>
      <c r="L215" s="62"/>
      <c r="M215" s="62"/>
      <c r="N215" s="933"/>
      <c r="O215" s="215"/>
      <c r="P215" s="215"/>
      <c r="Q215" s="99"/>
      <c r="R215" s="40"/>
    </row>
    <row r="216" spans="1:18" ht="14.25" customHeight="1" x14ac:dyDescent="0.2">
      <c r="A216" s="928"/>
      <c r="B216" s="929"/>
      <c r="C216" s="358"/>
      <c r="D216" s="1658"/>
      <c r="E216" s="934" t="s">
        <v>189</v>
      </c>
      <c r="F216" s="937"/>
      <c r="G216" s="936"/>
      <c r="H216" s="940"/>
      <c r="I216" s="62"/>
      <c r="J216" s="83"/>
      <c r="K216" s="62"/>
      <c r="L216" s="62"/>
      <c r="M216" s="62"/>
      <c r="N216" s="933"/>
      <c r="O216" s="215"/>
      <c r="P216" s="215"/>
      <c r="Q216" s="99"/>
      <c r="R216" s="40"/>
    </row>
    <row r="217" spans="1:18" ht="29.25" customHeight="1" x14ac:dyDescent="0.2">
      <c r="A217" s="928"/>
      <c r="B217" s="929"/>
      <c r="C217" s="358"/>
      <c r="D217" s="1658"/>
      <c r="E217" s="222" t="s">
        <v>284</v>
      </c>
      <c r="F217" s="937"/>
      <c r="G217" s="936"/>
      <c r="H217" s="940"/>
      <c r="I217" s="62"/>
      <c r="J217" s="83"/>
      <c r="K217" s="62"/>
      <c r="L217" s="62"/>
      <c r="M217" s="62"/>
      <c r="N217" s="933"/>
      <c r="O217" s="215"/>
      <c r="P217" s="215"/>
      <c r="Q217" s="99"/>
      <c r="R217" s="40"/>
    </row>
    <row r="218" spans="1:18" ht="26.25" customHeight="1" x14ac:dyDescent="0.2">
      <c r="A218" s="928"/>
      <c r="B218" s="929"/>
      <c r="C218" s="358"/>
      <c r="D218" s="1658"/>
      <c r="E218" s="424" t="s">
        <v>285</v>
      </c>
      <c r="F218" s="937"/>
      <c r="G218" s="936"/>
      <c r="H218" s="940"/>
      <c r="I218" s="62"/>
      <c r="J218" s="83"/>
      <c r="K218" s="62"/>
      <c r="L218" s="62"/>
      <c r="M218" s="62"/>
      <c r="N218" s="933"/>
      <c r="O218" s="215"/>
      <c r="P218" s="215"/>
      <c r="Q218" s="99"/>
      <c r="R218" s="40"/>
    </row>
    <row r="219" spans="1:18" ht="27" customHeight="1" x14ac:dyDescent="0.2">
      <c r="A219" s="928"/>
      <c r="B219" s="929"/>
      <c r="C219" s="358"/>
      <c r="D219" s="1658"/>
      <c r="E219" s="222" t="s">
        <v>286</v>
      </c>
      <c r="F219" s="937"/>
      <c r="G219" s="936"/>
      <c r="H219" s="940"/>
      <c r="I219" s="62"/>
      <c r="J219" s="83"/>
      <c r="K219" s="62"/>
      <c r="L219" s="62"/>
      <c r="M219" s="62"/>
      <c r="N219" s="933"/>
      <c r="O219" s="215"/>
      <c r="P219" s="215"/>
      <c r="Q219" s="99"/>
      <c r="R219" s="40"/>
    </row>
    <row r="220" spans="1:18" ht="27" customHeight="1" x14ac:dyDescent="0.2">
      <c r="A220" s="928"/>
      <c r="B220" s="929"/>
      <c r="C220" s="358"/>
      <c r="D220" s="991"/>
      <c r="E220" s="990" t="s">
        <v>287</v>
      </c>
      <c r="F220" s="937"/>
      <c r="G220" s="936"/>
      <c r="H220" s="940"/>
      <c r="I220" s="62"/>
      <c r="J220" s="83"/>
      <c r="K220" s="62"/>
      <c r="L220" s="62"/>
      <c r="M220" s="62"/>
      <c r="N220" s="933"/>
      <c r="O220" s="215"/>
      <c r="P220" s="215"/>
      <c r="Q220" s="99"/>
      <c r="R220" s="40"/>
    </row>
    <row r="221" spans="1:18" ht="15" customHeight="1" x14ac:dyDescent="0.2">
      <c r="A221" s="928"/>
      <c r="B221" s="929"/>
      <c r="C221" s="358"/>
      <c r="D221" s="1658" t="s">
        <v>182</v>
      </c>
      <c r="E221" s="918" t="s">
        <v>188</v>
      </c>
      <c r="F221" s="935"/>
      <c r="G221" s="936"/>
      <c r="H221" s="940"/>
      <c r="I221" s="946" t="s">
        <v>25</v>
      </c>
      <c r="J221" s="87"/>
      <c r="K221" s="946"/>
      <c r="L221" s="1181">
        <f>336-250</f>
        <v>86</v>
      </c>
      <c r="M221" s="946"/>
      <c r="N221" s="938" t="s">
        <v>66</v>
      </c>
      <c r="O221" s="49"/>
      <c r="P221" s="49"/>
      <c r="Q221" s="121">
        <v>7.9</v>
      </c>
      <c r="R221" s="427"/>
    </row>
    <row r="222" spans="1:18" ht="16.5" customHeight="1" x14ac:dyDescent="0.2">
      <c r="A222" s="928"/>
      <c r="B222" s="929"/>
      <c r="C222" s="358"/>
      <c r="D222" s="1658"/>
      <c r="E222" s="424" t="s">
        <v>177</v>
      </c>
      <c r="F222" s="937"/>
      <c r="G222" s="936"/>
      <c r="H222" s="940"/>
      <c r="I222" s="62" t="s">
        <v>100</v>
      </c>
      <c r="J222" s="83"/>
      <c r="K222" s="62"/>
      <c r="L222" s="62">
        <v>900</v>
      </c>
      <c r="M222" s="62"/>
      <c r="N222" s="933"/>
      <c r="O222" s="215"/>
      <c r="P222" s="215"/>
      <c r="Q222" s="99"/>
      <c r="R222" s="40"/>
    </row>
    <row r="223" spans="1:18" ht="15.75" customHeight="1" x14ac:dyDescent="0.2">
      <c r="A223" s="928"/>
      <c r="B223" s="929"/>
      <c r="C223" s="358"/>
      <c r="D223" s="1658"/>
      <c r="E223" s="222" t="s">
        <v>190</v>
      </c>
      <c r="F223" s="937"/>
      <c r="G223" s="936"/>
      <c r="H223" s="940"/>
      <c r="I223" s="62"/>
      <c r="J223" s="83"/>
      <c r="K223" s="62"/>
      <c r="L223" s="62"/>
      <c r="M223" s="62"/>
      <c r="N223" s="933"/>
      <c r="O223" s="215"/>
      <c r="P223" s="215"/>
      <c r="Q223" s="99"/>
      <c r="R223" s="40"/>
    </row>
    <row r="224" spans="1:18" ht="15.75" customHeight="1" x14ac:dyDescent="0.2">
      <c r="A224" s="928"/>
      <c r="B224" s="929"/>
      <c r="C224" s="358"/>
      <c r="D224" s="1658"/>
      <c r="E224" s="222" t="s">
        <v>288</v>
      </c>
      <c r="F224" s="937"/>
      <c r="G224" s="936"/>
      <c r="H224" s="940"/>
      <c r="I224" s="62"/>
      <c r="J224" s="83"/>
      <c r="K224" s="62"/>
      <c r="L224" s="62"/>
      <c r="M224" s="62"/>
      <c r="N224" s="933"/>
      <c r="O224" s="215"/>
      <c r="P224" s="215"/>
      <c r="Q224" s="99"/>
      <c r="R224" s="40"/>
    </row>
    <row r="225" spans="1:18" ht="14.25" customHeight="1" x14ac:dyDescent="0.2">
      <c r="A225" s="928"/>
      <c r="B225" s="929"/>
      <c r="C225" s="358"/>
      <c r="D225" s="1658"/>
      <c r="E225" s="932" t="s">
        <v>289</v>
      </c>
      <c r="F225" s="937"/>
      <c r="G225" s="936"/>
      <c r="H225" s="940"/>
      <c r="I225" s="947"/>
      <c r="J225" s="83"/>
      <c r="K225" s="62"/>
      <c r="L225" s="1182"/>
      <c r="M225" s="62"/>
      <c r="N225" s="933"/>
      <c r="O225" s="215"/>
      <c r="P225" s="215"/>
      <c r="Q225" s="41"/>
      <c r="R225" s="43"/>
    </row>
    <row r="226" spans="1:18" ht="19.5" customHeight="1" x14ac:dyDescent="0.2">
      <c r="A226" s="928"/>
      <c r="B226" s="929"/>
      <c r="C226" s="358"/>
      <c r="D226" s="1957" t="s">
        <v>281</v>
      </c>
      <c r="E226" s="1625" t="s">
        <v>282</v>
      </c>
      <c r="F226" s="937"/>
      <c r="G226" s="936"/>
      <c r="H226" s="940"/>
      <c r="I226" s="62" t="s">
        <v>25</v>
      </c>
      <c r="J226" s="946"/>
      <c r="K226" s="946"/>
      <c r="L226" s="1181"/>
      <c r="M226" s="1181">
        <v>336</v>
      </c>
      <c r="N226" s="938" t="s">
        <v>66</v>
      </c>
      <c r="O226" s="49"/>
      <c r="P226" s="49"/>
      <c r="Q226" s="118"/>
      <c r="R226" s="40">
        <v>7.5</v>
      </c>
    </row>
    <row r="227" spans="1:18" ht="18.75" customHeight="1" x14ac:dyDescent="0.2">
      <c r="A227" s="928"/>
      <c r="B227" s="929"/>
      <c r="C227" s="358"/>
      <c r="D227" s="1660"/>
      <c r="E227" s="1626"/>
      <c r="F227" s="937"/>
      <c r="G227" s="936"/>
      <c r="H227" s="940"/>
      <c r="I227" s="947" t="s">
        <v>100</v>
      </c>
      <c r="J227" s="83"/>
      <c r="K227" s="947"/>
      <c r="L227" s="1182"/>
      <c r="M227" s="1182">
        <v>900</v>
      </c>
      <c r="N227" s="519"/>
      <c r="O227" s="42"/>
      <c r="P227" s="42"/>
      <c r="Q227" s="147"/>
      <c r="R227" s="43"/>
    </row>
    <row r="228" spans="1:18" ht="26.25" customHeight="1" x14ac:dyDescent="0.2">
      <c r="A228" s="928"/>
      <c r="B228" s="929"/>
      <c r="C228" s="358"/>
      <c r="D228" s="1658" t="s">
        <v>175</v>
      </c>
      <c r="E228" s="954" t="s">
        <v>176</v>
      </c>
      <c r="F228" s="937"/>
      <c r="G228" s="930"/>
      <c r="H228" s="943"/>
      <c r="I228" s="62" t="s">
        <v>25</v>
      </c>
      <c r="J228" s="946">
        <f>1914.6-300-42.7-50-145+85.8</f>
        <v>1462.7</v>
      </c>
      <c r="K228" s="62"/>
      <c r="L228" s="62"/>
      <c r="M228" s="62"/>
      <c r="N228" s="933" t="s">
        <v>66</v>
      </c>
      <c r="O228" s="34">
        <v>11</v>
      </c>
      <c r="P228" s="215"/>
      <c r="Q228" s="99"/>
      <c r="R228" s="40"/>
    </row>
    <row r="229" spans="1:18" ht="27.75" customHeight="1" x14ac:dyDescent="0.2">
      <c r="A229" s="928"/>
      <c r="B229" s="929"/>
      <c r="C229" s="358"/>
      <c r="D229" s="1658"/>
      <c r="E229" s="955" t="s">
        <v>178</v>
      </c>
      <c r="F229" s="937"/>
      <c r="G229" s="930"/>
      <c r="H229" s="943"/>
      <c r="I229" s="62"/>
      <c r="J229" s="83"/>
      <c r="K229" s="62"/>
      <c r="L229" s="62"/>
      <c r="M229" s="62"/>
      <c r="N229" s="933"/>
      <c r="O229" s="215"/>
      <c r="P229" s="215"/>
      <c r="Q229" s="99"/>
      <c r="R229" s="40"/>
    </row>
    <row r="230" spans="1:18" ht="24.75" customHeight="1" x14ac:dyDescent="0.2">
      <c r="A230" s="928"/>
      <c r="B230" s="929"/>
      <c r="C230" s="358"/>
      <c r="D230" s="1658"/>
      <c r="E230" s="955" t="s">
        <v>179</v>
      </c>
      <c r="F230" s="937"/>
      <c r="G230" s="930"/>
      <c r="H230" s="943"/>
      <c r="I230" s="62"/>
      <c r="J230" s="83"/>
      <c r="K230" s="62"/>
      <c r="L230" s="62"/>
      <c r="M230" s="62"/>
      <c r="N230" s="933"/>
      <c r="O230" s="215"/>
      <c r="P230" s="215"/>
      <c r="Q230" s="99"/>
      <c r="R230" s="40"/>
    </row>
    <row r="231" spans="1:18" ht="12.75" hidden="1" customHeight="1" x14ac:dyDescent="0.2">
      <c r="A231" s="928"/>
      <c r="B231" s="929"/>
      <c r="C231" s="358"/>
      <c r="D231" s="1658"/>
      <c r="E231" s="952" t="s">
        <v>180</v>
      </c>
      <c r="F231" s="937"/>
      <c r="G231" s="930"/>
      <c r="H231" s="943"/>
      <c r="I231" s="62"/>
      <c r="J231" s="83"/>
      <c r="K231" s="62"/>
      <c r="L231" s="62"/>
      <c r="M231" s="62"/>
      <c r="N231" s="933"/>
      <c r="O231" s="215"/>
      <c r="P231" s="215"/>
      <c r="Q231" s="99"/>
      <c r="R231" s="40"/>
    </row>
    <row r="232" spans="1:18" ht="20.25" hidden="1" customHeight="1" x14ac:dyDescent="0.2">
      <c r="A232" s="928"/>
      <c r="B232" s="929"/>
      <c r="C232" s="358"/>
      <c r="D232" s="1658"/>
      <c r="E232" s="952" t="s">
        <v>183</v>
      </c>
      <c r="F232" s="937"/>
      <c r="G232" s="930"/>
      <c r="H232" s="943"/>
      <c r="I232" s="62"/>
      <c r="J232" s="83"/>
      <c r="K232" s="62"/>
      <c r="L232" s="62"/>
      <c r="M232" s="62"/>
      <c r="N232" s="933"/>
      <c r="O232" s="215"/>
      <c r="P232" s="215"/>
      <c r="Q232" s="99"/>
      <c r="R232" s="40"/>
    </row>
    <row r="233" spans="1:18" ht="13.5" hidden="1" customHeight="1" x14ac:dyDescent="0.2">
      <c r="A233" s="928"/>
      <c r="B233" s="929"/>
      <c r="C233" s="358"/>
      <c r="D233" s="1658"/>
      <c r="E233" s="952" t="s">
        <v>184</v>
      </c>
      <c r="F233" s="937"/>
      <c r="G233" s="930"/>
      <c r="H233" s="943"/>
      <c r="I233" s="62"/>
      <c r="J233" s="83"/>
      <c r="K233" s="62"/>
      <c r="L233" s="62"/>
      <c r="M233" s="62"/>
      <c r="N233" s="933"/>
      <c r="O233" s="215"/>
      <c r="P233" s="215"/>
      <c r="Q233" s="99"/>
      <c r="R233" s="40"/>
    </row>
    <row r="234" spans="1:18" ht="25.5" hidden="1" customHeight="1" x14ac:dyDescent="0.2">
      <c r="A234" s="928"/>
      <c r="B234" s="929"/>
      <c r="C234" s="358"/>
      <c r="D234" s="1658"/>
      <c r="E234" s="953" t="s">
        <v>185</v>
      </c>
      <c r="F234" s="937"/>
      <c r="G234" s="930"/>
      <c r="H234" s="943"/>
      <c r="I234" s="62"/>
      <c r="J234" s="83"/>
      <c r="K234" s="62"/>
      <c r="L234" s="62"/>
      <c r="M234" s="62"/>
      <c r="N234" s="933"/>
      <c r="O234" s="215"/>
      <c r="P234" s="215"/>
      <c r="Q234" s="99"/>
      <c r="R234" s="40"/>
    </row>
    <row r="235" spans="1:18" ht="25.5" customHeight="1" x14ac:dyDescent="0.2">
      <c r="A235" s="928"/>
      <c r="B235" s="929"/>
      <c r="C235" s="358"/>
      <c r="D235" s="1660"/>
      <c r="E235" s="956" t="s">
        <v>186</v>
      </c>
      <c r="F235" s="944"/>
      <c r="G235" s="1055"/>
      <c r="H235" s="1056"/>
      <c r="I235" s="947"/>
      <c r="J235" s="86"/>
      <c r="K235" s="947"/>
      <c r="L235" s="947"/>
      <c r="M235" s="947"/>
      <c r="N235" s="519"/>
      <c r="O235" s="42"/>
      <c r="P235" s="42"/>
      <c r="Q235" s="147"/>
      <c r="R235" s="43"/>
    </row>
    <row r="236" spans="1:18" ht="29.25" customHeight="1" x14ac:dyDescent="0.2">
      <c r="A236" s="399"/>
      <c r="B236" s="400"/>
      <c r="C236" s="358"/>
      <c r="D236" s="211" t="s">
        <v>7</v>
      </c>
      <c r="E236" s="1807" t="s">
        <v>105</v>
      </c>
      <c r="F236" s="405"/>
      <c r="G236" s="488"/>
      <c r="H236" s="489"/>
      <c r="I236" s="55" t="s">
        <v>100</v>
      </c>
      <c r="J236" s="55">
        <v>1132</v>
      </c>
      <c r="K236" s="49">
        <v>110.3</v>
      </c>
      <c r="L236" s="1181">
        <v>110.3</v>
      </c>
      <c r="M236" s="1181">
        <v>110.3</v>
      </c>
      <c r="N236" s="413" t="s">
        <v>320</v>
      </c>
      <c r="O236" s="1077" t="s">
        <v>319</v>
      </c>
      <c r="P236" s="341" t="s">
        <v>319</v>
      </c>
      <c r="Q236" s="1096" t="s">
        <v>319</v>
      </c>
      <c r="R236" s="1078" t="s">
        <v>319</v>
      </c>
    </row>
    <row r="237" spans="1:18" ht="26.25" customHeight="1" x14ac:dyDescent="0.2">
      <c r="A237" s="399"/>
      <c r="B237" s="400"/>
      <c r="C237" s="358"/>
      <c r="D237" s="93"/>
      <c r="E237" s="1655"/>
      <c r="F237" s="406"/>
      <c r="G237" s="488"/>
      <c r="H237" s="489"/>
      <c r="I237" s="62" t="s">
        <v>25</v>
      </c>
      <c r="J237" s="62">
        <f>60-J238</f>
        <v>48.8</v>
      </c>
      <c r="K237" s="215">
        <f>1006.7-300</f>
        <v>706.7</v>
      </c>
      <c r="L237" s="62">
        <f>1006.7-300</f>
        <v>706.7</v>
      </c>
      <c r="M237" s="62">
        <f>1006.7-300</f>
        <v>706.7</v>
      </c>
      <c r="N237" s="85" t="s">
        <v>40</v>
      </c>
      <c r="O237" s="269" t="s">
        <v>321</v>
      </c>
      <c r="P237" s="183" t="s">
        <v>321</v>
      </c>
      <c r="Q237" s="641" t="s">
        <v>321</v>
      </c>
      <c r="R237" s="765" t="s">
        <v>321</v>
      </c>
    </row>
    <row r="238" spans="1:18" ht="17.25" customHeight="1" x14ac:dyDescent="0.2">
      <c r="A238" s="399"/>
      <c r="B238" s="400"/>
      <c r="C238" s="358"/>
      <c r="D238" s="94"/>
      <c r="E238" s="1656"/>
      <c r="F238" s="141"/>
      <c r="G238" s="488"/>
      <c r="H238" s="490"/>
      <c r="I238" s="73" t="s">
        <v>60</v>
      </c>
      <c r="J238" s="1136">
        <v>11.2</v>
      </c>
      <c r="K238" s="1182"/>
      <c r="L238" s="1182"/>
      <c r="M238" s="1182"/>
      <c r="N238" s="519" t="s">
        <v>65</v>
      </c>
      <c r="O238" s="1060" t="s">
        <v>315</v>
      </c>
      <c r="P238" s="1209" t="s">
        <v>315</v>
      </c>
      <c r="Q238" s="1061" t="s">
        <v>315</v>
      </c>
      <c r="R238" s="1062" t="s">
        <v>315</v>
      </c>
    </row>
    <row r="239" spans="1:18" ht="15.75" customHeight="1" x14ac:dyDescent="0.2">
      <c r="A239" s="1632"/>
      <c r="B239" s="1633"/>
      <c r="C239" s="1944"/>
      <c r="D239" s="208" t="s">
        <v>28</v>
      </c>
      <c r="E239" s="1625" t="s">
        <v>53</v>
      </c>
      <c r="F239" s="406"/>
      <c r="G239" s="404"/>
      <c r="H239" s="410"/>
      <c r="I239" s="62" t="s">
        <v>25</v>
      </c>
      <c r="J239" s="62">
        <f>500-100</f>
        <v>400</v>
      </c>
      <c r="K239" s="62">
        <v>400</v>
      </c>
      <c r="L239" s="62">
        <v>400</v>
      </c>
      <c r="M239" s="62">
        <v>400</v>
      </c>
      <c r="N239" s="1726" t="s">
        <v>317</v>
      </c>
      <c r="O239" s="341" t="s">
        <v>316</v>
      </c>
      <c r="P239" s="341" t="s">
        <v>316</v>
      </c>
      <c r="Q239" s="835" t="s">
        <v>316</v>
      </c>
      <c r="R239" s="437" t="s">
        <v>316</v>
      </c>
    </row>
    <row r="240" spans="1:18" ht="18" customHeight="1" x14ac:dyDescent="0.2">
      <c r="A240" s="1632"/>
      <c r="B240" s="1633"/>
      <c r="C240" s="1944"/>
      <c r="D240" s="94"/>
      <c r="E240" s="1626"/>
      <c r="F240" s="141"/>
      <c r="G240" s="404"/>
      <c r="H240" s="410"/>
      <c r="I240" s="767"/>
      <c r="J240" s="1136"/>
      <c r="K240" s="767"/>
      <c r="L240" s="767"/>
      <c r="M240" s="1182"/>
      <c r="N240" s="1727"/>
      <c r="O240" s="42"/>
      <c r="P240" s="42"/>
      <c r="Q240" s="147"/>
      <c r="R240" s="43"/>
    </row>
    <row r="241" spans="1:22" ht="15.75" customHeight="1" x14ac:dyDescent="0.2">
      <c r="A241" s="1632"/>
      <c r="B241" s="1633"/>
      <c r="C241" s="1944"/>
      <c r="D241" s="1927" t="s">
        <v>33</v>
      </c>
      <c r="E241" s="1970" t="s">
        <v>296</v>
      </c>
      <c r="F241" s="1740"/>
      <c r="G241" s="1634"/>
      <c r="H241" s="295"/>
      <c r="I241" s="946" t="s">
        <v>25</v>
      </c>
      <c r="J241" s="62">
        <f>1684-300-200-114</f>
        <v>1070</v>
      </c>
      <c r="K241" s="1181"/>
      <c r="L241" s="1181"/>
      <c r="M241" s="1181"/>
      <c r="N241" s="1255"/>
      <c r="O241" s="1077"/>
      <c r="P241" s="1077"/>
      <c r="Q241" s="531"/>
      <c r="R241" s="1078"/>
    </row>
    <row r="242" spans="1:22" ht="12" customHeight="1" x14ac:dyDescent="0.2">
      <c r="A242" s="1632"/>
      <c r="B242" s="1633"/>
      <c r="C242" s="1944"/>
      <c r="D242" s="1666"/>
      <c r="E242" s="1971"/>
      <c r="F242" s="1718"/>
      <c r="G242" s="1634"/>
      <c r="H242" s="295"/>
      <c r="I242" s="62" t="s">
        <v>68</v>
      </c>
      <c r="J242" s="62"/>
      <c r="K242" s="62">
        <f>268-48-30+5</f>
        <v>195</v>
      </c>
      <c r="L242" s="62">
        <f>447-30+34.1</f>
        <v>451.1</v>
      </c>
      <c r="M242" s="62">
        <f>417+98.4</f>
        <v>515.4</v>
      </c>
      <c r="N242" s="1716"/>
      <c r="O242" s="37"/>
      <c r="P242" s="37"/>
      <c r="Q242" s="502"/>
      <c r="R242" s="332"/>
    </row>
    <row r="243" spans="1:22" ht="15" customHeight="1" x14ac:dyDescent="0.2">
      <c r="A243" s="1632"/>
      <c r="B243" s="1633"/>
      <c r="C243" s="1944"/>
      <c r="D243" s="1666"/>
      <c r="E243" s="1698"/>
      <c r="F243" s="1718"/>
      <c r="G243" s="1634"/>
      <c r="H243" s="295"/>
      <c r="I243" s="62" t="s">
        <v>75</v>
      </c>
      <c r="J243" s="62">
        <v>300</v>
      </c>
      <c r="K243" s="62">
        <f>270+17.9</f>
        <v>287.89999999999998</v>
      </c>
      <c r="L243" s="62"/>
      <c r="M243" s="62"/>
      <c r="N243" s="1810"/>
      <c r="O243" s="37"/>
      <c r="P243" s="37"/>
      <c r="Q243" s="502"/>
      <c r="R243" s="332"/>
    </row>
    <row r="244" spans="1:22" ht="15" customHeight="1" x14ac:dyDescent="0.2">
      <c r="A244" s="1632"/>
      <c r="B244" s="1633"/>
      <c r="C244" s="1944"/>
      <c r="D244" s="1666"/>
      <c r="E244" s="1698"/>
      <c r="F244" s="1718"/>
      <c r="G244" s="1634"/>
      <c r="H244" s="295"/>
      <c r="I244" s="62" t="s">
        <v>100</v>
      </c>
      <c r="J244" s="62">
        <v>120</v>
      </c>
      <c r="K244" s="62">
        <v>120</v>
      </c>
      <c r="L244" s="62">
        <v>120</v>
      </c>
      <c r="M244" s="62">
        <v>120</v>
      </c>
      <c r="N244" s="1231"/>
      <c r="O244" s="775"/>
      <c r="P244" s="775"/>
      <c r="Q244" s="1079"/>
      <c r="R244" s="1080"/>
    </row>
    <row r="245" spans="1:22" ht="17.25" customHeight="1" x14ac:dyDescent="0.2">
      <c r="A245" s="1632"/>
      <c r="B245" s="1633"/>
      <c r="C245" s="1944"/>
      <c r="D245" s="1666"/>
      <c r="E245" s="1081"/>
      <c r="F245" s="1718"/>
      <c r="G245" s="1634"/>
      <c r="H245" s="295"/>
      <c r="I245" s="62"/>
      <c r="J245" s="62"/>
      <c r="K245" s="493"/>
      <c r="L245" s="62"/>
      <c r="M245" s="62"/>
      <c r="N245" s="1282" t="s">
        <v>322</v>
      </c>
      <c r="O245" s="837" t="s">
        <v>314</v>
      </c>
      <c r="P245" s="837" t="s">
        <v>326</v>
      </c>
      <c r="Q245" s="649" t="s">
        <v>326</v>
      </c>
      <c r="R245" s="524" t="s">
        <v>326</v>
      </c>
      <c r="V245" s="1" t="s">
        <v>347</v>
      </c>
    </row>
    <row r="246" spans="1:22" ht="18" customHeight="1" x14ac:dyDescent="0.2">
      <c r="A246" s="1632"/>
      <c r="B246" s="1633"/>
      <c r="C246" s="1944"/>
      <c r="D246" s="1666"/>
      <c r="E246" s="529"/>
      <c r="F246" s="1718"/>
      <c r="G246" s="1634"/>
      <c r="H246" s="295"/>
      <c r="I246" s="62"/>
      <c r="J246" s="62"/>
      <c r="K246" s="62"/>
      <c r="L246" s="62"/>
      <c r="M246" s="62"/>
      <c r="N246" s="1231" t="s">
        <v>318</v>
      </c>
      <c r="O246" s="37"/>
      <c r="P246" s="37" t="s">
        <v>339</v>
      </c>
      <c r="Q246" s="37" t="s">
        <v>339</v>
      </c>
      <c r="R246" s="332" t="s">
        <v>339</v>
      </c>
    </row>
    <row r="247" spans="1:22" ht="21.75" customHeight="1" x14ac:dyDescent="0.2">
      <c r="A247" s="1632"/>
      <c r="B247" s="1633"/>
      <c r="C247" s="1944"/>
      <c r="D247" s="1666"/>
      <c r="E247" s="1081"/>
      <c r="F247" s="1718"/>
      <c r="G247" s="1634"/>
      <c r="H247" s="295"/>
      <c r="I247" s="62"/>
      <c r="J247" s="62"/>
      <c r="K247" s="62"/>
      <c r="L247" s="62"/>
      <c r="M247" s="62"/>
      <c r="N247" s="1805" t="s">
        <v>323</v>
      </c>
      <c r="O247" s="367"/>
      <c r="P247" s="367" t="s">
        <v>312</v>
      </c>
      <c r="Q247" s="1059"/>
      <c r="R247" s="439"/>
    </row>
    <row r="248" spans="1:22" ht="11.25" customHeight="1" x14ac:dyDescent="0.2">
      <c r="A248" s="1632"/>
      <c r="B248" s="1633"/>
      <c r="C248" s="1944"/>
      <c r="D248" s="1666"/>
      <c r="E248" s="1081"/>
      <c r="F248" s="1718"/>
      <c r="G248" s="1634"/>
      <c r="H248" s="295"/>
      <c r="I248" s="62"/>
      <c r="J248" s="62"/>
      <c r="K248" s="62"/>
      <c r="L248" s="62"/>
      <c r="M248" s="62"/>
      <c r="N248" s="1915"/>
      <c r="O248" s="837"/>
      <c r="P248" s="837"/>
      <c r="Q248" s="838"/>
      <c r="R248" s="524"/>
    </row>
    <row r="249" spans="1:22" ht="43.5" customHeight="1" x14ac:dyDescent="0.2">
      <c r="A249" s="1632"/>
      <c r="B249" s="1633"/>
      <c r="C249" s="1944"/>
      <c r="D249" s="1666"/>
      <c r="E249" s="529"/>
      <c r="F249" s="1718"/>
      <c r="G249" s="1634"/>
      <c r="H249" s="295"/>
      <c r="I249" s="62"/>
      <c r="J249" s="62"/>
      <c r="K249" s="62"/>
      <c r="L249" s="62"/>
      <c r="M249" s="62"/>
      <c r="N249" s="1282" t="s">
        <v>324</v>
      </c>
      <c r="O249" s="837"/>
      <c r="P249" s="837" t="s">
        <v>313</v>
      </c>
      <c r="Q249" s="838"/>
      <c r="R249" s="524"/>
    </row>
    <row r="250" spans="1:22" ht="30.75" customHeight="1" x14ac:dyDescent="0.2">
      <c r="A250" s="1632"/>
      <c r="B250" s="1633"/>
      <c r="C250" s="1944"/>
      <c r="D250" s="1666"/>
      <c r="E250" s="1081"/>
      <c r="F250" s="1718"/>
      <c r="G250" s="1634"/>
      <c r="H250" s="295"/>
      <c r="I250" s="67"/>
      <c r="J250" s="67"/>
      <c r="K250" s="67"/>
      <c r="L250" s="67"/>
      <c r="M250" s="67"/>
      <c r="N250" s="1608" t="s">
        <v>376</v>
      </c>
      <c r="O250" s="837"/>
      <c r="P250" s="837" t="s">
        <v>55</v>
      </c>
      <c r="Q250" s="838"/>
      <c r="R250" s="524"/>
    </row>
    <row r="251" spans="1:22" ht="21.75" customHeight="1" x14ac:dyDescent="0.2">
      <c r="A251" s="1632"/>
      <c r="B251" s="1633"/>
      <c r="C251" s="1944"/>
      <c r="D251" s="1666"/>
      <c r="E251" s="407"/>
      <c r="F251" s="1718"/>
      <c r="G251" s="1634"/>
      <c r="H251" s="295"/>
      <c r="I251" s="62" t="s">
        <v>25</v>
      </c>
      <c r="J251" s="62">
        <v>227.9</v>
      </c>
      <c r="K251" s="62"/>
      <c r="L251" s="62"/>
      <c r="M251" s="62"/>
      <c r="N251" s="1716" t="s">
        <v>161</v>
      </c>
      <c r="O251" s="1978">
        <v>100</v>
      </c>
      <c r="P251" s="1976"/>
      <c r="Q251" s="1974"/>
      <c r="R251" s="1972"/>
    </row>
    <row r="252" spans="1:22" ht="19.5" customHeight="1" x14ac:dyDescent="0.2">
      <c r="A252" s="1632"/>
      <c r="B252" s="1633"/>
      <c r="C252" s="1944"/>
      <c r="D252" s="1928"/>
      <c r="E252" s="142"/>
      <c r="F252" s="1981"/>
      <c r="G252" s="1634"/>
      <c r="H252" s="295"/>
      <c r="I252" s="61" t="s">
        <v>60</v>
      </c>
      <c r="J252" s="1182">
        <v>67</v>
      </c>
      <c r="K252" s="1182"/>
      <c r="L252" s="1182"/>
      <c r="M252" s="1182"/>
      <c r="N252" s="1953"/>
      <c r="O252" s="1977"/>
      <c r="P252" s="1977"/>
      <c r="Q252" s="1975"/>
      <c r="R252" s="1973"/>
    </row>
    <row r="253" spans="1:22" ht="22.5" customHeight="1" x14ac:dyDescent="0.2">
      <c r="A253" s="399"/>
      <c r="B253" s="400"/>
      <c r="C253" s="402"/>
      <c r="D253" s="408" t="s">
        <v>34</v>
      </c>
      <c r="E253" s="1669" t="s">
        <v>104</v>
      </c>
      <c r="F253" s="406"/>
      <c r="G253" s="404"/>
      <c r="H253" s="401"/>
      <c r="I253" s="62" t="s">
        <v>25</v>
      </c>
      <c r="J253" s="62">
        <f>1000-300+383</f>
        <v>1083</v>
      </c>
      <c r="K253" s="62">
        <f>631-100</f>
        <v>531</v>
      </c>
      <c r="L253" s="62">
        <v>543.70000000000005</v>
      </c>
      <c r="M253" s="62">
        <v>300</v>
      </c>
      <c r="N253" s="1716" t="s">
        <v>153</v>
      </c>
      <c r="O253" s="316">
        <v>20</v>
      </c>
      <c r="P253" s="1058">
        <v>14</v>
      </c>
      <c r="Q253" s="428">
        <v>12</v>
      </c>
      <c r="R253" s="1057">
        <v>6</v>
      </c>
    </row>
    <row r="254" spans="1:22" ht="16.5" customHeight="1" x14ac:dyDescent="0.2">
      <c r="A254" s="233"/>
      <c r="B254" s="235"/>
      <c r="C254" s="351"/>
      <c r="D254" s="290"/>
      <c r="E254" s="1982"/>
      <c r="F254" s="141"/>
      <c r="G254" s="706"/>
      <c r="H254" s="714"/>
      <c r="I254" s="61" t="s">
        <v>60</v>
      </c>
      <c r="J254" s="1182"/>
      <c r="K254" s="1182">
        <v>61.7</v>
      </c>
      <c r="L254" s="1182"/>
      <c r="M254" s="1182"/>
      <c r="N254" s="1717"/>
      <c r="O254" s="20"/>
      <c r="P254" s="20"/>
      <c r="Q254" s="301"/>
      <c r="R254" s="21"/>
    </row>
    <row r="255" spans="1:22" ht="15.75" customHeight="1" x14ac:dyDescent="0.2">
      <c r="A255" s="240"/>
      <c r="B255" s="235"/>
      <c r="C255" s="362"/>
      <c r="D255" s="816" t="s">
        <v>35</v>
      </c>
      <c r="E255" s="1625" t="s">
        <v>39</v>
      </c>
      <c r="F255" s="806"/>
      <c r="G255" s="275"/>
      <c r="H255" s="293"/>
      <c r="I255" s="58" t="s">
        <v>100</v>
      </c>
      <c r="J255" s="62">
        <v>20</v>
      </c>
      <c r="K255" s="62">
        <v>70</v>
      </c>
      <c r="L255" s="62">
        <v>70</v>
      </c>
      <c r="M255" s="62">
        <v>70</v>
      </c>
      <c r="N255" s="1117" t="s">
        <v>295</v>
      </c>
      <c r="O255" s="927">
        <v>14</v>
      </c>
      <c r="P255" s="234">
        <v>14</v>
      </c>
      <c r="Q255" s="712">
        <v>14</v>
      </c>
      <c r="R255" s="730">
        <v>14</v>
      </c>
    </row>
    <row r="256" spans="1:22" ht="13.5" customHeight="1" x14ac:dyDescent="0.2">
      <c r="A256" s="412"/>
      <c r="B256" s="400"/>
      <c r="C256" s="403"/>
      <c r="D256" s="208"/>
      <c r="E256" s="1631"/>
      <c r="F256" s="807"/>
      <c r="G256" s="404"/>
      <c r="H256" s="497"/>
      <c r="I256" s="62" t="s">
        <v>25</v>
      </c>
      <c r="J256" s="62">
        <f>14+42.7+50-24</f>
        <v>82.7</v>
      </c>
      <c r="K256" s="62">
        <f>50+43</f>
        <v>93</v>
      </c>
      <c r="L256" s="62">
        <v>80</v>
      </c>
      <c r="M256" s="83">
        <v>80</v>
      </c>
      <c r="N256" s="1110"/>
      <c r="O256" s="942"/>
      <c r="P256" s="942"/>
      <c r="Q256" s="300"/>
      <c r="R256" s="710"/>
    </row>
    <row r="257" spans="1:20" ht="16.5" customHeight="1" x14ac:dyDescent="0.2">
      <c r="A257" s="240"/>
      <c r="B257" s="235"/>
      <c r="C257" s="362"/>
      <c r="D257" s="94"/>
      <c r="E257" s="1626"/>
      <c r="F257" s="810"/>
      <c r="G257" s="275"/>
      <c r="H257" s="287"/>
      <c r="I257" s="61" t="s">
        <v>60</v>
      </c>
      <c r="J257" s="1182">
        <v>6</v>
      </c>
      <c r="K257" s="1182">
        <f>30+5</f>
        <v>35</v>
      </c>
      <c r="L257" s="1182"/>
      <c r="M257" s="86"/>
      <c r="N257" s="1231"/>
      <c r="O257" s="1283"/>
      <c r="P257" s="20"/>
      <c r="Q257" s="301"/>
      <c r="R257" s="21"/>
    </row>
    <row r="258" spans="1:20" ht="15" customHeight="1" x14ac:dyDescent="0.2">
      <c r="A258" s="931"/>
      <c r="B258" s="929"/>
      <c r="C258" s="403"/>
      <c r="D258" s="1927" t="s">
        <v>36</v>
      </c>
      <c r="E258" s="1979" t="s">
        <v>258</v>
      </c>
      <c r="F258" s="937"/>
      <c r="G258" s="930"/>
      <c r="H258" s="941"/>
      <c r="I258" s="1177" t="s">
        <v>25</v>
      </c>
      <c r="J258" s="1181"/>
      <c r="K258" s="1181"/>
      <c r="L258" s="1181"/>
      <c r="M258" s="1181"/>
      <c r="N258" s="896" t="s">
        <v>93</v>
      </c>
      <c r="O258" s="27"/>
      <c r="P258" s="682">
        <v>1</v>
      </c>
      <c r="Q258" s="300"/>
      <c r="R258" s="1263"/>
    </row>
    <row r="259" spans="1:20" ht="27.75" customHeight="1" x14ac:dyDescent="0.2">
      <c r="A259" s="931"/>
      <c r="B259" s="929"/>
      <c r="C259" s="939"/>
      <c r="D259" s="1928"/>
      <c r="E259" s="1980"/>
      <c r="F259" s="937"/>
      <c r="G259" s="930"/>
      <c r="H259" s="961"/>
      <c r="I259" s="1178" t="s">
        <v>100</v>
      </c>
      <c r="J259" s="1182"/>
      <c r="K259" s="1182">
        <v>15</v>
      </c>
      <c r="L259" s="1182">
        <v>63</v>
      </c>
      <c r="M259" s="1182"/>
      <c r="N259" s="475" t="s">
        <v>274</v>
      </c>
      <c r="O259" s="902"/>
      <c r="P259" s="903"/>
      <c r="Q259" s="904">
        <v>100</v>
      </c>
      <c r="R259" s="906"/>
    </row>
    <row r="260" spans="1:20" ht="17.25" customHeight="1" x14ac:dyDescent="0.2">
      <c r="A260" s="966"/>
      <c r="B260" s="964"/>
      <c r="C260" s="972"/>
      <c r="D260" s="969" t="s">
        <v>201</v>
      </c>
      <c r="E260" s="967" t="s">
        <v>294</v>
      </c>
      <c r="F260" s="135"/>
      <c r="G260" s="965"/>
      <c r="H260" s="971"/>
      <c r="I260" s="978" t="s">
        <v>100</v>
      </c>
      <c r="J260" s="788"/>
      <c r="K260" s="75"/>
      <c r="L260" s="979">
        <v>5</v>
      </c>
      <c r="M260" s="1181">
        <v>10</v>
      </c>
      <c r="N260" s="980" t="s">
        <v>46</v>
      </c>
      <c r="O260" s="981"/>
      <c r="P260" s="507"/>
      <c r="Q260" s="507">
        <v>1</v>
      </c>
      <c r="R260" s="195">
        <v>2</v>
      </c>
    </row>
    <row r="261" spans="1:20" ht="26.25" customHeight="1" x14ac:dyDescent="0.2">
      <c r="A261" s="959"/>
      <c r="B261" s="960"/>
      <c r="C261" s="962"/>
      <c r="D261" s="359"/>
      <c r="E261" s="983" t="s">
        <v>292</v>
      </c>
      <c r="F261" s="1627"/>
      <c r="G261" s="1629"/>
      <c r="H261" s="976"/>
      <c r="I261" s="974"/>
      <c r="J261" s="324"/>
      <c r="K261" s="64"/>
      <c r="L261" s="99"/>
      <c r="M261" s="62"/>
      <c r="N261" s="474" t="s">
        <v>290</v>
      </c>
      <c r="O261" s="791"/>
      <c r="P261" s="791"/>
      <c r="Q261" s="791"/>
      <c r="R261" s="318"/>
    </row>
    <row r="262" spans="1:20" ht="17.25" customHeight="1" x14ac:dyDescent="0.2">
      <c r="A262" s="968"/>
      <c r="B262" s="970"/>
      <c r="C262" s="973"/>
      <c r="D262" s="359"/>
      <c r="E262" s="983" t="s">
        <v>291</v>
      </c>
      <c r="F262" s="1627"/>
      <c r="G262" s="1629"/>
      <c r="H262" s="976"/>
      <c r="I262" s="974"/>
      <c r="J262" s="1411"/>
      <c r="K262" s="64"/>
      <c r="L262" s="99"/>
      <c r="M262" s="62"/>
      <c r="N262" s="474"/>
      <c r="O262" s="791"/>
      <c r="P262" s="791"/>
      <c r="Q262" s="791"/>
      <c r="R262" s="318"/>
    </row>
    <row r="263" spans="1:20" ht="15.75" customHeight="1" x14ac:dyDescent="0.2">
      <c r="A263" s="968"/>
      <c r="B263" s="970"/>
      <c r="C263" s="973"/>
      <c r="D263" s="359"/>
      <c r="E263" s="963" t="s">
        <v>293</v>
      </c>
      <c r="F263" s="1628"/>
      <c r="G263" s="1630"/>
      <c r="H263" s="977"/>
      <c r="I263" s="975"/>
      <c r="J263" s="124"/>
      <c r="K263" s="1178"/>
      <c r="L263" s="147"/>
      <c r="M263" s="1182"/>
      <c r="N263" s="475"/>
      <c r="O263" s="1261"/>
      <c r="P263" s="791"/>
      <c r="Q263" s="380"/>
      <c r="R263" s="318"/>
    </row>
    <row r="264" spans="1:20" ht="13.5" customHeight="1" x14ac:dyDescent="0.2">
      <c r="A264" s="1205"/>
      <c r="B264" s="1203"/>
      <c r="C264" s="357"/>
      <c r="D264" s="1927" t="s">
        <v>338</v>
      </c>
      <c r="E264" s="1625" t="s">
        <v>329</v>
      </c>
      <c r="F264" s="1086" t="s">
        <v>47</v>
      </c>
      <c r="G264" s="1202"/>
      <c r="H264" s="1207"/>
      <c r="I264" s="1184" t="s">
        <v>100</v>
      </c>
      <c r="J264" s="1181"/>
      <c r="K264" s="1181">
        <v>20</v>
      </c>
      <c r="L264" s="1181">
        <v>100</v>
      </c>
      <c r="M264" s="1181">
        <v>200</v>
      </c>
      <c r="N264" s="896" t="s">
        <v>93</v>
      </c>
      <c r="O264" s="897"/>
      <c r="P264" s="898">
        <v>1</v>
      </c>
      <c r="Q264" s="899"/>
      <c r="R264" s="900"/>
    </row>
    <row r="265" spans="1:20" ht="25.5" customHeight="1" x14ac:dyDescent="0.2">
      <c r="A265" s="1205"/>
      <c r="B265" s="1203"/>
      <c r="C265" s="357"/>
      <c r="D265" s="1928"/>
      <c r="E265" s="1626"/>
      <c r="F265" s="505"/>
      <c r="G265" s="1208"/>
      <c r="H265" s="945"/>
      <c r="I265" s="1185"/>
      <c r="J265" s="1182"/>
      <c r="K265" s="1182"/>
      <c r="L265" s="1182"/>
      <c r="M265" s="1182"/>
      <c r="N265" s="475" t="s">
        <v>309</v>
      </c>
      <c r="O265" s="902"/>
      <c r="P265" s="903"/>
      <c r="Q265" s="1087">
        <v>20</v>
      </c>
      <c r="R265" s="905">
        <v>100</v>
      </c>
      <c r="T265" s="50"/>
    </row>
    <row r="266" spans="1:20" ht="14.25" customHeight="1" thickBot="1" x14ac:dyDescent="0.25">
      <c r="A266" s="68"/>
      <c r="B266" s="239"/>
      <c r="C266" s="175"/>
      <c r="D266" s="263"/>
      <c r="E266" s="364"/>
      <c r="F266" s="365"/>
      <c r="G266" s="175"/>
      <c r="H266" s="336"/>
      <c r="I266" s="133" t="s">
        <v>6</v>
      </c>
      <c r="J266" s="196">
        <f>SUM(J212:J265)</f>
        <v>6031.3</v>
      </c>
      <c r="K266" s="196">
        <f>SUM(K212:K265)</f>
        <v>3683.8</v>
      </c>
      <c r="L266" s="196">
        <f t="shared" ref="L266:M266" si="3">SUM(L212:L265)</f>
        <v>3635.8</v>
      </c>
      <c r="M266" s="196">
        <f t="shared" si="3"/>
        <v>3748.4</v>
      </c>
      <c r="N266" s="366"/>
      <c r="O266" s="982"/>
      <c r="P266" s="355"/>
      <c r="Q266" s="355"/>
      <c r="R266" s="356"/>
    </row>
    <row r="267" spans="1:20" ht="26.25" customHeight="1" x14ac:dyDescent="0.2">
      <c r="A267" s="240" t="s">
        <v>5</v>
      </c>
      <c r="B267" s="235" t="s">
        <v>33</v>
      </c>
      <c r="C267" s="209" t="s">
        <v>7</v>
      </c>
      <c r="D267" s="1634"/>
      <c r="E267" s="1952" t="s">
        <v>138</v>
      </c>
      <c r="F267" s="1677" t="s">
        <v>47</v>
      </c>
      <c r="G267" s="1679" t="s">
        <v>43</v>
      </c>
      <c r="H267" s="1950" t="s">
        <v>117</v>
      </c>
      <c r="I267" s="62" t="s">
        <v>25</v>
      </c>
      <c r="J267" s="83">
        <f>100-30-34-10.2</f>
        <v>25.8</v>
      </c>
      <c r="K267" s="62"/>
      <c r="L267" s="62">
        <v>111</v>
      </c>
      <c r="M267" s="62">
        <v>199.3</v>
      </c>
      <c r="N267" s="500" t="s">
        <v>147</v>
      </c>
      <c r="O267" s="190"/>
      <c r="P267" s="190"/>
      <c r="Q267" s="460">
        <v>1</v>
      </c>
      <c r="R267" s="461"/>
    </row>
    <row r="268" spans="1:20" ht="26.25" customHeight="1" x14ac:dyDescent="0.2">
      <c r="A268" s="499"/>
      <c r="B268" s="498"/>
      <c r="C268" s="209"/>
      <c r="D268" s="1634"/>
      <c r="E268" s="1631"/>
      <c r="F268" s="1677"/>
      <c r="G268" s="1679"/>
      <c r="H268" s="1951"/>
      <c r="I268" s="62" t="s">
        <v>60</v>
      </c>
      <c r="J268" s="83">
        <v>64</v>
      </c>
      <c r="K268" s="62">
        <v>83.9</v>
      </c>
      <c r="L268" s="62"/>
      <c r="M268" s="62"/>
      <c r="N268" s="85" t="s">
        <v>229</v>
      </c>
      <c r="O268" s="25">
        <v>50</v>
      </c>
      <c r="P268" s="25">
        <v>100</v>
      </c>
      <c r="Q268" s="309"/>
      <c r="R268" s="26"/>
    </row>
    <row r="269" spans="1:20" ht="26.25" customHeight="1" x14ac:dyDescent="0.2">
      <c r="A269" s="1107"/>
      <c r="B269" s="1105"/>
      <c r="C269" s="209"/>
      <c r="D269" s="1106"/>
      <c r="E269" s="1631"/>
      <c r="F269" s="1677"/>
      <c r="G269" s="1680"/>
      <c r="H269" s="1951"/>
      <c r="I269" s="1136"/>
      <c r="J269" s="86"/>
      <c r="K269" s="1136"/>
      <c r="L269" s="1136"/>
      <c r="M269" s="1136"/>
      <c r="N269" s="1125" t="s">
        <v>142</v>
      </c>
      <c r="O269" s="367"/>
      <c r="P269" s="367"/>
      <c r="Q269" s="1164">
        <v>30</v>
      </c>
      <c r="R269" s="195">
        <v>100</v>
      </c>
    </row>
    <row r="270" spans="1:20" ht="17.25" customHeight="1" thickBot="1" x14ac:dyDescent="0.25">
      <c r="A270" s="68"/>
      <c r="B270" s="239"/>
      <c r="C270" s="95"/>
      <c r="D270" s="100"/>
      <c r="E270" s="1676"/>
      <c r="F270" s="1678"/>
      <c r="G270" s="1681"/>
      <c r="H270" s="1943"/>
      <c r="I270" s="133" t="s">
        <v>6</v>
      </c>
      <c r="J270" s="196">
        <f>SUM(J267:J268)</f>
        <v>89.8</v>
      </c>
      <c r="K270" s="133">
        <f>SUM(K267:K268)</f>
        <v>83.9</v>
      </c>
      <c r="L270" s="133">
        <f>SUM(L267:L268)</f>
        <v>111</v>
      </c>
      <c r="M270" s="133">
        <f>SUM(M267:M268)</f>
        <v>199.3</v>
      </c>
      <c r="N270" s="834"/>
      <c r="O270" s="189"/>
      <c r="P270" s="189"/>
      <c r="Q270" s="642"/>
      <c r="R270" s="674"/>
    </row>
    <row r="271" spans="1:20" ht="14.25" customHeight="1" thickBot="1" x14ac:dyDescent="0.25">
      <c r="A271" s="68" t="s">
        <v>5</v>
      </c>
      <c r="B271" s="239" t="s">
        <v>33</v>
      </c>
      <c r="C271" s="1682" t="s">
        <v>8</v>
      </c>
      <c r="D271" s="1682"/>
      <c r="E271" s="1682"/>
      <c r="F271" s="1682"/>
      <c r="G271" s="1682"/>
      <c r="H271" s="1682"/>
      <c r="I271" s="1683"/>
      <c r="J271" s="668">
        <f>J270+J266</f>
        <v>6121.1</v>
      </c>
      <c r="K271" s="610">
        <f>K270+K266</f>
        <v>3767.7</v>
      </c>
      <c r="L271" s="610">
        <f>L270+L266</f>
        <v>3746.8</v>
      </c>
      <c r="M271" s="610">
        <f>M270+M266</f>
        <v>3947.7</v>
      </c>
      <c r="N271" s="1719"/>
      <c r="O271" s="1719"/>
      <c r="P271" s="1719"/>
      <c r="Q271" s="1719"/>
      <c r="R271" s="1720"/>
    </row>
    <row r="272" spans="1:20" ht="14.25" customHeight="1" thickBot="1" x14ac:dyDescent="0.25">
      <c r="A272" s="90" t="s">
        <v>5</v>
      </c>
      <c r="B272" s="1721" t="s">
        <v>9</v>
      </c>
      <c r="C272" s="1722"/>
      <c r="D272" s="1722"/>
      <c r="E272" s="1722"/>
      <c r="F272" s="1722"/>
      <c r="G272" s="1722"/>
      <c r="H272" s="1722"/>
      <c r="I272" s="1723"/>
      <c r="J272" s="68">
        <f>J271+J209+J158+J111</f>
        <v>28292.799999999999</v>
      </c>
      <c r="K272" s="137">
        <f>K271+K209+K158+K111</f>
        <v>27558.6</v>
      </c>
      <c r="L272" s="137">
        <f>L271+L209+L158+L111</f>
        <v>33927.599999999999</v>
      </c>
      <c r="M272" s="137">
        <f>M271+M209+M158+M111</f>
        <v>27569.599999999999</v>
      </c>
      <c r="N272" s="1724"/>
      <c r="O272" s="1724"/>
      <c r="P272" s="1724"/>
      <c r="Q272" s="1724"/>
      <c r="R272" s="1725"/>
    </row>
    <row r="273" spans="1:18" ht="14.25" customHeight="1" thickBot="1" x14ac:dyDescent="0.25">
      <c r="A273" s="101" t="s">
        <v>35</v>
      </c>
      <c r="B273" s="1652" t="s">
        <v>57</v>
      </c>
      <c r="C273" s="1653"/>
      <c r="D273" s="1653"/>
      <c r="E273" s="1653"/>
      <c r="F273" s="1653"/>
      <c r="G273" s="1653"/>
      <c r="H273" s="1653"/>
      <c r="I273" s="1654"/>
      <c r="J273" s="671">
        <f t="shared" ref="J273:M273" si="4">SUM(J272)</f>
        <v>28292.799999999999</v>
      </c>
      <c r="K273" s="138">
        <f>SUM(K272)</f>
        <v>27558.6</v>
      </c>
      <c r="L273" s="138">
        <f>SUM(L272)</f>
        <v>33927.599999999999</v>
      </c>
      <c r="M273" s="138">
        <f t="shared" si="4"/>
        <v>27569.599999999999</v>
      </c>
      <c r="N273" s="1674"/>
      <c r="O273" s="1674"/>
      <c r="P273" s="1674"/>
      <c r="Q273" s="1674"/>
      <c r="R273" s="1675"/>
    </row>
    <row r="274" spans="1:18" s="5" customFormat="1" ht="17.25" customHeight="1" x14ac:dyDescent="0.2">
      <c r="A274" s="1954" t="s">
        <v>302</v>
      </c>
      <c r="B274" s="1955"/>
      <c r="C274" s="1955"/>
      <c r="D274" s="1955"/>
      <c r="E274" s="1955"/>
      <c r="F274" s="1955"/>
      <c r="G274" s="1955"/>
      <c r="H274" s="1955"/>
      <c r="I274" s="1955"/>
      <c r="J274" s="1955"/>
      <c r="K274" s="1955"/>
      <c r="L274" s="1955"/>
      <c r="M274" s="1955"/>
      <c r="N274" s="776"/>
      <c r="O274" s="776"/>
      <c r="P274" s="776"/>
      <c r="Q274" s="776"/>
      <c r="R274" s="776"/>
    </row>
    <row r="275" spans="1:18" s="4" customFormat="1" ht="12" customHeight="1" x14ac:dyDescent="0.2">
      <c r="A275" s="776"/>
      <c r="B275" s="698"/>
      <c r="C275" s="698"/>
      <c r="D275" s="698"/>
      <c r="E275" s="698"/>
      <c r="F275" s="698"/>
      <c r="G275" s="698"/>
      <c r="H275" s="698"/>
      <c r="I275" s="698"/>
      <c r="J275" s="698"/>
      <c r="K275" s="698"/>
      <c r="L275" s="698"/>
      <c r="M275" s="698"/>
      <c r="N275" s="698"/>
      <c r="O275" s="776"/>
      <c r="P275" s="776"/>
      <c r="Q275" s="776"/>
      <c r="R275" s="776"/>
    </row>
    <row r="276" spans="1:18" s="5" customFormat="1" ht="15" customHeight="1" thickBot="1" x14ac:dyDescent="0.25">
      <c r="A276" s="1644" t="s">
        <v>13</v>
      </c>
      <c r="B276" s="1644"/>
      <c r="C276" s="1644"/>
      <c r="D276" s="1644"/>
      <c r="E276" s="1644"/>
      <c r="F276" s="1644"/>
      <c r="G276" s="1644"/>
      <c r="H276" s="1644"/>
      <c r="I276" s="1644"/>
      <c r="J276" s="148"/>
      <c r="K276" s="148"/>
      <c r="L276" s="148"/>
      <c r="M276" s="148"/>
      <c r="N276" s="102"/>
      <c r="O276" s="102"/>
      <c r="P276" s="102"/>
      <c r="Q276" s="102"/>
      <c r="R276" s="102"/>
    </row>
    <row r="277" spans="1:18" ht="62.25" customHeight="1" thickBot="1" x14ac:dyDescent="0.25">
      <c r="A277" s="1645" t="s">
        <v>10</v>
      </c>
      <c r="B277" s="1646"/>
      <c r="C277" s="1646"/>
      <c r="D277" s="1646"/>
      <c r="E277" s="1646"/>
      <c r="F277" s="1646"/>
      <c r="G277" s="1646"/>
      <c r="H277" s="1646"/>
      <c r="I277" s="1647"/>
      <c r="J277" s="723" t="s">
        <v>241</v>
      </c>
      <c r="K277" s="723" t="s">
        <v>251</v>
      </c>
      <c r="L277" s="747" t="s">
        <v>167</v>
      </c>
      <c r="M277" s="747" t="s">
        <v>247</v>
      </c>
      <c r="N277" s="14"/>
      <c r="O277" s="14"/>
      <c r="P277" s="14"/>
      <c r="Q277" s="14"/>
      <c r="R277" s="14"/>
    </row>
    <row r="278" spans="1:18" ht="14.25" customHeight="1" x14ac:dyDescent="0.2">
      <c r="A278" s="1648" t="s">
        <v>14</v>
      </c>
      <c r="B278" s="1649"/>
      <c r="C278" s="1649"/>
      <c r="D278" s="1649"/>
      <c r="E278" s="1649"/>
      <c r="F278" s="1649"/>
      <c r="G278" s="1649"/>
      <c r="H278" s="1649"/>
      <c r="I278" s="1650"/>
      <c r="J278" s="724">
        <f>J279+J287+J288+J289+J286</f>
        <v>26015.5</v>
      </c>
      <c r="K278" s="724">
        <f t="shared" ref="K278" si="5">K279+K287+K288+K289+K286</f>
        <v>24850.7</v>
      </c>
      <c r="L278" s="724">
        <f t="shared" ref="L278" si="6">L279+L287+L288+L289+L286</f>
        <v>15639.6</v>
      </c>
      <c r="M278" s="1171">
        <f t="shared" ref="M278" si="7">M279+M287+M288+M289+M286</f>
        <v>16160.8</v>
      </c>
      <c r="N278" s="14"/>
      <c r="O278" s="14"/>
      <c r="P278" s="14"/>
      <c r="Q278" s="14"/>
      <c r="R278" s="14"/>
    </row>
    <row r="279" spans="1:18" ht="14.25" customHeight="1" x14ac:dyDescent="0.2">
      <c r="A279" s="1619" t="s">
        <v>92</v>
      </c>
      <c r="B279" s="1620"/>
      <c r="C279" s="1620"/>
      <c r="D279" s="1620"/>
      <c r="E279" s="1620"/>
      <c r="F279" s="1620"/>
      <c r="G279" s="1620"/>
      <c r="H279" s="1620"/>
      <c r="I279" s="1621"/>
      <c r="J279" s="725">
        <f>SUM(J280:J285)</f>
        <v>18063.2</v>
      </c>
      <c r="K279" s="725">
        <f>SUM(K280:K285)</f>
        <v>17657.5</v>
      </c>
      <c r="L279" s="725">
        <f t="shared" ref="L279:M279" si="8">SUM(L280:L285)</f>
        <v>11023.1</v>
      </c>
      <c r="M279" s="1170">
        <f t="shared" si="8"/>
        <v>11414.1</v>
      </c>
      <c r="N279" s="14"/>
      <c r="O279" s="14"/>
      <c r="P279" s="14"/>
      <c r="Q279" s="14"/>
      <c r="R279" s="14"/>
    </row>
    <row r="280" spans="1:18" ht="14.25" customHeight="1" x14ac:dyDescent="0.2">
      <c r="A280" s="1622" t="s">
        <v>19</v>
      </c>
      <c r="B280" s="1623"/>
      <c r="C280" s="1623"/>
      <c r="D280" s="1623"/>
      <c r="E280" s="1623"/>
      <c r="F280" s="1623"/>
      <c r="G280" s="1623"/>
      <c r="H280" s="1623"/>
      <c r="I280" s="1624"/>
      <c r="J280" s="726">
        <f>SUMIF(I13:I273,"SB",J13:J273)</f>
        <v>10933.2</v>
      </c>
      <c r="K280" s="1147">
        <f>SUMIF(I13:I273,"SB",K13:K273)</f>
        <v>10056.9</v>
      </c>
      <c r="L280" s="1147">
        <f>SUMIF(I12:I273,"SB",L12:L273)</f>
        <v>9129.7000000000007</v>
      </c>
      <c r="M280" s="1147">
        <f>SUMIF(I12:I273,"SB",M12:M273)</f>
        <v>9598.7999999999993</v>
      </c>
      <c r="N280" s="14"/>
      <c r="O280" s="14"/>
      <c r="P280" s="14"/>
      <c r="Q280" s="14"/>
      <c r="R280" s="14"/>
    </row>
    <row r="281" spans="1:18" ht="14.25" customHeight="1" x14ac:dyDescent="0.2">
      <c r="A281" s="1616" t="s">
        <v>20</v>
      </c>
      <c r="B281" s="1617"/>
      <c r="C281" s="1617"/>
      <c r="D281" s="1617"/>
      <c r="E281" s="1617"/>
      <c r="F281" s="1617"/>
      <c r="G281" s="1617"/>
      <c r="H281" s="1617"/>
      <c r="I281" s="1618"/>
      <c r="J281" s="727">
        <f>SUMIF(I18:I273,"SB(P)",J18:J273)</f>
        <v>0</v>
      </c>
      <c r="K281" s="56">
        <f>SUMIF(I18:I273,"SB(P)",K18:K273)</f>
        <v>0</v>
      </c>
      <c r="L281" s="56">
        <f>SUMIF(I18:I273,"SB(P)",L18:L273)</f>
        <v>0</v>
      </c>
      <c r="M281" s="56">
        <f>SUMIF(I18:I273,"SB(P)",M18:M273)</f>
        <v>0</v>
      </c>
      <c r="N281" s="14"/>
      <c r="O281" s="14"/>
      <c r="P281" s="14"/>
      <c r="Q281" s="14"/>
      <c r="R281" s="14"/>
    </row>
    <row r="282" spans="1:18" ht="14.25" customHeight="1" x14ac:dyDescent="0.2">
      <c r="A282" s="1616" t="s">
        <v>69</v>
      </c>
      <c r="B282" s="1617"/>
      <c r="C282" s="1617"/>
      <c r="D282" s="1617"/>
      <c r="E282" s="1617"/>
      <c r="F282" s="1617"/>
      <c r="G282" s="1617"/>
      <c r="H282" s="1617"/>
      <c r="I282" s="1618"/>
      <c r="J282" s="726">
        <f>SUMIF(I18:I273,"SB(VR)",J18:J273)</f>
        <v>1506.4</v>
      </c>
      <c r="K282" s="1147">
        <f>SUMIF(I18:I273,"SB(VR)",K18:K273)</f>
        <v>1770.6</v>
      </c>
      <c r="L282" s="1182">
        <f>SUMIF(I18:I273,"SB(VR)",L18:L273)</f>
        <v>1770.6</v>
      </c>
      <c r="M282" s="1182">
        <f>SUMIF(I18:I273,"SB(VR)",M18:M273)</f>
        <v>1770.6</v>
      </c>
      <c r="N282" s="14"/>
      <c r="O282" s="14"/>
      <c r="P282" s="14"/>
      <c r="Q282" s="14"/>
      <c r="R282" s="14"/>
    </row>
    <row r="283" spans="1:18" ht="14.25" customHeight="1" x14ac:dyDescent="0.2">
      <c r="A283" s="1708" t="s">
        <v>160</v>
      </c>
      <c r="B283" s="1709"/>
      <c r="C283" s="1709"/>
      <c r="D283" s="1709"/>
      <c r="E283" s="1709"/>
      <c r="F283" s="1709"/>
      <c r="G283" s="1709"/>
      <c r="H283" s="1709"/>
      <c r="I283" s="1710"/>
      <c r="J283" s="727">
        <f>SUMIF(I13:I267,"SB(ES)",J13:J267)</f>
        <v>1624.5</v>
      </c>
      <c r="K283" s="56">
        <f>SUMIF(I13:I267,"SB(ES)",K13:K267)</f>
        <v>5830</v>
      </c>
      <c r="L283" s="56">
        <f>SUMIF(I13:I268,"SB(ES)",L13:L268)</f>
        <v>122.8</v>
      </c>
      <c r="M283" s="56">
        <f>SUMIF(I13:I267,"SB(ES)",M13:M267)</f>
        <v>0</v>
      </c>
      <c r="N283" s="14"/>
      <c r="O283" s="14"/>
      <c r="P283" s="14"/>
      <c r="Q283" s="14"/>
      <c r="R283" s="14"/>
    </row>
    <row r="284" spans="1:18" ht="14.25" customHeight="1" x14ac:dyDescent="0.2">
      <c r="A284" s="1708" t="s">
        <v>272</v>
      </c>
      <c r="B284" s="1709"/>
      <c r="C284" s="1709"/>
      <c r="D284" s="1709"/>
      <c r="E284" s="1709"/>
      <c r="F284" s="1709"/>
      <c r="G284" s="1709"/>
      <c r="H284" s="1709"/>
      <c r="I284" s="1710"/>
      <c r="J284" s="726">
        <f>SUMIF(I12:I273,"SB(VB)",J1:J273)</f>
        <v>0</v>
      </c>
      <c r="K284" s="56">
        <f>SUMIF(I18:I268,"SB(VB)",K18:K268)</f>
        <v>0</v>
      </c>
      <c r="L284" s="56">
        <f>SUMIF(I18:I269,"SB(VB)",L18:L269)</f>
        <v>0</v>
      </c>
      <c r="M284" s="56">
        <f>SUMIF(I18:I268,"SB(VB)",M18:M268)</f>
        <v>44.7</v>
      </c>
      <c r="N284" s="14"/>
      <c r="O284" s="14"/>
      <c r="P284" s="14"/>
      <c r="Q284" s="14"/>
      <c r="R284" s="14"/>
    </row>
    <row r="285" spans="1:18" ht="15.75" customHeight="1" x14ac:dyDescent="0.2">
      <c r="A285" s="1635" t="s">
        <v>333</v>
      </c>
      <c r="B285" s="1636"/>
      <c r="C285" s="1636"/>
      <c r="D285" s="1636"/>
      <c r="E285" s="1636"/>
      <c r="F285" s="1636"/>
      <c r="G285" s="1636"/>
      <c r="H285" s="1636"/>
      <c r="I285" s="1637"/>
      <c r="J285" s="726">
        <f>SUMIF(I21:I274,"SB(KPP)",J21:J274)</f>
        <v>3999.1</v>
      </c>
      <c r="K285" s="56">
        <f>SUMIF(I15:I274,"SB(KP)",K15:K274)</f>
        <v>0</v>
      </c>
      <c r="L285" s="56">
        <f>SUMIF(I15:I274,"SB(KP)",L15:L274)</f>
        <v>0</v>
      </c>
      <c r="M285" s="56">
        <f>SUMIF(I15:I274,"SB(KP)",M15:M274)</f>
        <v>0</v>
      </c>
      <c r="N285" s="14"/>
      <c r="O285" s="14"/>
      <c r="P285" s="14"/>
      <c r="Q285" s="14"/>
      <c r="R285" s="14"/>
    </row>
    <row r="286" spans="1:18" ht="15.75" customHeight="1" x14ac:dyDescent="0.2">
      <c r="A286" s="1638" t="s">
        <v>334</v>
      </c>
      <c r="B286" s="1639"/>
      <c r="C286" s="1639"/>
      <c r="D286" s="1639"/>
      <c r="E286" s="1639"/>
      <c r="F286" s="1639"/>
      <c r="G286" s="1639"/>
      <c r="H286" s="1639"/>
      <c r="I286" s="1640"/>
      <c r="J286" s="728">
        <v>0</v>
      </c>
      <c r="K286" s="266">
        <f>SUMIF(I12:I274,"SB(KPP)",K12:K274)</f>
        <v>4877.8</v>
      </c>
      <c r="L286" s="266">
        <f>SUMIF(I10:I273,"SB(KPP)",L10:L273)</f>
        <v>4616.5</v>
      </c>
      <c r="M286" s="266">
        <f>SUMIF(I12:I273,"SB(KPP)",M12:M273)</f>
        <v>4746.7</v>
      </c>
      <c r="N286" s="14"/>
      <c r="O286" s="14"/>
      <c r="P286" s="14"/>
      <c r="Q286" s="14"/>
      <c r="R286" s="14"/>
    </row>
    <row r="287" spans="1:18" ht="14.25" customHeight="1" x14ac:dyDescent="0.2">
      <c r="A287" s="1641" t="s">
        <v>97</v>
      </c>
      <c r="B287" s="1642"/>
      <c r="C287" s="1642"/>
      <c r="D287" s="1642"/>
      <c r="E287" s="1642"/>
      <c r="F287" s="1642"/>
      <c r="G287" s="1642"/>
      <c r="H287" s="1642"/>
      <c r="I287" s="1643"/>
      <c r="J287" s="728">
        <f>SUMIF(I18:I272,"SB(VRL)",J18:J272)</f>
        <v>768.9</v>
      </c>
      <c r="K287" s="266">
        <f>SUMIF(I18:I272,"SB(VRL)",K18:K272)</f>
        <v>761.9</v>
      </c>
      <c r="L287" s="266">
        <f>SUMIF(I18:I272,"SB(VRL)",L18:L272)</f>
        <v>0</v>
      </c>
      <c r="M287" s="266">
        <f>SUMIF(I18:I272,"SB(VRL)",M18:M272)</f>
        <v>0</v>
      </c>
      <c r="N287" s="14"/>
      <c r="O287" s="14"/>
      <c r="P287" s="14"/>
      <c r="Q287" s="14"/>
      <c r="R287" s="14"/>
    </row>
    <row r="288" spans="1:18" ht="14.25" customHeight="1" x14ac:dyDescent="0.2">
      <c r="A288" s="1638" t="s">
        <v>98</v>
      </c>
      <c r="B288" s="1642"/>
      <c r="C288" s="1642"/>
      <c r="D288" s="1642"/>
      <c r="E288" s="1642"/>
      <c r="F288" s="1642"/>
      <c r="G288" s="1642"/>
      <c r="H288" s="1642"/>
      <c r="I288" s="1643"/>
      <c r="J288" s="728">
        <f>SUMIF(I10:I273,"SB(ŽPL)",J10:J273)</f>
        <v>1527.4</v>
      </c>
      <c r="K288" s="266">
        <f>SUMIF(I18:I273,"SB(ŽPL)",K18:K273)</f>
        <v>480.6</v>
      </c>
      <c r="L288" s="266">
        <f>SUMIF(I18:I273,"SB(ŽPL)",L18:L273)</f>
        <v>0</v>
      </c>
      <c r="M288" s="266">
        <f>SUMIF(I18:I273,"SB(ŽPL)",M18:M273)</f>
        <v>0</v>
      </c>
      <c r="N288" s="14"/>
      <c r="O288" s="14"/>
      <c r="P288" s="14"/>
      <c r="Q288" s="14"/>
      <c r="R288" s="14"/>
    </row>
    <row r="289" spans="1:18" ht="14.25" customHeight="1" x14ac:dyDescent="0.2">
      <c r="A289" s="1702" t="s">
        <v>172</v>
      </c>
      <c r="B289" s="1703"/>
      <c r="C289" s="1703"/>
      <c r="D289" s="1703"/>
      <c r="E289" s="1703"/>
      <c r="F289" s="1703"/>
      <c r="G289" s="1703"/>
      <c r="H289" s="1703"/>
      <c r="I289" s="1704"/>
      <c r="J289" s="728">
        <f>SUMIF(I18:I273,"SB(L)",J18:J273)</f>
        <v>5656</v>
      </c>
      <c r="K289" s="266">
        <f>SUMIF(I18:I273,"SB(L)",K18:K273)</f>
        <v>1072.9000000000001</v>
      </c>
      <c r="L289" s="266">
        <f>SUMIF(I18:I273,"SB(L)",L18:L273)</f>
        <v>0</v>
      </c>
      <c r="M289" s="266">
        <f>SUMIF(I18:I271,"SB(L)",M18:M273)</f>
        <v>0</v>
      </c>
      <c r="N289" s="14"/>
      <c r="O289" s="14"/>
      <c r="P289" s="14"/>
      <c r="Q289" s="14"/>
      <c r="R289" s="14"/>
    </row>
    <row r="290" spans="1:18" ht="14.25" customHeight="1" x14ac:dyDescent="0.2">
      <c r="A290" s="1705" t="s">
        <v>15</v>
      </c>
      <c r="B290" s="1706"/>
      <c r="C290" s="1706"/>
      <c r="D290" s="1706"/>
      <c r="E290" s="1706"/>
      <c r="F290" s="1706"/>
      <c r="G290" s="1706"/>
      <c r="H290" s="1706"/>
      <c r="I290" s="1707"/>
      <c r="J290" s="729">
        <f>SUM(J291:J295)</f>
        <v>2277.3000000000002</v>
      </c>
      <c r="K290" s="267">
        <f>K293+K294+K295+K291+K292</f>
        <v>2707.9</v>
      </c>
      <c r="L290" s="267">
        <f>L293+L294+L295+L291+L292</f>
        <v>18288</v>
      </c>
      <c r="M290" s="267">
        <f t="shared" ref="M290" si="9">M293+M294+M295+M291+M292</f>
        <v>11408.8</v>
      </c>
      <c r="N290" s="14"/>
      <c r="O290" s="14"/>
      <c r="P290" s="14"/>
      <c r="Q290" s="14"/>
      <c r="R290" s="14"/>
    </row>
    <row r="291" spans="1:18" ht="14.25" customHeight="1" x14ac:dyDescent="0.2">
      <c r="A291" s="1708" t="s">
        <v>21</v>
      </c>
      <c r="B291" s="1709"/>
      <c r="C291" s="1709"/>
      <c r="D291" s="1709"/>
      <c r="E291" s="1709"/>
      <c r="F291" s="1709"/>
      <c r="G291" s="1709"/>
      <c r="H291" s="1709"/>
      <c r="I291" s="1710"/>
      <c r="J291" s="727">
        <f>SUMIF(I13:I273,"ES",J13:J273)</f>
        <v>579.5</v>
      </c>
      <c r="K291" s="56">
        <f>SUMIF(I13:I273,"ES",K13:K273)</f>
        <v>919.1</v>
      </c>
      <c r="L291" s="56">
        <f>SUMIF(I13:I273,"ES",L13:L273)</f>
        <v>1653</v>
      </c>
      <c r="M291" s="56">
        <f>SUMIF(I13:I273,"ES",M13:M273)</f>
        <v>1799.7</v>
      </c>
      <c r="N291" s="14"/>
      <c r="O291" s="14"/>
      <c r="P291" s="14"/>
      <c r="Q291" s="14"/>
      <c r="R291" s="14"/>
    </row>
    <row r="292" spans="1:18" ht="14.25" customHeight="1" x14ac:dyDescent="0.2">
      <c r="A292" s="1711" t="s">
        <v>332</v>
      </c>
      <c r="B292" s="1712"/>
      <c r="C292" s="1712"/>
      <c r="D292" s="1712"/>
      <c r="E292" s="1712"/>
      <c r="F292" s="1712"/>
      <c r="G292" s="1712"/>
      <c r="H292" s="1712"/>
      <c r="I292" s="1713"/>
      <c r="J292" s="727">
        <f>SUMIF(I12:I272,"KPP(VIP)",J12:J272)</f>
        <v>0</v>
      </c>
      <c r="K292" s="727">
        <f>SUMIF(I12:I272,"KPP(VIP)",K12:K272)</f>
        <v>0</v>
      </c>
      <c r="L292" s="727">
        <f>SUMIF(I12:I272,"KPP(VIP)",L12:L272)</f>
        <v>10000</v>
      </c>
      <c r="M292" s="1169">
        <f>SUMIF(I12:I272,"KPP(VIP)",M12:M272)</f>
        <v>0</v>
      </c>
      <c r="N292" s="14"/>
      <c r="O292" s="14"/>
      <c r="P292" s="14"/>
      <c r="Q292" s="14"/>
      <c r="R292" s="14"/>
    </row>
    <row r="293" spans="1:18" ht="14.25" customHeight="1" x14ac:dyDescent="0.2">
      <c r="A293" s="1711" t="s">
        <v>22</v>
      </c>
      <c r="B293" s="1712"/>
      <c r="C293" s="1712"/>
      <c r="D293" s="1712"/>
      <c r="E293" s="1712"/>
      <c r="F293" s="1712"/>
      <c r="G293" s="1712"/>
      <c r="H293" s="1712"/>
      <c r="I293" s="1713"/>
      <c r="J293" s="727">
        <f>SUMIF(I18:I273,"KVJUD",J18:J273)</f>
        <v>1593.4</v>
      </c>
      <c r="K293" s="56">
        <f>SUMIF(I18:I273,"KVJUD",K18:K273)</f>
        <v>1662.4</v>
      </c>
      <c r="L293" s="56">
        <f>SUMIF(I18:I273,"KVJUD",L18:L273)</f>
        <v>1500</v>
      </c>
      <c r="M293" s="56">
        <f>SUMIF(I18:I273,"KVJUD",M18:M273)</f>
        <v>1000</v>
      </c>
      <c r="N293" s="50"/>
      <c r="O293" s="50"/>
      <c r="P293" s="50"/>
      <c r="Q293" s="50"/>
      <c r="R293" s="50"/>
    </row>
    <row r="294" spans="1:18" ht="14.25" customHeight="1" x14ac:dyDescent="0.2">
      <c r="A294" s="1616" t="s">
        <v>23</v>
      </c>
      <c r="B294" s="1617"/>
      <c r="C294" s="1617"/>
      <c r="D294" s="1617"/>
      <c r="E294" s="1617"/>
      <c r="F294" s="1617"/>
      <c r="G294" s="1617"/>
      <c r="H294" s="1617"/>
      <c r="I294" s="1618"/>
      <c r="J294" s="727">
        <f>SUMIF(I18:I273,"LRVB",J18:J273)</f>
        <v>0</v>
      </c>
      <c r="K294" s="56">
        <f>SUMIF(I18:I273,"LRVB",K18:K273)</f>
        <v>0</v>
      </c>
      <c r="L294" s="56">
        <f>SUMIF(I18:I273,"LRVB",L18:L273)</f>
        <v>5000</v>
      </c>
      <c r="M294" s="56">
        <f>SUMIF(I18:I273,"LRVB",M18:M273)</f>
        <v>8609.1</v>
      </c>
      <c r="N294" s="50"/>
      <c r="O294" s="50"/>
      <c r="P294" s="50"/>
      <c r="Q294" s="50"/>
      <c r="R294" s="50"/>
    </row>
    <row r="295" spans="1:18" ht="14.25" customHeight="1" x14ac:dyDescent="0.2">
      <c r="A295" s="1684" t="s">
        <v>24</v>
      </c>
      <c r="B295" s="1685"/>
      <c r="C295" s="1685"/>
      <c r="D295" s="1685"/>
      <c r="E295" s="1685"/>
      <c r="F295" s="1685"/>
      <c r="G295" s="1685"/>
      <c r="H295" s="1685"/>
      <c r="I295" s="1686"/>
      <c r="J295" s="727">
        <f>SUMIF(I18:I273,"Kt",J18:J273)</f>
        <v>104.4</v>
      </c>
      <c r="K295" s="56">
        <f>SUMIF(I18:I273,"Kt",K18:K273)</f>
        <v>126.4</v>
      </c>
      <c r="L295" s="56">
        <f>SUMIF(I18:I273,"Kt",L18:L273)</f>
        <v>135</v>
      </c>
      <c r="M295" s="56">
        <f>SUMIF(I18:I273,"Kt",M18:M273)</f>
        <v>0</v>
      </c>
      <c r="N295" s="50"/>
      <c r="O295" s="50"/>
      <c r="P295" s="50"/>
      <c r="Q295" s="50"/>
      <c r="R295" s="50"/>
    </row>
    <row r="296" spans="1:18" ht="14.25" customHeight="1" thickBot="1" x14ac:dyDescent="0.25">
      <c r="A296" s="1687" t="s">
        <v>16</v>
      </c>
      <c r="B296" s="1688"/>
      <c r="C296" s="1688"/>
      <c r="D296" s="1688"/>
      <c r="E296" s="1688"/>
      <c r="F296" s="1688"/>
      <c r="G296" s="1688"/>
      <c r="H296" s="1688"/>
      <c r="I296" s="1689"/>
      <c r="J296" s="722">
        <f>SUM(J278,J290)</f>
        <v>28292.799999999999</v>
      </c>
      <c r="K296" s="268">
        <f>SUM(K278,K290)</f>
        <v>27558.6</v>
      </c>
      <c r="L296" s="268">
        <f>SUM(L278,L290)</f>
        <v>33927.599999999999</v>
      </c>
      <c r="M296" s="268">
        <f>SUM(M278,M290)</f>
        <v>27569.599999999999</v>
      </c>
      <c r="N296" s="50"/>
      <c r="O296" s="50"/>
      <c r="P296" s="50"/>
      <c r="Q296" s="50"/>
      <c r="R296" s="50"/>
    </row>
    <row r="297" spans="1:18" x14ac:dyDescent="0.2">
      <c r="I297" s="678"/>
      <c r="J297" s="679"/>
      <c r="K297" s="679"/>
      <c r="L297" s="679"/>
      <c r="M297" s="679"/>
      <c r="N297" s="4"/>
    </row>
  </sheetData>
  <mergeCells count="325">
    <mergeCell ref="A127:A128"/>
    <mergeCell ref="B127:B128"/>
    <mergeCell ref="A129:A131"/>
    <mergeCell ref="B129:B131"/>
    <mergeCell ref="B137:B138"/>
    <mergeCell ref="D137:D138"/>
    <mergeCell ref="H139:H140"/>
    <mergeCell ref="G154:G157"/>
    <mergeCell ref="H212:H215"/>
    <mergeCell ref="A197:A198"/>
    <mergeCell ref="F187:F189"/>
    <mergeCell ref="E137:E138"/>
    <mergeCell ref="B197:B198"/>
    <mergeCell ref="F190:F191"/>
    <mergeCell ref="E197:E199"/>
    <mergeCell ref="F192:F196"/>
    <mergeCell ref="C192:C196"/>
    <mergeCell ref="E187:E189"/>
    <mergeCell ref="C197:C198"/>
    <mergeCell ref="B154:B157"/>
    <mergeCell ref="E147:E149"/>
    <mergeCell ref="E151:E152"/>
    <mergeCell ref="D187:D189"/>
    <mergeCell ref="E180:E181"/>
    <mergeCell ref="A137:A138"/>
    <mergeCell ref="A154:A157"/>
    <mergeCell ref="A192:A196"/>
    <mergeCell ref="B192:B196"/>
    <mergeCell ref="A187:A189"/>
    <mergeCell ref="B187:B189"/>
    <mergeCell ref="Q180:Q181"/>
    <mergeCell ref="G187:G189"/>
    <mergeCell ref="N180:N181"/>
    <mergeCell ref="O180:O181"/>
    <mergeCell ref="N171:N172"/>
    <mergeCell ref="H154:H157"/>
    <mergeCell ref="C159:R159"/>
    <mergeCell ref="H161:H172"/>
    <mergeCell ref="F161:F163"/>
    <mergeCell ref="N154:N156"/>
    <mergeCell ref="N158:R158"/>
    <mergeCell ref="P177:P178"/>
    <mergeCell ref="O177:O178"/>
    <mergeCell ref="R180:R181"/>
    <mergeCell ref="P180:P181"/>
    <mergeCell ref="H143:H145"/>
    <mergeCell ref="C127:C128"/>
    <mergeCell ref="D127:D128"/>
    <mergeCell ref="C154:C157"/>
    <mergeCell ref="E184:E185"/>
    <mergeCell ref="E92:E93"/>
    <mergeCell ref="C112:R112"/>
    <mergeCell ref="R177:R178"/>
    <mergeCell ref="R127:R128"/>
    <mergeCell ref="P127:P128"/>
    <mergeCell ref="O127:O128"/>
    <mergeCell ref="Q127:Q128"/>
    <mergeCell ref="E129:E131"/>
    <mergeCell ref="E139:E140"/>
    <mergeCell ref="H184:H185"/>
    <mergeCell ref="N184:N185"/>
    <mergeCell ref="G137:G138"/>
    <mergeCell ref="H180:H181"/>
    <mergeCell ref="H96:H101"/>
    <mergeCell ref="C137:C138"/>
    <mergeCell ref="F137:F138"/>
    <mergeCell ref="E143:E145"/>
    <mergeCell ref="F143:F145"/>
    <mergeCell ref="D154:D157"/>
    <mergeCell ref="H106:H107"/>
    <mergeCell ref="A9:R9"/>
    <mergeCell ref="B45:B47"/>
    <mergeCell ref="A54:A61"/>
    <mergeCell ref="N127:N128"/>
    <mergeCell ref="F127:F128"/>
    <mergeCell ref="A45:A47"/>
    <mergeCell ref="G45:G47"/>
    <mergeCell ref="A40:A44"/>
    <mergeCell ref="C45:C47"/>
    <mergeCell ref="H70:H75"/>
    <mergeCell ref="B54:B61"/>
    <mergeCell ref="A33:A35"/>
    <mergeCell ref="B33:B35"/>
    <mergeCell ref="B40:B44"/>
    <mergeCell ref="C40:C44"/>
    <mergeCell ref="C54:C61"/>
    <mergeCell ref="D54:D61"/>
    <mergeCell ref="D70:D75"/>
    <mergeCell ref="D66:D67"/>
    <mergeCell ref="D48:D49"/>
    <mergeCell ref="D62:D65"/>
    <mergeCell ref="E33:E35"/>
    <mergeCell ref="B76:B78"/>
    <mergeCell ref="C76:C78"/>
    <mergeCell ref="A76:A78"/>
    <mergeCell ref="E177:E179"/>
    <mergeCell ref="E161:E172"/>
    <mergeCell ref="F267:F270"/>
    <mergeCell ref="F261:F263"/>
    <mergeCell ref="G261:G263"/>
    <mergeCell ref="F241:F252"/>
    <mergeCell ref="E253:E254"/>
    <mergeCell ref="H197:H198"/>
    <mergeCell ref="E200:E202"/>
    <mergeCell ref="G200:G202"/>
    <mergeCell ref="H177:H178"/>
    <mergeCell ref="E190:E191"/>
    <mergeCell ref="F197:F199"/>
    <mergeCell ref="E192:E196"/>
    <mergeCell ref="A204:A207"/>
    <mergeCell ref="B204:B207"/>
    <mergeCell ref="C204:C207"/>
    <mergeCell ref="D204:D207"/>
    <mergeCell ref="E204:E207"/>
    <mergeCell ref="F204:F207"/>
    <mergeCell ref="E236:E238"/>
    <mergeCell ref="E239:E240"/>
    <mergeCell ref="A200:A202"/>
    <mergeCell ref="D221:D225"/>
    <mergeCell ref="D226:D227"/>
    <mergeCell ref="E226:E227"/>
    <mergeCell ref="C209:I209"/>
    <mergeCell ref="G204:G207"/>
    <mergeCell ref="H204:H207"/>
    <mergeCell ref="A239:A240"/>
    <mergeCell ref="N272:R272"/>
    <mergeCell ref="E241:E244"/>
    <mergeCell ref="R251:R252"/>
    <mergeCell ref="Q251:Q252"/>
    <mergeCell ref="P251:P252"/>
    <mergeCell ref="B272:I272"/>
    <mergeCell ref="N247:N248"/>
    <mergeCell ref="C241:C252"/>
    <mergeCell ref="O251:O252"/>
    <mergeCell ref="E258:E259"/>
    <mergeCell ref="G241:G252"/>
    <mergeCell ref="D264:D265"/>
    <mergeCell ref="E264:E265"/>
    <mergeCell ref="D267:D268"/>
    <mergeCell ref="D258:D259"/>
    <mergeCell ref="N209:R209"/>
    <mergeCell ref="N1:R1"/>
    <mergeCell ref="A2:R2"/>
    <mergeCell ref="A6:A8"/>
    <mergeCell ref="B6:B8"/>
    <mergeCell ref="C6:C8"/>
    <mergeCell ref="D6:D8"/>
    <mergeCell ref="E6:E8"/>
    <mergeCell ref="F6:F8"/>
    <mergeCell ref="G6:G8"/>
    <mergeCell ref="H6:H8"/>
    <mergeCell ref="I6:I8"/>
    <mergeCell ref="K6:K8"/>
    <mergeCell ref="M6:M8"/>
    <mergeCell ref="N6:R6"/>
    <mergeCell ref="A3:R3"/>
    <mergeCell ref="N5:R5"/>
    <mergeCell ref="J6:J8"/>
    <mergeCell ref="N7:N8"/>
    <mergeCell ref="A4:R4"/>
    <mergeCell ref="L6:L8"/>
    <mergeCell ref="O7:R7"/>
    <mergeCell ref="A10:R10"/>
    <mergeCell ref="B11:R11"/>
    <mergeCell ref="C12:R12"/>
    <mergeCell ref="N28:N29"/>
    <mergeCell ref="E28:E30"/>
    <mergeCell ref="B18:B22"/>
    <mergeCell ref="H28:H30"/>
    <mergeCell ref="A18:A22"/>
    <mergeCell ref="D18:D22"/>
    <mergeCell ref="E18:E22"/>
    <mergeCell ref="C18:C22"/>
    <mergeCell ref="A23:A27"/>
    <mergeCell ref="B23:B27"/>
    <mergeCell ref="E14:E17"/>
    <mergeCell ref="H14:H17"/>
    <mergeCell ref="N14:N15"/>
    <mergeCell ref="F15:F17"/>
    <mergeCell ref="F19:F22"/>
    <mergeCell ref="H18:H22"/>
    <mergeCell ref="G18:G22"/>
    <mergeCell ref="N20:N21"/>
    <mergeCell ref="F29:F30"/>
    <mergeCell ref="C200:C202"/>
    <mergeCell ref="B239:B240"/>
    <mergeCell ref="B200:B202"/>
    <mergeCell ref="C210:R210"/>
    <mergeCell ref="C239:C240"/>
    <mergeCell ref="D228:D235"/>
    <mergeCell ref="D213:D219"/>
    <mergeCell ref="D200:D202"/>
    <mergeCell ref="C23:C27"/>
    <mergeCell ref="D23:D27"/>
    <mergeCell ref="E23:E27"/>
    <mergeCell ref="G23:G27"/>
    <mergeCell ref="G33:G35"/>
    <mergeCell ref="N33:N34"/>
    <mergeCell ref="F34:F35"/>
    <mergeCell ref="E31:E32"/>
    <mergeCell ref="N198:N199"/>
    <mergeCell ref="C33:C35"/>
    <mergeCell ref="D33:D35"/>
    <mergeCell ref="H147:H150"/>
    <mergeCell ref="Q90:Q91"/>
    <mergeCell ref="N177:N178"/>
    <mergeCell ref="D50:D51"/>
    <mergeCell ref="C187:C189"/>
    <mergeCell ref="A296:I296"/>
    <mergeCell ref="A295:I295"/>
    <mergeCell ref="A281:I281"/>
    <mergeCell ref="A294:I294"/>
    <mergeCell ref="A289:I289"/>
    <mergeCell ref="A287:I287"/>
    <mergeCell ref="A293:I293"/>
    <mergeCell ref="A290:I290"/>
    <mergeCell ref="A291:I291"/>
    <mergeCell ref="A288:I288"/>
    <mergeCell ref="A283:I283"/>
    <mergeCell ref="A284:I284"/>
    <mergeCell ref="A292:I292"/>
    <mergeCell ref="A286:I286"/>
    <mergeCell ref="A285:I285"/>
    <mergeCell ref="A278:I278"/>
    <mergeCell ref="A282:I282"/>
    <mergeCell ref="A276:I276"/>
    <mergeCell ref="D241:D252"/>
    <mergeCell ref="A280:I280"/>
    <mergeCell ref="A279:I279"/>
    <mergeCell ref="N239:N240"/>
    <mergeCell ref="A241:A252"/>
    <mergeCell ref="B273:I273"/>
    <mergeCell ref="H267:H270"/>
    <mergeCell ref="E267:E270"/>
    <mergeCell ref="N251:N252"/>
    <mergeCell ref="C271:I271"/>
    <mergeCell ref="G267:G270"/>
    <mergeCell ref="A277:I277"/>
    <mergeCell ref="B241:B252"/>
    <mergeCell ref="E255:E257"/>
    <mergeCell ref="N253:N254"/>
    <mergeCell ref="A274:M274"/>
    <mergeCell ref="N242:N243"/>
    <mergeCell ref="N273:R273"/>
    <mergeCell ref="N271:R271"/>
    <mergeCell ref="D36:D37"/>
    <mergeCell ref="G48:G49"/>
    <mergeCell ref="H48:H49"/>
    <mergeCell ref="D45:D47"/>
    <mergeCell ref="H40:H44"/>
    <mergeCell ref="E40:E44"/>
    <mergeCell ref="N40:N41"/>
    <mergeCell ref="H200:H202"/>
    <mergeCell ref="N204:N205"/>
    <mergeCell ref="F200:F202"/>
    <mergeCell ref="H187:H189"/>
    <mergeCell ref="E154:E156"/>
    <mergeCell ref="C158:I158"/>
    <mergeCell ref="F129:F131"/>
    <mergeCell ref="D129:D131"/>
    <mergeCell ref="E127:E128"/>
    <mergeCell ref="H192:H196"/>
    <mergeCell ref="H114:H117"/>
    <mergeCell ref="C111:I111"/>
    <mergeCell ref="C129:C131"/>
    <mergeCell ref="E102:E104"/>
    <mergeCell ref="E115:E117"/>
    <mergeCell ref="E90:E91"/>
    <mergeCell ref="N74:N75"/>
    <mergeCell ref="E36:E37"/>
    <mergeCell ref="N45:N46"/>
    <mergeCell ref="G40:G44"/>
    <mergeCell ref="G36:G37"/>
    <mergeCell ref="E45:E47"/>
    <mergeCell ref="H62:H65"/>
    <mergeCell ref="E48:E49"/>
    <mergeCell ref="F48:F49"/>
    <mergeCell ref="G62:G65"/>
    <mergeCell ref="N54:N55"/>
    <mergeCell ref="F54:F61"/>
    <mergeCell ref="G54:G61"/>
    <mergeCell ref="H54:H60"/>
    <mergeCell ref="E62:E65"/>
    <mergeCell ref="E54:E56"/>
    <mergeCell ref="E50:E51"/>
    <mergeCell ref="F50:F51"/>
    <mergeCell ref="G50:G51"/>
    <mergeCell ref="H50:H51"/>
    <mergeCell ref="D76:D78"/>
    <mergeCell ref="E76:E78"/>
    <mergeCell ref="F76:F78"/>
    <mergeCell ref="G76:G78"/>
    <mergeCell ref="H76:H78"/>
    <mergeCell ref="N77:N78"/>
    <mergeCell ref="F66:F67"/>
    <mergeCell ref="G66:G67"/>
    <mergeCell ref="N66:N67"/>
    <mergeCell ref="N70:N71"/>
    <mergeCell ref="F70:F75"/>
    <mergeCell ref="G70:G75"/>
    <mergeCell ref="E70:E75"/>
    <mergeCell ref="E66:E67"/>
    <mergeCell ref="E87:E89"/>
    <mergeCell ref="H92:H93"/>
    <mergeCell ref="N120:N122"/>
    <mergeCell ref="Q177:Q178"/>
    <mergeCell ref="F96:F98"/>
    <mergeCell ref="F87:F89"/>
    <mergeCell ref="N81:N82"/>
    <mergeCell ref="F82:F84"/>
    <mergeCell ref="E85:E86"/>
    <mergeCell ref="H85:H86"/>
    <mergeCell ref="H87:H89"/>
    <mergeCell ref="N97:N98"/>
    <mergeCell ref="N168:N169"/>
    <mergeCell ref="E125:E126"/>
    <mergeCell ref="N125:N126"/>
    <mergeCell ref="G127:G128"/>
    <mergeCell ref="H129:H131"/>
    <mergeCell ref="G129:G131"/>
    <mergeCell ref="N107:N109"/>
    <mergeCell ref="E81:E84"/>
    <mergeCell ref="H81:H84"/>
    <mergeCell ref="E96:E101"/>
    <mergeCell ref="E120:E122"/>
  </mergeCells>
  <phoneticPr fontId="12" type="noConversion"/>
  <printOptions horizontalCentered="1"/>
  <pageMargins left="0.59055118110236227" right="0.19685039370078741" top="0.59055118110236227" bottom="0.39370078740157483" header="0" footer="0"/>
  <pageSetup paperSize="9" scale="58" orientation="portrait" r:id="rId1"/>
  <headerFooter alignWithMargins="0"/>
  <rowBreaks count="4" manualBreakCount="4">
    <brk id="65" max="17" man="1"/>
    <brk id="134" max="17" man="1"/>
    <brk id="199" max="17" man="1"/>
    <brk id="266"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6 programa</vt:lpstr>
      <vt:lpstr>Lyginamoji lentelė</vt:lpstr>
      <vt:lpstr>aiškinamoji lentelė </vt:lpstr>
      <vt:lpstr>'6 programa'!Print_Area</vt:lpstr>
      <vt:lpstr>'aiškinamoji lentelė '!Print_Area</vt:lpstr>
      <vt:lpstr>'Lyginamoji lentelė'!Print_Area</vt:lpstr>
      <vt:lpstr>'6 programa'!Print_Titles</vt:lpstr>
      <vt:lpstr>'aiškinamoji lentelė '!Print_Titles</vt:lpstr>
      <vt:lpstr>'Lyginamoji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Lietute Demidova</cp:lastModifiedBy>
  <cp:lastPrinted>2019-01-31T09:32:24Z</cp:lastPrinted>
  <dcterms:created xsi:type="dcterms:W3CDTF">2007-07-27T10:32:34Z</dcterms:created>
  <dcterms:modified xsi:type="dcterms:W3CDTF">2019-02-05T07:14:39Z</dcterms:modified>
</cp:coreProperties>
</file>