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Demidova\Desktop\sprendimai\"/>
    </mc:Choice>
  </mc:AlternateContent>
  <bookViews>
    <workbookView xWindow="30" yWindow="3285" windowWidth="15480" windowHeight="8100" firstSheet="1" activeTab="1"/>
  </bookViews>
  <sheets>
    <sheet name="Lyginamasis variantas" sheetId="17" state="hidden" r:id="rId1"/>
    <sheet name="7 programa" sheetId="18" r:id="rId2"/>
    <sheet name="aiškinamoji lentelė" sheetId="10" state="hidden" r:id="rId3"/>
  </sheets>
  <definedNames>
    <definedName name="_xlnm.Print_Area" localSheetId="1">'7 programa'!$A$1:$N$260</definedName>
    <definedName name="_xlnm.Print_Area" localSheetId="2">'aiškinamoji lentelė'!$A$1:$R$310</definedName>
    <definedName name="_xlnm.Print_Area" localSheetId="0">'Lyginamasis variantas'!$A$1:$U$251</definedName>
    <definedName name="_xlnm.Print_Titles" localSheetId="1">'7 programa'!$10:$12</definedName>
    <definedName name="_xlnm.Print_Titles" localSheetId="2">'aiškinamoji lentelė'!$7:$9</definedName>
    <definedName name="_xlnm.Print_Titles" localSheetId="0">'Lyginamasis variantas'!$8:$10</definedName>
  </definedNames>
  <calcPr calcId="162913" fullPrecision="0"/>
</workbook>
</file>

<file path=xl/calcChain.xml><?xml version="1.0" encoding="utf-8"?>
<calcChain xmlns="http://schemas.openxmlformats.org/spreadsheetml/2006/main">
  <c r="P248" i="10" l="1"/>
  <c r="K188" i="10" l="1"/>
  <c r="K187" i="10"/>
  <c r="K186" i="10"/>
  <c r="K25" i="10" l="1"/>
  <c r="K101" i="10" l="1"/>
  <c r="H194" i="18" l="1"/>
  <c r="H224" i="18"/>
  <c r="K50" i="10"/>
  <c r="K48" i="10"/>
  <c r="K45" i="10"/>
  <c r="K229" i="10" l="1"/>
  <c r="H62" i="18" l="1"/>
  <c r="K71" i="10"/>
  <c r="H111" i="18"/>
  <c r="K148" i="10"/>
  <c r="H225" i="18" l="1"/>
  <c r="M244" i="10" l="1"/>
  <c r="J193" i="18" l="1"/>
  <c r="I193" i="18"/>
  <c r="L244" i="10"/>
  <c r="J17" i="18" l="1"/>
  <c r="I17" i="18"/>
  <c r="J241" i="18" l="1"/>
  <c r="I241" i="18"/>
  <c r="H241" i="18"/>
  <c r="L271" i="10" l="1"/>
  <c r="K271" i="10"/>
  <c r="I220" i="18"/>
  <c r="J220" i="18"/>
  <c r="H220" i="18"/>
  <c r="I212" i="18"/>
  <c r="J212" i="18"/>
  <c r="H212" i="18"/>
  <c r="L263" i="10"/>
  <c r="I190" i="18"/>
  <c r="I191" i="18" s="1"/>
  <c r="J190" i="18"/>
  <c r="J191" i="18" s="1"/>
  <c r="H190" i="18"/>
  <c r="H191" i="18" s="1"/>
  <c r="I172" i="18"/>
  <c r="H172" i="18"/>
  <c r="I168" i="18"/>
  <c r="J168" i="18"/>
  <c r="H168" i="18"/>
  <c r="H221" i="18" l="1"/>
  <c r="I221" i="18"/>
  <c r="J221" i="18"/>
  <c r="I131" i="18"/>
  <c r="J131" i="18"/>
  <c r="H131" i="18"/>
  <c r="I110" i="18"/>
  <c r="J110" i="18"/>
  <c r="H110" i="18"/>
  <c r="H73" i="18"/>
  <c r="I73" i="18"/>
  <c r="J73" i="18"/>
  <c r="H61" i="18"/>
  <c r="I61" i="18"/>
  <c r="J61" i="18"/>
  <c r="J256" i="18" l="1"/>
  <c r="I256" i="18"/>
  <c r="H256" i="18"/>
  <c r="J255" i="18"/>
  <c r="I255" i="18"/>
  <c r="H255" i="18"/>
  <c r="J254" i="18"/>
  <c r="I254" i="18"/>
  <c r="H254" i="18"/>
  <c r="J253" i="18"/>
  <c r="I253" i="18"/>
  <c r="H253" i="18"/>
  <c r="I251" i="18"/>
  <c r="H251" i="18"/>
  <c r="I250" i="18"/>
  <c r="H250" i="18"/>
  <c r="I249" i="18"/>
  <c r="H249" i="18"/>
  <c r="I248" i="18"/>
  <c r="H248" i="18"/>
  <c r="J247" i="18"/>
  <c r="I247" i="18"/>
  <c r="H247" i="18"/>
  <c r="J246" i="18"/>
  <c r="I246" i="18"/>
  <c r="H246" i="18"/>
  <c r="J245" i="18"/>
  <c r="I245" i="18"/>
  <c r="H245" i="18"/>
  <c r="J244" i="18"/>
  <c r="I244" i="18"/>
  <c r="H244" i="18"/>
  <c r="J243" i="18"/>
  <c r="I243" i="18"/>
  <c r="H243" i="18"/>
  <c r="H242" i="18"/>
  <c r="J231" i="18"/>
  <c r="I231" i="18"/>
  <c r="H231" i="18"/>
  <c r="J228" i="18"/>
  <c r="I228" i="18"/>
  <c r="H228" i="18"/>
  <c r="J225" i="18"/>
  <c r="I225" i="18"/>
  <c r="J137" i="18"/>
  <c r="I137" i="18"/>
  <c r="H137" i="18"/>
  <c r="J134" i="18"/>
  <c r="I134" i="18"/>
  <c r="H134" i="18"/>
  <c r="H232" i="18" l="1"/>
  <c r="J173" i="18"/>
  <c r="H173" i="18"/>
  <c r="I173" i="18"/>
  <c r="H252" i="18"/>
  <c r="I252" i="18"/>
  <c r="J252" i="18"/>
  <c r="I242" i="18"/>
  <c r="I240" i="18" s="1"/>
  <c r="I239" i="18" s="1"/>
  <c r="I257" i="18" s="1"/>
  <c r="I232" i="18"/>
  <c r="J232" i="18"/>
  <c r="J242" i="18"/>
  <c r="J240" i="18" s="1"/>
  <c r="H240" i="18"/>
  <c r="H239" i="18" s="1"/>
  <c r="H233" i="18" l="1"/>
  <c r="H257" i="18"/>
  <c r="I233" i="18"/>
  <c r="I234" i="18" s="1"/>
  <c r="J233" i="18"/>
  <c r="J234" i="18" s="1"/>
  <c r="K244" i="10"/>
  <c r="K88" i="10"/>
  <c r="K24" i="10" l="1"/>
  <c r="K69" i="10" s="1"/>
  <c r="K138" i="10"/>
  <c r="K110" i="10"/>
  <c r="K213" i="10" l="1"/>
  <c r="L213" i="10"/>
  <c r="M213" i="10"/>
  <c r="K175" i="10" l="1"/>
  <c r="L175" i="10"/>
  <c r="J175" i="10"/>
  <c r="K240" i="10"/>
  <c r="K263" i="10"/>
  <c r="K272" i="10" s="1"/>
  <c r="K280" i="10"/>
  <c r="K277" i="10"/>
  <c r="K85" i="10" l="1"/>
  <c r="K145" i="10" s="1"/>
  <c r="L82" i="10" l="1"/>
  <c r="M82" i="10"/>
  <c r="K300" i="10"/>
  <c r="K308" i="10"/>
  <c r="K298" i="10"/>
  <c r="M300" i="10" l="1"/>
  <c r="L300" i="10"/>
  <c r="M69" i="10"/>
  <c r="K172" i="10"/>
  <c r="M172" i="10"/>
  <c r="L240" i="10"/>
  <c r="M240" i="10"/>
  <c r="L277" i="10"/>
  <c r="M277" i="10"/>
  <c r="J277" i="10"/>
  <c r="K294" i="10" l="1"/>
  <c r="K82" i="10"/>
  <c r="L69" i="10"/>
  <c r="L162" i="10"/>
  <c r="L172" i="10" s="1"/>
  <c r="M271" i="10" l="1"/>
  <c r="J271" i="10"/>
  <c r="K283" i="10" l="1"/>
  <c r="J263" i="10"/>
  <c r="K295" i="10" l="1"/>
  <c r="L283" i="10"/>
  <c r="K284" i="10"/>
  <c r="L280" i="10"/>
  <c r="K309" i="10"/>
  <c r="J240" i="10"/>
  <c r="L284" i="10" l="1"/>
  <c r="K304" i="10" l="1"/>
  <c r="K301" i="10"/>
  <c r="K303" i="10"/>
  <c r="K302" i="10"/>
  <c r="K299" i="10"/>
  <c r="K297" i="10"/>
  <c r="K307" i="10"/>
  <c r="J127" i="10"/>
  <c r="J62" i="10"/>
  <c r="J64" i="10"/>
  <c r="J221" i="10" l="1"/>
  <c r="L221" i="10"/>
  <c r="M221" i="10"/>
  <c r="K221" i="10"/>
  <c r="J210" i="10" l="1"/>
  <c r="J213" i="10" s="1"/>
  <c r="M283" i="10" l="1"/>
  <c r="J283" i="10"/>
  <c r="O133" i="17" l="1"/>
  <c r="L133" i="17"/>
  <c r="I133" i="17"/>
  <c r="M128" i="17" l="1"/>
  <c r="J128" i="17"/>
  <c r="J67" i="10" l="1"/>
  <c r="I61" i="17" l="1"/>
  <c r="J61" i="17" s="1"/>
  <c r="M133" i="17" l="1"/>
  <c r="J205" i="17" l="1"/>
  <c r="M64" i="17" l="1"/>
  <c r="J23" i="17" l="1"/>
  <c r="J99" i="17" l="1"/>
  <c r="J110" i="17" l="1"/>
  <c r="H190" i="17" l="1"/>
  <c r="I190" i="17"/>
  <c r="H119" i="17" l="1"/>
  <c r="L116" i="17"/>
  <c r="K116" i="17"/>
  <c r="H79" i="17"/>
  <c r="I79" i="17"/>
  <c r="I116" i="17" s="1"/>
  <c r="P223" i="17" l="1"/>
  <c r="O116" i="17" l="1"/>
  <c r="P116" i="17"/>
  <c r="P168" i="17" s="1"/>
  <c r="P224" i="17" s="1"/>
  <c r="P225" i="17" s="1"/>
  <c r="M167" i="17" l="1"/>
  <c r="M223" i="17"/>
  <c r="M116" i="17" l="1"/>
  <c r="M168" i="17" s="1"/>
  <c r="M224" i="17" s="1"/>
  <c r="M225" i="17" s="1"/>
  <c r="M242" i="17" l="1"/>
  <c r="L309" i="10"/>
  <c r="L308" i="10"/>
  <c r="L307" i="10"/>
  <c r="L306" i="10"/>
  <c r="L304" i="10"/>
  <c r="L303" i="10"/>
  <c r="L302" i="10"/>
  <c r="L301" i="10"/>
  <c r="M299" i="10"/>
  <c r="L299" i="10"/>
  <c r="J299" i="10"/>
  <c r="L298" i="10"/>
  <c r="L297" i="10"/>
  <c r="L296" i="10"/>
  <c r="J148" i="10"/>
  <c r="J172" i="10" s="1"/>
  <c r="J145" i="10"/>
  <c r="L305" i="10" l="1"/>
  <c r="J49" i="10"/>
  <c r="J25" i="10"/>
  <c r="J69" i="10" l="1"/>
  <c r="J301" i="10"/>
  <c r="L241" i="10"/>
  <c r="L178" i="10"/>
  <c r="L142" i="10"/>
  <c r="L139" i="10"/>
  <c r="L145" i="10" s="1"/>
  <c r="L222" i="10" l="1"/>
  <c r="L294" i="10"/>
  <c r="L295" i="10"/>
  <c r="L272" i="10"/>
  <c r="L285" i="10" l="1"/>
  <c r="L286" i="10" s="1"/>
  <c r="L293" i="10"/>
  <c r="L292" i="10" s="1"/>
  <c r="L310" i="10" s="1"/>
  <c r="I208" i="17" l="1"/>
  <c r="I167" i="17" l="1"/>
  <c r="J167" i="17" l="1"/>
  <c r="L65" i="17" l="1"/>
  <c r="L15" i="17"/>
  <c r="L64" i="17" s="1"/>
  <c r="J208" i="17" l="1"/>
  <c r="J214" i="17" s="1"/>
  <c r="J116" i="17" l="1"/>
  <c r="I119" i="17" l="1"/>
  <c r="H65" i="17" l="1"/>
  <c r="J133" i="17" l="1"/>
  <c r="I65" i="17" l="1"/>
  <c r="J71" i="10"/>
  <c r="O247" i="17" l="1"/>
  <c r="O246" i="17"/>
  <c r="O245" i="17"/>
  <c r="O244" i="17"/>
  <c r="O242" i="17"/>
  <c r="O241" i="17"/>
  <c r="O240" i="17"/>
  <c r="O239" i="17"/>
  <c r="O238" i="17"/>
  <c r="O237" i="17"/>
  <c r="O236" i="17"/>
  <c r="O235" i="17"/>
  <c r="O234" i="17"/>
  <c r="O233" i="17"/>
  <c r="O232" i="17"/>
  <c r="O231" i="17"/>
  <c r="L247" i="17"/>
  <c r="L246" i="17"/>
  <c r="L245" i="17"/>
  <c r="L244" i="17"/>
  <c r="L241" i="17"/>
  <c r="L240" i="17"/>
  <c r="L239" i="17"/>
  <c r="L238" i="17"/>
  <c r="L237" i="17"/>
  <c r="L236" i="17"/>
  <c r="L235" i="17"/>
  <c r="L234" i="17"/>
  <c r="L233" i="17"/>
  <c r="L232" i="17"/>
  <c r="L231" i="17"/>
  <c r="J223" i="17"/>
  <c r="I247" i="17" l="1"/>
  <c r="I246" i="17"/>
  <c r="I245" i="17"/>
  <c r="I244" i="17"/>
  <c r="I242" i="17"/>
  <c r="I241" i="17"/>
  <c r="I240" i="17"/>
  <c r="I239" i="17"/>
  <c r="I237" i="17"/>
  <c r="I236" i="17"/>
  <c r="I234" i="17"/>
  <c r="I235" i="17"/>
  <c r="I233" i="17"/>
  <c r="T124" i="17" l="1"/>
  <c r="O222" i="17" l="1"/>
  <c r="O218" i="17"/>
  <c r="O213" i="17"/>
  <c r="O208" i="17"/>
  <c r="O187" i="17"/>
  <c r="O188" i="17" s="1"/>
  <c r="O167" i="17"/>
  <c r="O139" i="17"/>
  <c r="O136" i="17"/>
  <c r="O78" i="17"/>
  <c r="O64" i="17"/>
  <c r="L222" i="17"/>
  <c r="L218" i="17"/>
  <c r="L213" i="17"/>
  <c r="L208" i="17"/>
  <c r="L187" i="17"/>
  <c r="L188" i="17" s="1"/>
  <c r="L167" i="17"/>
  <c r="L139" i="17"/>
  <c r="L136" i="17"/>
  <c r="L78" i="17"/>
  <c r="I222" i="17"/>
  <c r="I218" i="17"/>
  <c r="I213" i="17"/>
  <c r="I187" i="17"/>
  <c r="I188" i="17" s="1"/>
  <c r="I139" i="17"/>
  <c r="I136" i="17"/>
  <c r="I66" i="17"/>
  <c r="I231" i="17"/>
  <c r="I16" i="17"/>
  <c r="N247" i="17"/>
  <c r="P247" i="17" s="1"/>
  <c r="K247" i="17"/>
  <c r="M247" i="17" s="1"/>
  <c r="H247" i="17"/>
  <c r="J247" i="17" s="1"/>
  <c r="N246" i="17"/>
  <c r="P246" i="17" s="1"/>
  <c r="K246" i="17"/>
  <c r="M246" i="17" s="1"/>
  <c r="H246" i="17"/>
  <c r="J246" i="17" s="1"/>
  <c r="N245" i="17"/>
  <c r="P245" i="17" s="1"/>
  <c r="K245" i="17"/>
  <c r="M245" i="17" s="1"/>
  <c r="H245" i="17"/>
  <c r="J245" i="17" s="1"/>
  <c r="N244" i="17"/>
  <c r="P244" i="17" s="1"/>
  <c r="K244" i="17"/>
  <c r="M244" i="17" s="1"/>
  <c r="H244" i="17"/>
  <c r="J244" i="17" s="1"/>
  <c r="H242" i="17"/>
  <c r="J242" i="17" s="1"/>
  <c r="N241" i="17"/>
  <c r="P241" i="17" s="1"/>
  <c r="K241" i="17"/>
  <c r="M241" i="17" s="1"/>
  <c r="H241" i="17"/>
  <c r="J241" i="17" s="1"/>
  <c r="N240" i="17"/>
  <c r="P240" i="17" s="1"/>
  <c r="K240" i="17"/>
  <c r="M240" i="17" s="1"/>
  <c r="H240" i="17"/>
  <c r="J240" i="17" s="1"/>
  <c r="N239" i="17"/>
  <c r="P239" i="17" s="1"/>
  <c r="K239" i="17"/>
  <c r="M239" i="17" s="1"/>
  <c r="H239" i="17"/>
  <c r="J239" i="17" s="1"/>
  <c r="N238" i="17"/>
  <c r="P238" i="17" s="1"/>
  <c r="K238" i="17"/>
  <c r="M238" i="17" s="1"/>
  <c r="N237" i="17"/>
  <c r="P237" i="17" s="1"/>
  <c r="K237" i="17"/>
  <c r="M237" i="17" s="1"/>
  <c r="H237" i="17"/>
  <c r="J237" i="17" s="1"/>
  <c r="N236" i="17"/>
  <c r="P236" i="17" s="1"/>
  <c r="K236" i="17"/>
  <c r="M236" i="17" s="1"/>
  <c r="H236" i="17"/>
  <c r="J236" i="17" s="1"/>
  <c r="N235" i="17"/>
  <c r="P235" i="17" s="1"/>
  <c r="K235" i="17"/>
  <c r="M235" i="17" s="1"/>
  <c r="H235" i="17"/>
  <c r="J235" i="17" s="1"/>
  <c r="N234" i="17"/>
  <c r="P234" i="17" s="1"/>
  <c r="K234" i="17"/>
  <c r="M234" i="17" s="1"/>
  <c r="H234" i="17"/>
  <c r="J234" i="17" s="1"/>
  <c r="N233" i="17"/>
  <c r="P233" i="17" s="1"/>
  <c r="K233" i="17"/>
  <c r="M233" i="17" s="1"/>
  <c r="H233" i="17"/>
  <c r="J233" i="17" s="1"/>
  <c r="N232" i="17"/>
  <c r="P232" i="17" s="1"/>
  <c r="K232" i="17"/>
  <c r="M232" i="17" s="1"/>
  <c r="N231" i="17"/>
  <c r="P231" i="17" s="1"/>
  <c r="K231" i="17"/>
  <c r="M231" i="17" s="1"/>
  <c r="N222" i="17"/>
  <c r="K222" i="17"/>
  <c r="H222" i="17"/>
  <c r="N218" i="17"/>
  <c r="K218" i="17"/>
  <c r="H218" i="17"/>
  <c r="N213" i="17"/>
  <c r="K213" i="17"/>
  <c r="H213" i="17"/>
  <c r="N208" i="17"/>
  <c r="K208" i="17"/>
  <c r="H208" i="17"/>
  <c r="N187" i="17"/>
  <c r="N188" i="17" s="1"/>
  <c r="K187" i="17"/>
  <c r="K188" i="17" s="1"/>
  <c r="H187" i="17"/>
  <c r="H188" i="17" s="1"/>
  <c r="N167" i="17"/>
  <c r="K167" i="17"/>
  <c r="H167" i="17"/>
  <c r="N139" i="17"/>
  <c r="K139" i="17"/>
  <c r="H139" i="17"/>
  <c r="N136" i="17"/>
  <c r="K136" i="17"/>
  <c r="H136" i="17"/>
  <c r="N133" i="17"/>
  <c r="K133" i="17"/>
  <c r="H133" i="17"/>
  <c r="S124" i="17"/>
  <c r="N116" i="17"/>
  <c r="H116" i="17"/>
  <c r="N78" i="17"/>
  <c r="K78" i="17"/>
  <c r="H66" i="17"/>
  <c r="H232" i="17" s="1"/>
  <c r="N64" i="17"/>
  <c r="K64" i="17"/>
  <c r="H62" i="17"/>
  <c r="H16" i="17"/>
  <c r="H64" i="17" l="1"/>
  <c r="I238" i="17"/>
  <c r="I64" i="17"/>
  <c r="H231" i="17"/>
  <c r="J231" i="17" s="1"/>
  <c r="J62" i="17"/>
  <c r="J64" i="17" s="1"/>
  <c r="J168" i="17" s="1"/>
  <c r="J224" i="17" s="1"/>
  <c r="J225" i="17" s="1"/>
  <c r="O214" i="17"/>
  <c r="L214" i="17"/>
  <c r="P230" i="17"/>
  <c r="P229" i="17" s="1"/>
  <c r="K214" i="17"/>
  <c r="I214" i="17"/>
  <c r="N214" i="17"/>
  <c r="H78" i="17"/>
  <c r="H168" i="17" s="1"/>
  <c r="N243" i="17"/>
  <c r="J243" i="17"/>
  <c r="H223" i="17"/>
  <c r="I78" i="17"/>
  <c r="I168" i="17" s="1"/>
  <c r="I232" i="17"/>
  <c r="J232" i="17" s="1"/>
  <c r="H214" i="17"/>
  <c r="K223" i="17"/>
  <c r="N223" i="17"/>
  <c r="K168" i="17"/>
  <c r="H238" i="17"/>
  <c r="I223" i="17"/>
  <c r="N168" i="17"/>
  <c r="K230" i="17"/>
  <c r="K229" i="17" s="1"/>
  <c r="H243" i="17"/>
  <c r="K243" i="17"/>
  <c r="L168" i="17"/>
  <c r="L223" i="17"/>
  <c r="O223" i="17"/>
  <c r="O168" i="17"/>
  <c r="N230" i="17"/>
  <c r="N229" i="17" s="1"/>
  <c r="H230" i="17" l="1"/>
  <c r="J238" i="17"/>
  <c r="N224" i="17"/>
  <c r="N225" i="17" s="1"/>
  <c r="N248" i="17"/>
  <c r="I230" i="17"/>
  <c r="H224" i="17"/>
  <c r="H225" i="17" s="1"/>
  <c r="K224" i="17"/>
  <c r="K225" i="17" s="1"/>
  <c r="N242" i="17" s="1"/>
  <c r="P242" i="17" s="1"/>
  <c r="L224" i="17"/>
  <c r="L225" i="17" s="1"/>
  <c r="H229" i="17"/>
  <c r="H248" i="17" s="1"/>
  <c r="K248" i="17"/>
  <c r="L243" i="17"/>
  <c r="M243" i="17" s="1"/>
  <c r="O224" i="17"/>
  <c r="O225" i="17" s="1"/>
  <c r="I224" i="17"/>
  <c r="I225" i="17" s="1"/>
  <c r="I243" i="17" l="1"/>
  <c r="O230" i="17"/>
  <c r="O229" i="17" s="1"/>
  <c r="O243" i="17"/>
  <c r="P243" i="17" s="1"/>
  <c r="L230" i="17"/>
  <c r="L229" i="17" l="1"/>
  <c r="M229" i="17" s="1"/>
  <c r="M230" i="17"/>
  <c r="I229" i="17"/>
  <c r="I248" i="17" s="1"/>
  <c r="J230" i="17"/>
  <c r="J229" i="17" s="1"/>
  <c r="J248" i="17" s="1"/>
  <c r="O248" i="17"/>
  <c r="P248" i="17" s="1"/>
  <c r="L248" i="17" l="1"/>
  <c r="M248" i="17" s="1"/>
  <c r="J178" i="10" l="1"/>
  <c r="J76" i="10" l="1"/>
  <c r="J82" i="10" s="1"/>
  <c r="M178" i="10" l="1"/>
  <c r="K178" i="10"/>
  <c r="J280" i="10" l="1"/>
  <c r="J284" i="10" s="1"/>
  <c r="J294" i="10" l="1"/>
  <c r="M307" i="10" l="1"/>
  <c r="J307" i="10"/>
  <c r="J302" i="10" l="1"/>
  <c r="J303" i="10"/>
  <c r="J304" i="10"/>
  <c r="J300" i="10"/>
  <c r="J296" i="10"/>
  <c r="J297" i="10"/>
  <c r="J295" i="10"/>
  <c r="J306" i="10"/>
  <c r="J309" i="10"/>
  <c r="M263" i="10" l="1"/>
  <c r="M142" i="10" l="1"/>
  <c r="M139" i="10"/>
  <c r="M145" i="10" s="1"/>
  <c r="J222" i="10" l="1"/>
  <c r="J272" i="10" l="1"/>
  <c r="M294" i="10" l="1"/>
  <c r="J308" i="10"/>
  <c r="M308" i="10"/>
  <c r="M306" i="10"/>
  <c r="K306" i="10"/>
  <c r="K305" i="10" s="1"/>
  <c r="M298" i="10"/>
  <c r="J298" i="10"/>
  <c r="J293" i="10" s="1"/>
  <c r="M297" i="10"/>
  <c r="M295" i="10"/>
  <c r="M272" i="10" l="1"/>
  <c r="K222" i="10" l="1"/>
  <c r="M175" i="10"/>
  <c r="M222" i="10" s="1"/>
  <c r="K241" i="10"/>
  <c r="M280" i="10"/>
  <c r="M284" i="10" s="1"/>
  <c r="K296" i="10"/>
  <c r="M296" i="10"/>
  <c r="M293" i="10" s="1"/>
  <c r="J292" i="10"/>
  <c r="J305" i="10"/>
  <c r="M309" i="10"/>
  <c r="M305" i="10" s="1"/>
  <c r="K293" i="10" l="1"/>
  <c r="K292" i="10" s="1"/>
  <c r="K285" i="10"/>
  <c r="M301" i="10"/>
  <c r="J241" i="10"/>
  <c r="J285" i="10" s="1"/>
  <c r="M241" i="10"/>
  <c r="M285" i="10" l="1"/>
  <c r="J310" i="10"/>
  <c r="J286" i="10"/>
  <c r="K286" i="10" l="1"/>
  <c r="M286" i="10"/>
  <c r="M304" i="10" l="1"/>
  <c r="M303" i="10"/>
  <c r="M302" i="10"/>
  <c r="K310" i="10"/>
  <c r="M292" i="10" l="1"/>
  <c r="M310" i="10" s="1"/>
  <c r="J248" i="18" l="1"/>
  <c r="H234" i="18" l="1"/>
  <c r="J249" i="18" s="1"/>
  <c r="J251" i="18"/>
  <c r="J250" i="18" l="1"/>
  <c r="J239" i="18" s="1"/>
  <c r="J257" i="18" s="1"/>
</calcChain>
</file>

<file path=xl/comments1.xml><?xml version="1.0" encoding="utf-8"?>
<comments xmlns="http://schemas.openxmlformats.org/spreadsheetml/2006/main">
  <authors>
    <author>Audra Cepiene</author>
    <author>Saulina Paulauskiene</author>
  </authors>
  <commentList>
    <comment ref="Q19" authorId="0" shapeId="0">
      <text>
        <r>
          <rPr>
            <sz val="9"/>
            <color indexed="81"/>
            <rFont val="Tahoma"/>
            <family val="2"/>
            <charset val="186"/>
          </rPr>
          <t>Įkainiai paimti iš 2017 -06-16  sutarties Nr. J9-1444 su Ūkininko Prano Rimando Olisevičiaus gėlininkystės ūkiu, atsižvelgiant į NPD kilimą ir ekonomikos lygio svyravimus, yra pakitę į didžiąją pusę. Yra nupirktos 5 vnt naujos erdvinės tūrinės gėlinės. Perdarytas Poilsio parke daugiametis augalų plotas į daugiametį-vienmetį gėlyną, Debreceno  ir Pempininkų atremontuotose aikštėse atsirado nauji gėlynai, kurių bendras plotas 450 m2, taip pat ten numatoma pastatyti pastatomas gėlines. Pagal parengtą projektą bus pakeistas Melnragės žiedo gėlyno išdėstymas, jį praplečiant, Kepėjų g. prie Boso skulptūros ir Kulių Vartų g. suformuoti daugiamečiai -vienmečiai gėlynai. Planuojama įsigyti 6 vnt pastatomas gėlines atremontuotoje Žardės aikštėje. Senojo turgaus aikštėje atsirado papildomai 2 pastatomos vazos. Bus tvarkomi gėlynai teritorijoje ties Taikos pr. 76 ir prie Saulėtos vaistinės.</t>
        </r>
      </text>
    </comment>
    <comment ref="E20" authorId="0" shapeId="0">
      <text>
        <r>
          <rPr>
            <b/>
            <sz val="9"/>
            <color indexed="81"/>
            <rFont val="Tahoma"/>
            <family val="2"/>
            <charset val="186"/>
          </rPr>
          <t>KSP 2.4.2.3.</t>
        </r>
        <r>
          <rPr>
            <sz val="9"/>
            <color indexed="81"/>
            <rFont val="Tahoma"/>
            <family val="2"/>
            <charset val="186"/>
          </rPr>
          <t xml:space="preserve">
Atnaujinti miesto centre esančius fontanus įrengiant šviesos instaliacijas ar kt. efektus </t>
        </r>
      </text>
    </comment>
    <comment ref="Q20" authorId="0" shapeId="0">
      <text>
        <r>
          <rPr>
            <sz val="9"/>
            <color indexed="81"/>
            <rFont val="Tahoma"/>
            <family val="2"/>
            <charset val="186"/>
          </rPr>
          <t xml:space="preserve">Eksploatuojami 4 fontanai: "Taravos Anikė"; "Laivelis" Meridiano skvere; Debreceno aikštės fontanas; Pempininkų aikštės fontanas
</t>
        </r>
      </text>
    </comment>
    <comment ref="Q34" authorId="1" shapeId="0">
      <text>
        <r>
          <rPr>
            <sz val="9"/>
            <color indexed="81"/>
            <rFont val="Tahoma"/>
            <family val="2"/>
            <charset val="186"/>
          </rPr>
          <t>Iš viso mieste yra 1,5 tūkst. vnt. šiukšliadėžių</t>
        </r>
      </text>
    </comment>
    <comment ref="Q35" authorId="0" shapeId="0">
      <text>
        <r>
          <rPr>
            <sz val="9"/>
            <color indexed="81"/>
            <rFont val="Tahoma"/>
            <family val="2"/>
            <charset val="186"/>
          </rPr>
          <t>Iš viso mieste yra 1,1 tūkst. vnt. suoliukų</t>
        </r>
      </text>
    </comment>
    <comment ref="E41"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E45"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49"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51"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53"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E55"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G55" authorId="0" shapeId="0">
      <text>
        <r>
          <rPr>
            <sz val="9"/>
            <color indexed="81"/>
            <rFont val="Tahoma"/>
            <family val="2"/>
            <charset val="186"/>
          </rPr>
          <t>Visuomenininkai</t>
        </r>
      </text>
    </comment>
    <comment ref="E57"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E59"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E61" authorId="0" shapeId="0">
      <text>
        <r>
          <rPr>
            <b/>
            <sz val="9"/>
            <color indexed="81"/>
            <rFont val="Tahoma"/>
            <family val="2"/>
            <charset val="186"/>
          </rPr>
          <t xml:space="preserve">2.4.2.4. KSP priemonė: </t>
        </r>
        <r>
          <rPr>
            <sz val="9"/>
            <color indexed="81"/>
            <rFont val="Tahoma"/>
            <family val="2"/>
            <charset val="186"/>
          </rPr>
          <t>Atnaujinti gyvenamųjų kvartalų centrines aikštes ir kitas viešąsias erdves</t>
        </r>
      </text>
    </comment>
    <comment ref="Q75" authorId="0" shapeId="0">
      <text>
        <r>
          <rPr>
            <sz val="9"/>
            <color indexed="81"/>
            <rFont val="Tahoma"/>
            <family val="2"/>
            <charset val="186"/>
          </rPr>
          <t xml:space="preserve">Pagal priemonių planą Klaipėdos miesto gyvūnų gerovės ir apsaugos 2016–2018 metų programai įgyvendinti. </t>
        </r>
      </text>
    </comment>
    <comment ref="E83"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Q93" authorId="0" shapeId="0">
      <text>
        <r>
          <rPr>
            <sz val="9"/>
            <color indexed="81"/>
            <rFont val="Tahoma"/>
            <family val="2"/>
            <charset val="186"/>
          </rPr>
          <t>Prekybos verslui paplūdimiuose sąlygų sudarymas</t>
        </r>
      </text>
    </comment>
    <comment ref="Q95" authorId="0" shapeId="0">
      <text>
        <r>
          <rPr>
            <b/>
            <sz val="9"/>
            <color indexed="81"/>
            <rFont val="Tahoma"/>
            <family val="2"/>
            <charset val="186"/>
          </rPr>
          <t>Demontuota antžeminių dalių ir įrengta Smiltynėje konteinerinių tualetų su išgriebimo duobėmis buvusių stacionarių tualetų vietose:</t>
        </r>
        <r>
          <rPr>
            <sz val="9"/>
            <color indexed="81"/>
            <rFont val="Tahoma"/>
            <family val="2"/>
            <charset val="186"/>
          </rPr>
          <t xml:space="preserve">
1) Smiltynės g. 33 (Naujoji perkėla) 2018 m. 
2) Smiltynės g. 31 (Naujoji perkėla) 2018 m.
3) Smiltynės g. 30 (Naujoji perkėla) 2019 m.
4) Smiltynės g. 14C (kopose už gelbėjimo stoties) 2019 m. 
5) Smiltynės g. 14A (prie moterų paplūdimio) 2020 m.
6) Smiltynės g. 14B (prie bendro paplūdimio ) 2020 m.</t>
        </r>
      </text>
    </comment>
    <comment ref="Q96" authorId="0" shapeId="0">
      <text>
        <r>
          <rPr>
            <b/>
            <sz val="9"/>
            <color indexed="81"/>
            <rFont val="Tahoma"/>
            <family val="2"/>
            <charset val="186"/>
          </rPr>
          <t>Paplūdimiai, kurie dalyvauja Mėlynosios vėliavos programoje:</t>
        </r>
        <r>
          <rPr>
            <sz val="9"/>
            <color indexed="81"/>
            <rFont val="Tahoma"/>
            <family val="2"/>
            <charset val="186"/>
          </rPr>
          <t xml:space="preserve">
I-osios Smiltynės paplūdimys ir II-osios Melnragės paplūdimys</t>
        </r>
      </text>
    </comment>
    <comment ref="D98" authorId="0" shapeId="0">
      <text>
        <r>
          <rPr>
            <sz val="9"/>
            <color indexed="81"/>
            <rFont val="Tahoma"/>
            <family val="2"/>
            <charset val="186"/>
          </rPr>
          <t xml:space="preserve">Administraciniai ir gamybiniai pastatai Gluosnių g. 8 – 305,72 m2; Viešieji tualetai Stovyklų g. 4 –21,79 m2; Gelbėjimo stotis Smiltynės 15 c – 104,75 m2; Gelbėjimo stotis II Melnragė – 76,38 m2; Administracinės patalpos Garažų g. 6 – 299,99 m2; Viešieji tualetai I Melnragė Kopų g. 1A – 87,25 m2. Administruojama patalpų - </t>
        </r>
        <r>
          <rPr>
            <b/>
            <sz val="9"/>
            <color indexed="81"/>
            <rFont val="Tahoma"/>
            <family val="2"/>
            <charset val="186"/>
          </rPr>
          <t>895,9 m2</t>
        </r>
      </text>
    </comment>
    <comment ref="E98"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Q106" authorId="0" shapeId="0">
      <text>
        <r>
          <rPr>
            <sz val="9"/>
            <color indexed="81"/>
            <rFont val="Tahoma"/>
            <family val="2"/>
            <charset val="186"/>
          </rPr>
          <t xml:space="preserve">Techninis projektas parengtas. 2019 m. planuojama suremontuoti stogą, įstatyti langus. Pastatas reikalingas kaip vieta inventoriaus remonto darbų atlikimui
</t>
        </r>
      </text>
    </comment>
    <comment ref="Q109" authorId="0" shapeId="0">
      <text>
        <r>
          <rPr>
            <sz val="9"/>
            <color indexed="81"/>
            <rFont val="Tahoma"/>
            <family val="2"/>
            <charset val="186"/>
          </rPr>
          <t>Viešieji tualetai: Stovyklų g. 4 –21,79 m2; Kopų g. 1A (I Melnragė) – 87,25 m2;</t>
        </r>
      </text>
    </comment>
    <comment ref="E117"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Q137" authorId="0" shapeId="0">
      <text>
        <r>
          <rPr>
            <sz val="9"/>
            <color indexed="81"/>
            <rFont val="Tahoma"/>
            <family val="2"/>
            <charset val="186"/>
          </rPr>
          <t>Teatro aikštė 2000-čiui vartotojų, Kruizinių laivų terminale 3000-čiui vartotojų</t>
        </r>
      </text>
    </comment>
    <comment ref="E144" authorId="0" shapeId="0">
      <text>
        <r>
          <rPr>
            <b/>
            <sz val="9"/>
            <color indexed="81"/>
            <rFont val="Tahoma"/>
            <family val="2"/>
            <charset val="186"/>
          </rPr>
          <t xml:space="preserve">KSP 2.4.2.2. </t>
        </r>
        <r>
          <rPr>
            <sz val="9"/>
            <color indexed="81"/>
            <rFont val="Tahoma"/>
            <family val="2"/>
            <charset val="186"/>
          </rPr>
          <t>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47" authorId="0" shapeId="0">
      <text>
        <r>
          <rPr>
            <b/>
            <sz val="9"/>
            <color indexed="81"/>
            <rFont val="Tahoma"/>
            <family val="2"/>
            <charset val="186"/>
          </rPr>
          <t>2.4.1.2. KSP</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E150"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53" authorId="0" shapeId="0">
      <text>
        <r>
          <rPr>
            <b/>
            <sz val="9"/>
            <color indexed="81"/>
            <rFont val="Tahoma"/>
            <family val="2"/>
            <charset val="186"/>
          </rPr>
          <t xml:space="preserve">2.4.2.5. KSP priemonė: </t>
        </r>
        <r>
          <rPr>
            <sz val="9"/>
            <color indexed="81"/>
            <rFont val="Tahoma"/>
            <family val="2"/>
            <charset val="186"/>
          </rPr>
          <t>Atnaujinti gyvenamųjų kvartalų centrines aikštes ir kitas viešąsias erdves</t>
        </r>
      </text>
    </comment>
    <comment ref="E156"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59"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D193" authorId="0" shapeId="0">
      <text>
        <r>
          <rPr>
            <sz val="9"/>
            <color indexed="81"/>
            <rFont val="Tahoma"/>
            <family val="2"/>
            <charset val="186"/>
          </rPr>
          <t>1.  UAB „Pempininkų valda“, 2. UAB „Laukininkų valda“, 3. UAB „Žardės būstas“, 4. UAB „Vingio būstas“, 5.  UAB „Jūros būstas“, 6. UAB „Vėtrungės būstas“, 7. UAB „Danės būstas“, 8. UAB „Vitės valdos“, 9. UAB „Paslaugos būstui“, 10. UAB „Debreceno valdos“</t>
        </r>
      </text>
    </comment>
    <comment ref="D202" authorId="0" shapeId="0">
      <text>
        <r>
          <rPr>
            <sz val="9"/>
            <color indexed="81"/>
            <rFont val="Tahoma"/>
            <family val="2"/>
            <charset val="186"/>
          </rPr>
          <t>Šiame pastate yra 103 butai, iš kurių 97 butai priklauso Savivaldybei.</t>
        </r>
      </text>
    </comment>
    <comment ref="Q207" authorId="0" shapeId="0">
      <text>
        <r>
          <rPr>
            <sz val="9"/>
            <color indexed="81"/>
            <rFont val="Tahoma"/>
            <family val="2"/>
            <charset val="186"/>
          </rPr>
          <t xml:space="preserve">Siekiama įrengti meninio objekto žaidimo aikštelę senamiesčio erdvėje 
</t>
        </r>
      </text>
    </comment>
    <comment ref="Q217" authorId="0" shapeId="0">
      <text>
        <r>
          <rPr>
            <sz val="9"/>
            <color indexed="81"/>
            <rFont val="Tahoma"/>
            <family val="2"/>
            <charset val="186"/>
          </rPr>
          <t>2018 m. Barškių g. (perkelta iš 2017 m.);paviršinių nuotekų tinklų kolektoriaus rekonstravimas Utenos gatvės atkarpoje nuo Prienų g. 13 iki Utenos g. 18; I. Kanto g.;  I. Simonaitytės g. 24, 24T; Panevėžio g. 2; Kooperacijos g. išleidėjų į Malūno tvenkinį rekonstrukcija.</t>
        </r>
      </text>
    </comment>
    <comment ref="I230" authorId="0" shapeId="0">
      <text>
        <r>
          <rPr>
            <b/>
            <sz val="9"/>
            <color indexed="81"/>
            <rFont val="Tahoma"/>
            <family val="2"/>
            <charset val="186"/>
          </rPr>
          <t xml:space="preserve">11089,5
</t>
        </r>
        <r>
          <rPr>
            <sz val="9"/>
            <color indexed="81"/>
            <rFont val="Tahoma"/>
            <family val="2"/>
            <charset val="186"/>
          </rPr>
          <t xml:space="preserve">
</t>
        </r>
      </text>
    </comment>
  </commentList>
</comments>
</file>

<file path=xl/comments2.xml><?xml version="1.0" encoding="utf-8"?>
<comments xmlns="http://schemas.openxmlformats.org/spreadsheetml/2006/main">
  <authors>
    <author>Audra Cepiene</author>
  </authors>
  <commentList>
    <comment ref="E17" authorId="0" shapeId="0">
      <text>
        <r>
          <rPr>
            <b/>
            <sz val="9"/>
            <color indexed="81"/>
            <rFont val="Tahoma"/>
            <family val="2"/>
            <charset val="186"/>
          </rPr>
          <t>Klaipėdos miesto ekonominės plėtros strategija ir įgyvendinimo veiksmų planas iki 2030 metų, 3.1.13 priemonė</t>
        </r>
        <r>
          <rPr>
            <sz val="9"/>
            <color indexed="81"/>
            <rFont val="Tahoma"/>
            <family val="2"/>
            <charset val="186"/>
          </rPr>
          <t xml:space="preserve">
</t>
        </r>
      </text>
    </comment>
    <comment ref="E21" authorId="0" shapeId="0">
      <text>
        <r>
          <rPr>
            <b/>
            <sz val="9"/>
            <color indexed="81"/>
            <rFont val="Tahoma"/>
            <family val="2"/>
            <charset val="186"/>
          </rPr>
          <t>KSP 2.4.2.3.</t>
        </r>
        <r>
          <rPr>
            <sz val="9"/>
            <color indexed="81"/>
            <rFont val="Tahoma"/>
            <family val="2"/>
            <charset val="186"/>
          </rPr>
          <t xml:space="preserve">
Atnaujinti miesto centre esančius fontanus įrengiant šviesos instaliacijas ar kt. efektus </t>
        </r>
      </text>
    </comment>
    <comment ref="K38" authorId="0" shapeId="0">
      <text>
        <r>
          <rPr>
            <sz val="9"/>
            <color indexed="81"/>
            <rFont val="Tahoma"/>
            <family val="2"/>
            <charset val="186"/>
          </rPr>
          <t>Iš viso mieste yra 1,5 tūkst. vnt. šiukšliadėžių</t>
        </r>
      </text>
    </comment>
    <comment ref="K39" authorId="0" shapeId="0">
      <text>
        <r>
          <rPr>
            <sz val="9"/>
            <color indexed="81"/>
            <rFont val="Tahoma"/>
            <family val="2"/>
            <charset val="186"/>
          </rPr>
          <t>Iš viso mieste yra 1,1 tūkst. vnt. suoliuk</t>
        </r>
      </text>
    </comment>
    <comment ref="E45"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E49"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51"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D55" authorId="0" shapeId="0">
      <text>
        <r>
          <rPr>
            <sz val="9"/>
            <color indexed="81"/>
            <rFont val="Tahoma"/>
            <family val="2"/>
            <charset val="186"/>
          </rPr>
          <t xml:space="preserve">Skveras ties prekybos centru „Maxima“ (Šilutės pl. 40A) ir pėsčiųjų ir dviračių tako nuo 
Šilutės pl. iki Taikos pr. atnaujinimas 
</t>
        </r>
      </text>
    </comment>
    <comment ref="E55"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57"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G57" authorId="0" shapeId="0">
      <text>
        <r>
          <rPr>
            <sz val="9"/>
            <color indexed="81"/>
            <rFont val="Tahoma"/>
            <family val="2"/>
            <charset val="186"/>
          </rPr>
          <t>Visuomenininkai</t>
        </r>
      </text>
    </comment>
    <comment ref="E59"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E78"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D93" authorId="0" shapeId="0">
      <text>
        <r>
          <rPr>
            <sz val="9"/>
            <color indexed="81"/>
            <rFont val="Tahoma"/>
            <family val="2"/>
            <charset val="186"/>
          </rPr>
          <t xml:space="preserve">Administraciniai ir gamybiniai pastatai Gluosnių g. 8 – 305,72 m2; Viešieji tualetai Stovyklų g. 4 –21,79 m2; Gelbėjimo stotis Smiltynės 15 c – 104,75 m2; Gelbėjimo stotis II Melnragė – 76,38 m2; Administracinės patalpos Garažų g. 6 – 299,99 m2; Viešieji tualetai I Melnragė Kopų g. 1A – 87,25 m2. Administruojama patalpų - </t>
        </r>
        <r>
          <rPr>
            <b/>
            <sz val="9"/>
            <color indexed="81"/>
            <rFont val="Tahoma"/>
            <family val="2"/>
            <charset val="186"/>
          </rPr>
          <t>895,9 m2</t>
        </r>
      </text>
    </comment>
    <comment ref="E93"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E111"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D127" authorId="0" shapeId="0">
      <text>
        <r>
          <rPr>
            <sz val="9"/>
            <color indexed="81"/>
            <rFont val="Tahoma"/>
            <family val="2"/>
            <charset val="186"/>
          </rPr>
          <t xml:space="preserve">Apšvietimo projektas Smiltynės pagrindiniame take rengiamas kartu su Smiltynės atraminės sienutės  projektu.     </t>
        </r>
      </text>
    </comment>
    <comment ref="E144" authorId="0" shapeId="0">
      <text>
        <r>
          <rPr>
            <sz val="9"/>
            <color indexed="81"/>
            <rFont val="Tahoma"/>
            <family val="2"/>
            <charset val="186"/>
          </rPr>
          <t>KSP 2.4.2.2.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47" authorId="0" shapeId="0">
      <text>
        <r>
          <rPr>
            <sz val="9"/>
            <color indexed="81"/>
            <rFont val="Tahoma"/>
            <family val="2"/>
            <charset val="186"/>
          </rPr>
          <t>2.4.1.2. KSP Sutvarkyti ir pritaikyti visuomenės arba rekreaciniams poreikiams Danės upės slėnio ir žiočių teritorijas; Danės upę pritaikyti laivybai, rekonstruoti Danės upės krantines nuo Biržos tilto iki Mokyklos gatvės tilto:</t>
        </r>
      </text>
    </comment>
    <comment ref="E151" authorId="0" shapeId="0">
      <text>
        <r>
          <rPr>
            <sz val="9"/>
            <color indexed="81"/>
            <rFont val="Tahoma"/>
            <family val="2"/>
            <charset val="186"/>
          </rPr>
          <t xml:space="preserve">KSP 2.4.2.2.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P6, Klaipėdos miesto ekonominės plėtros strategija ir įgyvendinimo veiksmų planas iki 2030 metų, 3.1.5. "Intencyvinti linijinį centrą Taikos pr. ašyje" </t>
        </r>
      </text>
    </comment>
    <comment ref="E155" authorId="0" shapeId="0">
      <text>
        <r>
          <rPr>
            <sz val="9"/>
            <color indexed="81"/>
            <rFont val="Tahoma"/>
            <family val="2"/>
            <charset val="186"/>
          </rPr>
          <t xml:space="preserve">2.4.2.5. KSP priemonė: Atnaujinti gyvenamųjų kvartalų centrines aikštes ir kitas viešąsias erdves, 3.1.1.1. priemonė "Išvystyti senąją turgavietę", Klaipėdos miesto ekonominės plėtros strategija ir įgyvendinimo veiksmų planas iki 2030 metų </t>
        </r>
      </text>
    </comment>
    <comment ref="E158"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61"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64" authorId="0" shapeId="0">
      <text>
        <r>
          <rPr>
            <sz val="9"/>
            <color indexed="81"/>
            <rFont val="Tahoma"/>
            <family val="2"/>
            <charset val="186"/>
          </rPr>
          <t>KSP 2.4.2.2.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70" authorId="0" shapeId="0">
      <text>
        <r>
          <rPr>
            <b/>
            <sz val="9"/>
            <color indexed="81"/>
            <rFont val="Tahoma"/>
            <family val="2"/>
            <charset val="186"/>
          </rPr>
          <t>2.4.1.2</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L189" authorId="0" shapeId="0">
      <text>
        <r>
          <rPr>
            <sz val="9"/>
            <color indexed="81"/>
            <rFont val="Tahoma"/>
            <family val="2"/>
            <charset val="186"/>
          </rPr>
          <t>techninio projekto parengimas</t>
        </r>
        <r>
          <rPr>
            <sz val="9"/>
            <color indexed="81"/>
            <rFont val="Tahoma"/>
            <family val="2"/>
            <charset val="186"/>
          </rPr>
          <t xml:space="preserve">
</t>
        </r>
      </text>
    </comment>
    <comment ref="D195" authorId="0" shapeId="0">
      <text>
        <r>
          <rPr>
            <b/>
            <sz val="9"/>
            <color indexed="81"/>
            <rFont val="Tahoma"/>
            <family val="2"/>
            <charset val="186"/>
          </rPr>
          <t>Panaudotos lėšos:</t>
        </r>
        <r>
          <rPr>
            <sz val="9"/>
            <color indexed="81"/>
            <rFont val="Tahoma"/>
            <family val="2"/>
            <charset val="186"/>
          </rPr>
          <t xml:space="preserve">
2016 m. panaudota 102.200,97 Eur SB ;
2017 m. panaudota 398.962,26 Eur SB ir 41.418,00 Eur KT lėšų;
2018 m. planuojama panaudoti visa sumą 1.408.500,00 Eur SB
</t>
        </r>
        <r>
          <rPr>
            <b/>
            <sz val="9"/>
            <color indexed="81"/>
            <rFont val="Tahoma"/>
            <family val="2"/>
            <charset val="186"/>
          </rPr>
          <t>Namų valdos:</t>
        </r>
        <r>
          <rPr>
            <sz val="9"/>
            <color indexed="81"/>
            <rFont val="Tahoma"/>
            <family val="2"/>
            <charset val="186"/>
          </rPr>
          <t xml:space="preserve">
1.  UAB „Pempininkų valda“, 2. UAB „Laukininkų valda“, 3. UAB „Žardės būstas“, 4. UAB „Vingio būstas“, 5.  UAB „Jūros būstas“, 6. UAB „Vėtrungės būstas“, 7. UAB „Danės būstas“, 8. UAB „Vitės valdos“, 9. UAB „Paslaugos būstui“, 10. UAB „Debreceno valdos“</t>
        </r>
      </text>
    </comment>
  </commentList>
</comments>
</file>

<file path=xl/comments3.xml><?xml version="1.0" encoding="utf-8"?>
<comments xmlns="http://schemas.openxmlformats.org/spreadsheetml/2006/main">
  <authors>
    <author>Audra Cepiene</author>
  </authors>
  <commentList>
    <comment ref="F14" authorId="0" shapeId="0">
      <text>
        <r>
          <rPr>
            <b/>
            <sz val="9"/>
            <color indexed="81"/>
            <rFont val="Tahoma"/>
            <family val="2"/>
            <charset val="186"/>
          </rPr>
          <t>Klaipėdos miesto ekonominės plėtros strategija ir įgyvendinimo veiksmų planas iki 2030 metų, 3.1.13 priemonė</t>
        </r>
        <r>
          <rPr>
            <sz val="9"/>
            <color indexed="81"/>
            <rFont val="Tahoma"/>
            <family val="2"/>
            <charset val="186"/>
          </rPr>
          <t xml:space="preserve">
</t>
        </r>
      </text>
    </comment>
    <comment ref="F18" authorId="0" shapeId="0">
      <text>
        <r>
          <rPr>
            <b/>
            <sz val="9"/>
            <color indexed="81"/>
            <rFont val="Tahoma"/>
            <family val="2"/>
            <charset val="186"/>
          </rPr>
          <t>KSP 2.4.2.3.</t>
        </r>
        <r>
          <rPr>
            <sz val="9"/>
            <color indexed="81"/>
            <rFont val="Tahoma"/>
            <family val="2"/>
            <charset val="186"/>
          </rPr>
          <t xml:space="preserve">
Atnaujinti miesto centre esančius fontanus įrengiant šviesos instaliacijas ar kt. efektus </t>
        </r>
      </text>
    </comment>
    <comment ref="N18" authorId="0" shapeId="0">
      <text>
        <r>
          <rPr>
            <sz val="9"/>
            <color indexed="81"/>
            <rFont val="Tahoma"/>
            <family val="2"/>
            <charset val="186"/>
          </rPr>
          <t xml:space="preserve">Eksploatuojami 4 fontanai: "Taravos Anikė"; "Laivelis" Meridiano skvere; Debreceno aikštės fontanas; Pempininkų aikštės fontanas
</t>
        </r>
      </text>
    </comment>
    <comment ref="J22" authorId="0" shapeId="0">
      <text>
        <r>
          <rPr>
            <sz val="9"/>
            <color indexed="81"/>
            <rFont val="Tahoma"/>
            <family val="2"/>
            <charset val="186"/>
          </rPr>
          <t xml:space="preserve">3,6 tūkst. eur projektas, tai persikelia į 2019 m. (43,1-3,6) </t>
        </r>
        <r>
          <rPr>
            <b/>
            <sz val="9"/>
            <color indexed="81"/>
            <rFont val="Tahoma"/>
            <family val="2"/>
            <charset val="186"/>
          </rPr>
          <t>39,5 tūkst. eur</t>
        </r>
      </text>
    </comment>
    <comment ref="K22" authorId="0" shapeId="0">
      <text>
        <r>
          <rPr>
            <sz val="9"/>
            <color indexed="81"/>
            <rFont val="Tahoma"/>
            <family val="2"/>
            <charset val="186"/>
          </rPr>
          <t>iš viso projekto kaina 53,8 tūkst. eur , iš jų 3,6 tūkst. eur projektas (43,1-3,6) 39,5 tūkst. eur persikelia</t>
        </r>
      </text>
    </comment>
    <comment ref="P22" authorId="0" shapeId="0">
      <text>
        <r>
          <rPr>
            <sz val="9"/>
            <color indexed="81"/>
            <rFont val="Tahoma"/>
            <family val="2"/>
            <charset val="186"/>
          </rPr>
          <t>iš viso projekto kaina 53,8 tūkst. eur , iš jų 3,6 tūkst. eur projektas</t>
        </r>
      </text>
    </comment>
    <comment ref="N37" authorId="0" shapeId="0">
      <text>
        <r>
          <rPr>
            <sz val="9"/>
            <color indexed="81"/>
            <rFont val="Tahoma"/>
            <family val="2"/>
            <charset val="186"/>
          </rPr>
          <t>Iš viso mieste yra 1,5 tūkst. vnt. šiukšliadėžių</t>
        </r>
      </text>
    </comment>
    <comment ref="N38" authorId="0" shapeId="0">
      <text>
        <r>
          <rPr>
            <sz val="9"/>
            <color indexed="81"/>
            <rFont val="Tahoma"/>
            <family val="2"/>
            <charset val="186"/>
          </rPr>
          <t>Iš viso mieste yra 1,1 tūkst. vnt. suoliuk</t>
        </r>
      </text>
    </comment>
    <comment ref="F44"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F49"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J49" authorId="0" shapeId="0">
      <text>
        <r>
          <rPr>
            <b/>
            <sz val="9"/>
            <color indexed="81"/>
            <rFont val="Tahoma"/>
            <family val="2"/>
            <charset val="186"/>
          </rPr>
          <t>-270,2 į Gedminų taką</t>
        </r>
        <r>
          <rPr>
            <sz val="9"/>
            <color indexed="81"/>
            <rFont val="Tahoma"/>
            <family val="2"/>
            <charset val="186"/>
          </rPr>
          <t xml:space="preserve">
</t>
        </r>
      </text>
    </comment>
    <comment ref="F51"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K51" authorId="0" shapeId="0">
      <text>
        <r>
          <rPr>
            <sz val="9"/>
            <color indexed="81"/>
            <rFont val="Tahoma"/>
            <family val="2"/>
            <charset val="186"/>
          </rPr>
          <t>Nuimta nuo sanitarinių 200, nuo lietaus nuotekų remonto 100, nuo daugiabučių kiemų 100 tūkst. eur</t>
        </r>
      </text>
    </comment>
    <comment ref="N51" authorId="0" shapeId="0">
      <text>
        <r>
          <rPr>
            <sz val="9"/>
            <color indexed="81"/>
            <rFont val="Tahoma"/>
            <family val="2"/>
            <charset val="186"/>
          </rPr>
          <t xml:space="preserve">Parengtas techninis projektas. Paveldosaugos skyrius 
</t>
        </r>
      </text>
    </comment>
    <comment ref="E55" authorId="0" shapeId="0">
      <text>
        <r>
          <rPr>
            <sz val="9"/>
            <color indexed="81"/>
            <rFont val="Tahoma"/>
            <family val="2"/>
            <charset val="186"/>
          </rPr>
          <t xml:space="preserve">Skveras ties prekybos centru „Maxima“ (Šilutės pl. 40A) ir pėsčiųjų ir dviračių tako nuo 
Šilutės pl. iki Taikos pr. atnaujinimas 
</t>
        </r>
      </text>
    </comment>
    <comment ref="F55"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F57"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I57" authorId="0" shapeId="0">
      <text>
        <r>
          <rPr>
            <sz val="9"/>
            <color indexed="81"/>
            <rFont val="Tahoma"/>
            <family val="2"/>
            <charset val="186"/>
          </rPr>
          <t>Visuomenininkai</t>
        </r>
      </text>
    </comment>
    <comment ref="E59" authorId="0" shapeId="0">
      <text>
        <r>
          <rPr>
            <sz val="9"/>
            <color indexed="81"/>
            <rFont val="Tahoma"/>
            <family val="2"/>
            <charset val="186"/>
          </rPr>
          <t xml:space="preserve">Techninis projektas yra parengtas. Rengėjas Paveldosaugos skyrius
</t>
        </r>
      </text>
    </comment>
    <comment ref="F59"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F64"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F66" authorId="0" shapeId="0">
      <text>
        <r>
          <rPr>
            <b/>
            <sz val="9"/>
            <color indexed="81"/>
            <rFont val="Tahoma"/>
            <family val="2"/>
            <charset val="186"/>
          </rPr>
          <t xml:space="preserve">2.4.2.4. KSP priemonė: </t>
        </r>
        <r>
          <rPr>
            <sz val="9"/>
            <color indexed="81"/>
            <rFont val="Tahoma"/>
            <family val="2"/>
            <charset val="186"/>
          </rPr>
          <t>Atnaujinti gyvenamųjų kvartalų centrines aikštes ir kitas viešąsias erdves</t>
        </r>
      </text>
    </comment>
    <comment ref="F97"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N97" authorId="0" shapeId="0">
      <text>
        <r>
          <rPr>
            <sz val="9"/>
            <color indexed="81"/>
            <rFont val="Tahoma"/>
            <family val="2"/>
            <charset val="186"/>
          </rPr>
          <t>projektas parengtas, darbų pradžia planauojama 2022 metais</t>
        </r>
      </text>
    </comment>
    <comment ref="N99" authorId="0" shapeId="0">
      <text>
        <r>
          <rPr>
            <sz val="9"/>
            <color indexed="81"/>
            <rFont val="Tahoma"/>
            <family val="2"/>
            <charset val="186"/>
          </rPr>
          <t>projektas parengtas, darbų pradžia planauojama 2022 metais</t>
        </r>
      </text>
    </comment>
    <comment ref="K101" authorId="0" shapeId="0">
      <text>
        <r>
          <rPr>
            <b/>
            <sz val="9"/>
            <color indexed="81"/>
            <rFont val="Tahoma"/>
            <family val="2"/>
            <charset val="186"/>
          </rPr>
          <t>projektų užbaigimui už atramines sienutes</t>
        </r>
        <r>
          <rPr>
            <sz val="9"/>
            <color indexed="81"/>
            <rFont val="Tahoma"/>
            <family val="2"/>
            <charset val="186"/>
          </rPr>
          <t xml:space="preserve">
</t>
        </r>
      </text>
    </comment>
    <comment ref="E110" authorId="0" shapeId="0">
      <text>
        <r>
          <rPr>
            <sz val="9"/>
            <color indexed="81"/>
            <rFont val="Tahoma"/>
            <family val="2"/>
            <charset val="186"/>
          </rPr>
          <t xml:space="preserve">Administraciniai ir gamybiniai pastatai Gluosnių g. 8 – 305,72 m2; Viešieji tualetai Stovyklų g. 4 –21,79 m2; Gelbėjimo stotis Smiltynės 15 c – 104,75 m2; Gelbėjimo stotis II Melnragė – 76,38 m2; Administracinės patalpos Garažų g. 6 – 299,99 m2; Viešieji tualetai I Melnragė Kopų g. 1A – 87,25 m2. Administruojama patalpų - </t>
        </r>
        <r>
          <rPr>
            <b/>
            <sz val="9"/>
            <color indexed="81"/>
            <rFont val="Tahoma"/>
            <family val="2"/>
            <charset val="186"/>
          </rPr>
          <t>895,9 m2</t>
        </r>
      </text>
    </comment>
    <comment ref="F110"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N138" authorId="0" shapeId="0">
      <text>
        <r>
          <rPr>
            <sz val="9"/>
            <color indexed="81"/>
            <rFont val="Tahoma"/>
            <family val="2"/>
            <charset val="186"/>
          </rPr>
          <t>Viešieji tualetai: Stovyklų g. 4 –21,79 m2; Kopų g. 1A (I Melnragė) – 87,25 m2;</t>
        </r>
      </text>
    </comment>
    <comment ref="N141" authorId="0" shapeId="0">
      <text>
        <r>
          <rPr>
            <sz val="9"/>
            <color indexed="81"/>
            <rFont val="Tahoma"/>
            <family val="2"/>
            <charset val="186"/>
          </rPr>
          <t>pradėtas rengti viešųjų pirkimų konkursas, darbus planuojama atlikti 2018 m.</t>
        </r>
      </text>
    </comment>
    <comment ref="F146"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O156" authorId="0" shapeId="0">
      <text>
        <r>
          <rPr>
            <b/>
            <sz val="9"/>
            <color indexed="81"/>
            <rFont val="Tahoma"/>
            <family val="2"/>
            <charset val="186"/>
          </rPr>
          <t>Parengti techniniai projektai:</t>
        </r>
        <r>
          <rPr>
            <sz val="9"/>
            <color indexed="81"/>
            <rFont val="Tahoma"/>
            <family val="2"/>
            <charset val="186"/>
          </rPr>
          <t xml:space="preserve">
1. Praėjime take nuo dviračių tako iki Debreceno g. 52 namo; 2. Aukštosios g. ruože nuo Daržų g. iki Turgaus a.;
3. Oro linijų keitimas į kabelines Pievų Tako g.;</t>
        </r>
      </text>
    </comment>
    <comment ref="P156" authorId="0" shapeId="0">
      <text>
        <r>
          <rPr>
            <sz val="9"/>
            <color indexed="81"/>
            <rFont val="Tahoma"/>
            <family val="2"/>
            <charset val="186"/>
          </rPr>
          <t>2018 m. likutis dėl neįvykdymo - parengti techniniai projektai Šiltnamių g., Ukmergės g., Pievų Tako g. vnt.
Oto g.; take nuo Kretingos g. iki Geležinkelio g. 2A; praėjime nuo Taikos pr. 8 iki Sausio 15-osios 2A ; Daukanto g. 13a ir Pievų Tako g. 8,</t>
        </r>
      </text>
    </comment>
    <comment ref="Q162" authorId="0" shapeId="0">
      <text>
        <r>
          <rPr>
            <sz val="9"/>
            <color indexed="81"/>
            <rFont val="Tahoma"/>
            <family val="2"/>
            <charset val="186"/>
          </rPr>
          <t xml:space="preserve">Oro linijų keitimas į kabelines Kretingos g., Reikjaviko g. 13 </t>
        </r>
      </text>
    </comment>
    <comment ref="E163" authorId="0" shapeId="0">
      <text>
        <r>
          <rPr>
            <sz val="9"/>
            <color indexed="81"/>
            <rFont val="Tahoma"/>
            <family val="2"/>
            <charset val="186"/>
          </rPr>
          <t xml:space="preserve">Apšvietimo projektas Smiltynės pagrindiniame take rengiamas kartu su Smiltynės atraminės sienutės  projektu.     </t>
        </r>
      </text>
    </comment>
    <comment ref="N167" authorId="0" shapeId="0">
      <text>
        <r>
          <rPr>
            <sz val="9"/>
            <color indexed="81"/>
            <rFont val="Tahoma"/>
            <family val="2"/>
            <charset val="186"/>
          </rPr>
          <t xml:space="preserve">Šiltnamių g., Ukmergės g. įrengimas atidėtas vėlesniam laikotarpiui, nes neatitinka ESO 2019 m. prioritetų. KMSA gatvių apšvietimą įrenginėja kartu su ESO  </t>
        </r>
      </text>
    </comment>
    <comment ref="N169" authorId="0" shapeId="0">
      <text>
        <r>
          <rPr>
            <sz val="9"/>
            <color indexed="81"/>
            <rFont val="Tahoma"/>
            <family val="2"/>
            <charset val="186"/>
          </rPr>
          <t xml:space="preserve">Apšvietimą Baltijos pr. ir Taikos pr. požeminėse perėjose suremontavo UAB "Gatvių apšvietimas" iš amortizacinių lėšų.  </t>
        </r>
      </text>
    </comment>
    <comment ref="N173" authorId="0" shapeId="0">
      <text>
        <r>
          <rPr>
            <b/>
            <sz val="9"/>
            <color indexed="81"/>
            <rFont val="Tahoma"/>
            <family val="2"/>
            <charset val="186"/>
          </rPr>
          <t xml:space="preserve">87 kamerų priežiūra </t>
        </r>
        <r>
          <rPr>
            <sz val="9"/>
            <color indexed="81"/>
            <rFont val="Tahoma"/>
            <family val="2"/>
            <charset val="186"/>
          </rPr>
          <t xml:space="preserve">(58 esamos+8(Poilsio parkas)+7(Sąjūdžio parkas)+12(Gedminų alėja)+2(Minijos-Baltijos sankryža), 
</t>
        </r>
        <r>
          <rPr>
            <b/>
            <sz val="9"/>
            <color indexed="81"/>
            <rFont val="Tahoma"/>
            <family val="2"/>
            <charset val="186"/>
          </rPr>
          <t>60 kamerų priežiūra</t>
        </r>
        <r>
          <rPr>
            <sz val="9"/>
            <color indexed="81"/>
            <rFont val="Tahoma"/>
            <family val="2"/>
            <charset val="186"/>
          </rPr>
          <t xml:space="preserve"> (45 naujų kamerų, 7 naujos policijai pagal prašymą, 8 (Klaipėdos piliavietė ir Vasaros estradoje)
Stebėjimo kamerų tinklo diegimas autobusų ir geležinkelių stotyse bei intermodaliniuose centruose </t>
        </r>
        <r>
          <rPr>
            <b/>
            <sz val="9"/>
            <color indexed="81"/>
            <rFont val="Tahoma"/>
            <family val="2"/>
            <charset val="186"/>
          </rPr>
          <t xml:space="preserve">(Darnaus judumo planas)
</t>
        </r>
      </text>
    </comment>
    <comment ref="F181" authorId="0" shapeId="0">
      <text>
        <r>
          <rPr>
            <b/>
            <sz val="9"/>
            <color indexed="81"/>
            <rFont val="Tahoma"/>
            <family val="2"/>
            <charset val="186"/>
          </rPr>
          <t xml:space="preserve">KSP 2.4.2.2. </t>
        </r>
        <r>
          <rPr>
            <sz val="9"/>
            <color indexed="81"/>
            <rFont val="Tahoma"/>
            <family val="2"/>
            <charset val="186"/>
          </rPr>
          <t>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N181" authorId="0" shapeId="0">
      <text>
        <r>
          <rPr>
            <sz val="9"/>
            <color indexed="81"/>
            <rFont val="Tahoma"/>
            <family val="2"/>
            <charset val="186"/>
          </rPr>
          <t xml:space="preserve">2019 m. vyksta projekto ekspertizė, projekto sąmatos korekcija, rangos darbų pirkimas ir archeologiniai tyrinėjimai 
</t>
        </r>
      </text>
    </comment>
    <comment ref="F185" authorId="0" shapeId="0">
      <text>
        <r>
          <rPr>
            <b/>
            <sz val="9"/>
            <color indexed="81"/>
            <rFont val="Tahoma"/>
            <family val="2"/>
            <charset val="186"/>
          </rPr>
          <t>2.4.1.2. KSP</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F189"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t>
        </r>
        <r>
          <rPr>
            <b/>
            <sz val="9"/>
            <color indexed="81"/>
            <rFont val="Tahoma"/>
            <family val="2"/>
            <charset val="186"/>
          </rPr>
          <t xml:space="preserve">P6, Klaipėdos miesto ekonominės plėtros strategija ir įgyvendinimo veiksmų planas iki 2030 metų, 3.1.5. </t>
        </r>
        <r>
          <rPr>
            <sz val="9"/>
            <color indexed="81"/>
            <rFont val="Tahoma"/>
            <family val="2"/>
            <charset val="186"/>
          </rPr>
          <t xml:space="preserve">"Intencyvinti linijinį centrą Taikos pr. ašyje" </t>
        </r>
      </text>
    </comment>
    <comment ref="F195" authorId="0" shapeId="0">
      <text>
        <r>
          <rPr>
            <sz val="9"/>
            <color indexed="81"/>
            <rFont val="Tahoma"/>
            <family val="2"/>
            <charset val="186"/>
          </rPr>
          <t xml:space="preserve">2.4.2.5. KSP priemonė: Atnaujinti gyvenamųjų kvartalų centrines aikštes ir kitas viešąsias erdves, 3.1.1.1. priemonė "Išvystyti senąją turgavietę", Klaipėdos miesto ekonominės plėtros strategija ir įgyvendinimo veiksmų planas iki 2030 metų </t>
        </r>
      </text>
    </comment>
    <comment ref="F199"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F203"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F207"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F216" authorId="0" shapeId="0">
      <text>
        <r>
          <rPr>
            <b/>
            <sz val="9"/>
            <color indexed="81"/>
            <rFont val="Tahoma"/>
            <family val="2"/>
            <charset val="186"/>
          </rPr>
          <t>2.4.1.2</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E219" authorId="0" shapeId="0">
      <text>
        <r>
          <rPr>
            <sz val="9"/>
            <color indexed="81"/>
            <rFont val="Tahoma"/>
            <family val="2"/>
            <charset val="186"/>
          </rPr>
          <t>Siūloma nauja priemonė iš Miesto plėtros ir strateginio planavimo komiteto. Protokolas 2018-06-20 Nr. TAR-56</t>
        </r>
      </text>
    </comment>
    <comment ref="N236" authorId="0" shapeId="0">
      <text>
        <r>
          <rPr>
            <sz val="9"/>
            <color indexed="81"/>
            <rFont val="Tahoma"/>
            <family val="2"/>
            <charset val="186"/>
          </rPr>
          <t>parengtas techninis projekas 2018 m.</t>
        </r>
      </text>
    </comment>
    <comment ref="N237" authorId="0" shapeId="0">
      <text>
        <r>
          <rPr>
            <sz val="9"/>
            <color indexed="81"/>
            <rFont val="Tahoma"/>
            <family val="2"/>
            <charset val="186"/>
          </rPr>
          <t>parengtas techninis projekas 2018 m.</t>
        </r>
      </text>
    </comment>
    <comment ref="E244" authorId="0" shapeId="0">
      <text>
        <r>
          <rPr>
            <b/>
            <sz val="9"/>
            <color indexed="81"/>
            <rFont val="Tahoma"/>
            <family val="2"/>
            <charset val="186"/>
          </rPr>
          <t>Panaudotos lėšos:</t>
        </r>
        <r>
          <rPr>
            <sz val="9"/>
            <color indexed="81"/>
            <rFont val="Tahoma"/>
            <family val="2"/>
            <charset val="186"/>
          </rPr>
          <t xml:space="preserve">
2016 m. panaudota 102.200,97 Eur SB ;
2017 m. panaudota 398.962,26 Eur SB ir 41.418,00 Eur KT lėšų;
2018 m. planuojama panaudoti visa sumą 1.408.500,00 Eur SB
</t>
        </r>
        <r>
          <rPr>
            <b/>
            <sz val="9"/>
            <color indexed="81"/>
            <rFont val="Tahoma"/>
            <family val="2"/>
            <charset val="186"/>
          </rPr>
          <t>Namų valdos:</t>
        </r>
        <r>
          <rPr>
            <sz val="9"/>
            <color indexed="81"/>
            <rFont val="Tahoma"/>
            <family val="2"/>
            <charset val="186"/>
          </rPr>
          <t xml:space="preserve">
1.  UAB „Pempininkų valda“, 2. UAB „Laukininkų valda“, 3. UAB „Žardės būstas“, 4. UAB „Vingio būstas“, 5.  UAB „Jūros būstas“, 6. UAB „Vėtrungės būstas“, 7. UAB „Danės būstas“, 8. UAB „Vitės valdos“, 9. UAB „Paslaugos būstui“, 10. UAB „Debreceno valdos“</t>
        </r>
      </text>
    </comment>
    <comment ref="P248" authorId="0" shapeId="0">
      <text>
        <r>
          <rPr>
            <sz val="9"/>
            <color indexed="81"/>
            <rFont val="Tahoma"/>
            <family val="2"/>
            <charset val="186"/>
          </rPr>
          <t xml:space="preserve">neįvykdyti darbai 2018 m. -182 vnt., 2019 m. -390 vnt.
</t>
        </r>
      </text>
    </comment>
    <comment ref="O257" authorId="0" shapeId="0">
      <text>
        <r>
          <rPr>
            <sz val="9"/>
            <color indexed="81"/>
            <rFont val="Tahoma"/>
            <family val="2"/>
            <charset val="186"/>
          </rPr>
          <t xml:space="preserve">2019 m. pradžioje bus įrengtos vaikų žaidimų aikštelės – prie Kretingos 19-21, Ryšininkų g. 3, S. Pylimo 3, Taikos pr. 10 daugiabučių namų, parke Šaulių g. prie Koncertų salės. </t>
        </r>
      </text>
    </comment>
    <comment ref="N262" authorId="0" shapeId="0">
      <text>
        <r>
          <rPr>
            <sz val="9"/>
            <color indexed="81"/>
            <rFont val="Tahoma"/>
            <family val="2"/>
            <charset val="186"/>
          </rPr>
          <t xml:space="preserve">Siekiama įrengti meninio objekto žaidimo aikštelę senamiesčio erdvėje 
Reikalingas idėjų konkursas </t>
        </r>
      </text>
    </comment>
    <comment ref="P274" authorId="0" shapeId="0">
      <text>
        <r>
          <rPr>
            <sz val="9"/>
            <color indexed="81"/>
            <rFont val="Tahoma"/>
            <family val="2"/>
            <charset val="186"/>
          </rPr>
          <t>2019 m. planuojama rekonstruoti lietaus nuotekų tinklus Kauno g., Malūnininkų g. paviršinių nuotekų kolektorius, taip pat planuojama tvarkyti KLASKO teritorijoje esantį kolektorių, kuris priklauso Klaipėdos miesto savivaldybei, sugriuvus kolektoriui ar didelio lietaus metu, galimas teritorijų apsėmimas šalia Janonio g. ir N. Uosto g</t>
        </r>
      </text>
    </comment>
    <comment ref="P275" authorId="0" shapeId="0">
      <text>
        <r>
          <rPr>
            <b/>
            <sz val="9"/>
            <color indexed="81"/>
            <rFont val="Tahoma"/>
            <family val="2"/>
            <charset val="186"/>
          </rPr>
          <t xml:space="preserve">neįvykdyti darbai 2018 m. </t>
        </r>
      </text>
    </comment>
    <comment ref="E278" authorId="0" shapeId="0">
      <text>
        <r>
          <rPr>
            <b/>
            <sz val="9"/>
            <color indexed="81"/>
            <rFont val="Tahoma"/>
            <family val="2"/>
            <charset val="186"/>
          </rPr>
          <t>2016-09-23 STR3-12,</t>
        </r>
        <r>
          <rPr>
            <sz val="9"/>
            <color indexed="81"/>
            <rFont val="Tahoma"/>
            <family val="2"/>
            <charset val="186"/>
          </rPr>
          <t xml:space="preserve"> 2016 m. parengta teritorijos išvystymo galimybių studija. Projektas apima gatvių nutiesimą, vandentiekį, nuotekas, šilumos tinklus, apšvietimą, elektros tinklus, dujas. </t>
        </r>
      </text>
    </comment>
    <comment ref="E281" authorId="0" shapeId="0">
      <text>
        <r>
          <rPr>
            <sz val="9"/>
            <color indexed="81"/>
            <rFont val="Tahoma"/>
            <family val="2"/>
            <charset val="186"/>
          </rPr>
          <t>2017 m.  ties vieta (Baltijos pr. 109) statybos darbų atlikimo eigoje papildomai buvo nuspręsta remontuoti esamą pėsčiųjų taką, kad būtų sklandesnis sujungimas su esamais prie daugiabučių namų takais.</t>
        </r>
        <r>
          <rPr>
            <b/>
            <sz val="9"/>
            <color indexed="81"/>
            <rFont val="Tahoma"/>
            <family val="2"/>
            <charset val="186"/>
          </rPr>
          <t xml:space="preserve"> Šalia įrengiamo tako esama asfaltuota kelio danga nebuvo tvarkoma, taip pat ir lietaus surinkimo sistema</t>
        </r>
        <r>
          <rPr>
            <sz val="9"/>
            <color indexed="81"/>
            <rFont val="Tahoma"/>
            <family val="2"/>
            <charset val="186"/>
          </rPr>
          <t>. Įrengus papildomą pėsčiųjų tako atkarpą, atsirado problema dėl kelio apsėmimo, nes nebenuteka lietaus vanduo. Gautas AB „Klaipėdos vanduo“ prašymas, kad šioje atkarpoje būtina įrengti lietaus nuotekų tinklus (ilgis ~60 m., reikia įrengti laiptuotas surinkimo groteles (2 vnt.) ir gelžbetoninius šulinėlius.</t>
        </r>
      </text>
    </comment>
    <comment ref="J293" authorId="0" shapeId="0">
      <text>
        <r>
          <rPr>
            <b/>
            <sz val="9"/>
            <color indexed="81"/>
            <rFont val="Tahoma"/>
            <family val="2"/>
            <charset val="186"/>
          </rPr>
          <t>11089,5</t>
        </r>
        <r>
          <rPr>
            <sz val="9"/>
            <color indexed="81"/>
            <rFont val="Tahoma"/>
            <family val="2"/>
            <charset val="186"/>
          </rPr>
          <t xml:space="preserve">
</t>
        </r>
      </text>
    </comment>
    <comment ref="J310" authorId="0" shapeId="0">
      <text>
        <r>
          <rPr>
            <b/>
            <sz val="9"/>
            <color indexed="81"/>
            <rFont val="Tahoma"/>
            <family val="2"/>
            <charset val="186"/>
          </rPr>
          <t xml:space="preserve">13434,7
</t>
        </r>
        <r>
          <rPr>
            <sz val="9"/>
            <color indexed="81"/>
            <rFont val="Tahoma"/>
            <family val="2"/>
            <charset val="186"/>
          </rPr>
          <t xml:space="preserve">
</t>
        </r>
      </text>
    </comment>
  </commentList>
</comments>
</file>

<file path=xl/sharedStrings.xml><?xml version="1.0" encoding="utf-8"?>
<sst xmlns="http://schemas.openxmlformats.org/spreadsheetml/2006/main" count="1631" uniqueCount="503">
  <si>
    <t>Uždavinio kodas</t>
  </si>
  <si>
    <t>Priemonės kodas</t>
  </si>
  <si>
    <t>Priemonės požymis</t>
  </si>
  <si>
    <t>Asignavimų valdytojo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</si>
  <si>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</si>
  <si>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</si>
  <si>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</si>
  <si>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</si>
  <si>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</si>
  <si>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</si>
  <si>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</si>
  <si>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</si>
  <si>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</si>
  <si>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</si>
  <si>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</si>
  <si>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</si>
  <si>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</si>
  <si>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Veiklos plano tikslo kodas</t>
  </si>
  <si>
    <r>
      <t xml:space="preserve">Savivaldybės biudžeto lėšos </t>
    </r>
    <r>
      <rPr>
        <b/>
        <sz val="10"/>
        <rFont val="Times New Roman"/>
        <family val="1"/>
        <charset val="186"/>
      </rPr>
      <t>SB</t>
    </r>
  </si>
  <si>
    <r>
      <t xml:space="preserve">Specialiosios programos lėšos (pajamos už atsitiktines paslaugas) </t>
    </r>
    <r>
      <rPr>
        <b/>
        <sz val="10"/>
        <rFont val="Times New Roman"/>
        <family val="1"/>
        <charset val="186"/>
      </rPr>
      <t>SB(SP)</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</si>
  <si>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</si>
  <si>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</si>
  <si>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</si>
  <si>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</si>
  <si>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</si>
  <si>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MIESTO INFRASTRUKTŪROS OBJEKTŲ PRIEŽIŪROS IR MODERNIZAVIMO PROGRAMOS (NR. 07)</t>
  </si>
  <si>
    <t>03</t>
  </si>
  <si>
    <t>6</t>
  </si>
  <si>
    <t>06</t>
  </si>
  <si>
    <t>08</t>
  </si>
  <si>
    <t>Fontanų priežiūra, remontas ir atnaujinimas</t>
  </si>
  <si>
    <t>Miesto viešų teritorijų inventoriaus priežiūra, įrengimas ir įsigijimas</t>
  </si>
  <si>
    <t>Prižiūrima fontanų, vnt.</t>
  </si>
  <si>
    <t>Įsigyta šiukšliadėžių, vnt.</t>
  </si>
  <si>
    <t>04</t>
  </si>
  <si>
    <t>05</t>
  </si>
  <si>
    <t>07</t>
  </si>
  <si>
    <t>Miesto viešųjų tualetų remontas, priežiūra ir nuoma</t>
  </si>
  <si>
    <t>Nugriauta statinių, vnt.</t>
  </si>
  <si>
    <t>Prižiūrima viešųjų tualetų, vnt.</t>
  </si>
  <si>
    <t>SB(SP)</t>
  </si>
  <si>
    <t>Siekti, kad miesto viešosios erdvės būtų tvarkingos, jaukios ir saugios</t>
  </si>
  <si>
    <t>Užtikrinti laidojimo paslaugų teikimą, miesto kapinių priežiūrą ir poreikius atitinkantį laidojimo vietų skaičių</t>
  </si>
  <si>
    <t>Eksploatuoti, remontuoti ir plėtoti inžinerinio aprūpinimo sistemas</t>
  </si>
  <si>
    <t>Įrengta kapaviečių ženklų, vnt.</t>
  </si>
  <si>
    <t>07 Miesto infrastruktūros objektų priežiūros ir modernizavimo programa</t>
  </si>
  <si>
    <t>5</t>
  </si>
  <si>
    <t>I</t>
  </si>
  <si>
    <t>ES</t>
  </si>
  <si>
    <t>Kt</t>
  </si>
  <si>
    <t>1</t>
  </si>
  <si>
    <t>Suvartota el. energijos, tūkst. MWh</t>
  </si>
  <si>
    <t>Mirusių (žuvusių) žmonių palaikų pervežimas iš įvykio vietų, neatpažintų, vienišų ir mirusių, kuriuos artimieji atsisako laidoti, žmonių palaikų laikinas laikymas (saugojimas), palaidojimas savivaldybės lėšomis</t>
  </si>
  <si>
    <t>Švaros ir tvarkos užtikrinimas bendro naudojimo teritorijose:</t>
  </si>
  <si>
    <t>Miesto paplūdimių priežiūros organizavimas:</t>
  </si>
  <si>
    <t>Miesto viešųjų erdvių ir gatvių apšvietimo užtikrinimas:</t>
  </si>
  <si>
    <t xml:space="preserve">Iš viso  programai: </t>
  </si>
  <si>
    <t xml:space="preserve">Statinių, keliančių pavojų gyvybei ir sveikatai, griovimas </t>
  </si>
  <si>
    <t>SB(L)</t>
  </si>
  <si>
    <r>
      <t xml:space="preserve">Programų lėšų likučių laikinai laisvos lėšos </t>
    </r>
    <r>
      <rPr>
        <b/>
        <sz val="10"/>
        <rFont val="Times New Roman"/>
        <family val="1"/>
        <charset val="186"/>
      </rPr>
      <t>SB(L)</t>
    </r>
  </si>
  <si>
    <t>Viešųjų erdvių, gatvių ir kiemų apšvietimo tinklų išplėtimas ar įrengimas</t>
  </si>
  <si>
    <t>Strateginis tikslas 02. Kurti mieste patrauklią, švarią ir saugią gyvenamąją aplinką</t>
  </si>
  <si>
    <t>Teikti miesto gyventojams kokybiškas komunalines ir viešųjų erdvių priežiūros paslaugas</t>
  </si>
  <si>
    <t>Pirties paslaugų teikimas Smiltynės paplūdimyje</t>
  </si>
  <si>
    <t>09</t>
  </si>
  <si>
    <t>P2.4.1.2</t>
  </si>
  <si>
    <t>P2.4.2.8</t>
  </si>
  <si>
    <r>
      <t xml:space="preserve">Vietinių rinkliavų lėšos </t>
    </r>
    <r>
      <rPr>
        <b/>
        <sz val="10"/>
        <rFont val="Times New Roman"/>
        <family val="1"/>
        <charset val="186"/>
      </rPr>
      <t>SB(VR)</t>
    </r>
  </si>
  <si>
    <t>SB(VR)</t>
  </si>
  <si>
    <t>P2</t>
  </si>
  <si>
    <t>Savivaldybei priskirtų teritorijų sanitarinis valymas, parkų, skverų, žaliųjų plotų želdinimas ir aplinkotvarka</t>
  </si>
  <si>
    <t>Nuomojama kilnojamųjų tualetų švenčių metu, vnt.</t>
  </si>
  <si>
    <t>Eksploatuojama šviestuvų, tūkst. vnt.</t>
  </si>
  <si>
    <t>Papriemonės kodas</t>
  </si>
  <si>
    <t>Vykdytojas (skyrius / asmuo)</t>
  </si>
  <si>
    <t xml:space="preserve">MŪD Miesto tvarkymo skyrius </t>
  </si>
  <si>
    <t>MŪD Miesto tvarkymo skyrius</t>
  </si>
  <si>
    <t>Viešosios tvarkos skyrius</t>
  </si>
  <si>
    <t>IED Projektų skyrius</t>
  </si>
  <si>
    <t xml:space="preserve">IED Projektų skyrius  </t>
  </si>
  <si>
    <t>MŪD Miesto tvarkymo  sk.</t>
  </si>
  <si>
    <t>MŪD Kapinių priežiūros skyrius</t>
  </si>
  <si>
    <t xml:space="preserve">MŪD BĮ "Klaipėdos paplūdimiai" </t>
  </si>
  <si>
    <t>Laidojimo paslaugų teikimas ir kapinių priežiūros organizavimas:</t>
  </si>
  <si>
    <t>P2.4.2.5</t>
  </si>
  <si>
    <t>Įsigyta suoliukų, vnt.</t>
  </si>
  <si>
    <t>Prižiūrima gertuvių Poilsio parke, vnt.</t>
  </si>
  <si>
    <t>Planas</t>
  </si>
  <si>
    <t xml:space="preserve">Palaidota mirusiųjų, skaičius </t>
  </si>
  <si>
    <t>BĮ „Klaipėdos paplūdimiai“ veiklos organizavimas</t>
  </si>
  <si>
    <t>SB(SPL)</t>
  </si>
  <si>
    <t>2018-ieji metai</t>
  </si>
  <si>
    <t xml:space="preserve">Savivaldybės biudžetas, iš jo: </t>
  </si>
  <si>
    <r>
      <t xml:space="preserve">Pajamų įmokų už patalpų nuomą likutis </t>
    </r>
    <r>
      <rPr>
        <b/>
        <sz val="10"/>
        <rFont val="Times New Roman"/>
        <family val="1"/>
        <charset val="186"/>
      </rPr>
      <t>SB(SPL)</t>
    </r>
  </si>
  <si>
    <r>
      <t xml:space="preserve">Vietinių rinkliavų lėšų likutis </t>
    </r>
    <r>
      <rPr>
        <b/>
        <sz val="10"/>
        <rFont val="Times New Roman"/>
        <family val="1"/>
        <charset val="186"/>
      </rPr>
      <t>SB(VRL)</t>
    </r>
  </si>
  <si>
    <r>
      <t xml:space="preserve">Valstybės biudžeto specialiosios tikslinės dotacijos lėšos </t>
    </r>
    <r>
      <rPr>
        <b/>
        <sz val="10"/>
        <rFont val="Times New Roman"/>
        <family val="1"/>
        <charset val="186"/>
      </rPr>
      <t>SB(VB)</t>
    </r>
  </si>
  <si>
    <r>
      <t xml:space="preserve">Žemės pardavimų likučio lėšos </t>
    </r>
    <r>
      <rPr>
        <b/>
        <sz val="10"/>
        <rFont val="Times New Roman"/>
        <family val="1"/>
        <charset val="186"/>
      </rPr>
      <t>SB(ŽPL)</t>
    </r>
  </si>
  <si>
    <t>Miesto aikščių, skverų ir kitų bendro naudojimo teritorijų atnaujinimas ir priežiūra:</t>
  </si>
  <si>
    <t>Parengtas techninis projektas, vnt.</t>
  </si>
  <si>
    <t>P2.4.2.2</t>
  </si>
  <si>
    <t>P2.4.2.3</t>
  </si>
  <si>
    <t>Pakabinta papuošimo elementų, vnt.</t>
  </si>
  <si>
    <t>MŪD  Miesto tvarkymo skyrius</t>
  </si>
  <si>
    <t xml:space="preserve">Daugiabučių gyvenamųjų namų kvartalų priežiūros vykdymas: </t>
  </si>
  <si>
    <t>Daugiabučių namų kiemų infrastruktūros gerinimo programos įgyvendinimas:</t>
  </si>
  <si>
    <t>Įrengta elektros įvadų (žemyninės dalies paplūdimiuose), vnt.</t>
  </si>
  <si>
    <t>Gatvių ir viešųjų erdvių apšvietimo organizavimo funkcijos įgyvendinimas</t>
  </si>
  <si>
    <t>Suženklinta automobilių stovėjimo aikštelių (prie kapinių), vnt.</t>
  </si>
  <si>
    <t>Atstatyta vandens kolonėlių Joniškės ir Lėbartų kapinėse, vnt.</t>
  </si>
  <si>
    <t>I, P2.4.2.4</t>
  </si>
  <si>
    <t>tūkst. Eur</t>
  </si>
  <si>
    <r>
      <t xml:space="preserve">Pėsčiųjų tako tarp Gedminų g. ir Taikos pr. (nuo Nr. 99) rekonstravimas ir keleivių išlaipinimo aikštelių įrengimas </t>
    </r>
    <r>
      <rPr>
        <i/>
        <sz val="10"/>
        <rFont val="Times New Roman"/>
        <family val="1"/>
        <charset val="186"/>
      </rPr>
      <t>(Debreceno mikrorajonas)</t>
    </r>
  </si>
  <si>
    <t xml:space="preserve">Įsigyta gėlinių, vnt. </t>
  </si>
  <si>
    <t xml:space="preserve">Prižiūrima kapinių  (įskaitant senąsias kapinaites), vnt. </t>
  </si>
  <si>
    <t xml:space="preserve"> TIKSLŲ, UŽDAVINIŲ, PRIEMONIŲ, PRIEMONIŲ IŠLAIDŲ IR PRODUKTO KRITERIJŲ DETALI SUVESTINĖ</t>
  </si>
  <si>
    <t>Biudžetinių įstaigų kiemų apšvietimo tinklų plėtra ir įrengimas</t>
  </si>
  <si>
    <t>Klaipėdos miesto paplūdimių sutvarkymo priemonių 2016–2019 metų plano įgyvendinimas</t>
  </si>
  <si>
    <r>
      <t>Gėlynų atnaujinimas ir įrengimas</t>
    </r>
    <r>
      <rPr>
        <i/>
        <sz val="10"/>
        <rFont val="Times New Roman"/>
        <family val="1"/>
        <charset val="186"/>
      </rPr>
      <t xml:space="preserve"> </t>
    </r>
  </si>
  <si>
    <t>P2.3.2.5</t>
  </si>
  <si>
    <t>Aiškinamojo rašto priedas Nr.3</t>
  </si>
  <si>
    <t>2019-ųjų metų lėšų projektas</t>
  </si>
  <si>
    <t>2019-ieji metai</t>
  </si>
  <si>
    <t>Vingio mikrorajono aikštės atnaujinimas</t>
  </si>
  <si>
    <t>Parengtas projektas, vnt.</t>
  </si>
  <si>
    <t>Pėsčiųjų tako tarp Gedminų g. ir Taikos pr. (nuo Nr. 109) atnaujinimas (Debreceno mikrorajonas)</t>
  </si>
  <si>
    <t>500</t>
  </si>
  <si>
    <t>1020</t>
  </si>
  <si>
    <t xml:space="preserve">Įsigyta mobilių gelbėjimo stočių, vnt. </t>
  </si>
  <si>
    <t>Mėlynosios vėliavos programos koordinavimo paslaugų įsigijimas</t>
  </si>
  <si>
    <t>Beglobių gyvūnų gerovės ir apsaugos priemonių įgyvendinimas (gyvūnų gaudymas, surinkimas, sterilizacija, karantinavimas, eutanazija ir kt.)</t>
  </si>
  <si>
    <t>Atlikta aikštės atnaujinimo darbų. Užbaigtumas, proc.</t>
  </si>
  <si>
    <t>Atlikta aikštės sutvarkymo darbų. Užbaigtumas, proc.</t>
  </si>
  <si>
    <t>Prižiūrima konteinerinių tualetų, vnt.</t>
  </si>
  <si>
    <t>Nuolatinių darbuotojų skaičius</t>
  </si>
  <si>
    <t>Sezoninių darbuotojų skaičius</t>
  </si>
  <si>
    <t>Eksploatuojama kamerų, vnt.</t>
  </si>
  <si>
    <t xml:space="preserve">Atlikta aikštės sutvarkymo darbų. Užbaigtumas, proc. </t>
  </si>
  <si>
    <t xml:space="preserve">Atlikta krantinių ir prieigų sutvarkymo darbų. Užbaigtumas, proc. </t>
  </si>
  <si>
    <t xml:space="preserve">Atlikta pėsčiųjų tako sutvarkymo darbų. Užbaigtumas, proc. </t>
  </si>
  <si>
    <t xml:space="preserve">Išvežta mirusiųjų iš įvykio vietos,  skaičius </t>
  </si>
  <si>
    <t xml:space="preserve">Mirusiųjų palaikų laikinas laikymas (saugojimas), skaičius </t>
  </si>
  <si>
    <t xml:space="preserve">47,4 ha Medelyno gyvenamojo rajono infrastruktūros išvystymas. I etapas
</t>
  </si>
  <si>
    <t>Skvero Bokštų gatvėje sutvarkymas</t>
  </si>
  <si>
    <t>Interaktyvios tikslinės teritorijos ir susietų teritorijų ribų žemėlapio aplikacijos sukūrimas</t>
  </si>
  <si>
    <t xml:space="preserve">Parengta žemėlapio aplikacija,  skirta 2014–2020 m. integruotų investicijų programos projektų viešinimui, vnt. </t>
  </si>
  <si>
    <t>90</t>
  </si>
  <si>
    <t>Aikštės prie Santuokų rūmų atnaujinimas</t>
  </si>
  <si>
    <t>Parengtas aprašas, vnt.</t>
  </si>
  <si>
    <t>6+6</t>
  </si>
  <si>
    <t>Atlikta infrastruktūros įrengimo darbų. Užbaigtumas, proc.</t>
  </si>
  <si>
    <r>
      <t xml:space="preserve">Klaipėdos valstybinio jūrų uosto direkcijos lėšos </t>
    </r>
    <r>
      <rPr>
        <b/>
        <sz val="10"/>
        <rFont val="Times New Roman"/>
        <family val="1"/>
        <charset val="186"/>
      </rPr>
      <t>KVJUD</t>
    </r>
  </si>
  <si>
    <t>K. Donelaičio aikštės sutvarkymas</t>
  </si>
  <si>
    <t>Skvero tarp Puodžių g. ir Bokštų g., skirto Vydūno paminklui įrengti, sutvarkymas</t>
  </si>
  <si>
    <t>Užtikrinti švarą ir tvarką daugiabučių gyvenamųjų namų kvartaluose, skatinti gyventojus renovuoti, prižiūrėti ir saugoti savo turtą</t>
  </si>
  <si>
    <t>Pastatyta skulptūra, vnt.</t>
  </si>
  <si>
    <t>I, P3.2.1.7</t>
  </si>
  <si>
    <t>Įrengta lauko namelių gyvūnams ir ženklų „Kačių šėrimo vieta“, vnt.</t>
  </si>
  <si>
    <t>Prižiūrima stacionarių tualetų, vnt.</t>
  </si>
  <si>
    <t>Želdinių tvarkymas;</t>
  </si>
  <si>
    <t xml:space="preserve">Daugiabučių namų savininkų bendrijų (DNSB) pirmininkų mokymų organizavimas </t>
  </si>
  <si>
    <t>Įsigyta šviečiančių kalėdinių elementų, vnt.</t>
  </si>
  <si>
    <t>Įsigyta šviesos elementų (LED girliandų), vnt.</t>
  </si>
  <si>
    <t xml:space="preserve">Paimta, sugauta gyvūnų, vnt. </t>
  </si>
  <si>
    <t>Atlikta beglobių kačių sterilizacijų, vnt.</t>
  </si>
  <si>
    <t>Atlikta Garažų g. 6 pastato ("Klubas") kapitalinio remonto darbų. Užbaigtumas, proc.</t>
  </si>
  <si>
    <t>Klaipėdos miesto integruotos teritorijos vystymo programos projektų įgyvendinimas:</t>
  </si>
  <si>
    <t>Prižiūrima informacinės sistemos objektų (nuorodų, stendų), vnt.</t>
  </si>
  <si>
    <t>Remontuota suoliukų, vnt.</t>
  </si>
  <si>
    <t>Remontuota šiukšliadėžių, vnt.</t>
  </si>
  <si>
    <t>Akmenos-Danės upės vidaus vandens kelią administruojančių darbuotojų skaičius</t>
  </si>
  <si>
    <t>Įrengtas apšvietimas Liudviko Stulpino progimnazijos teritorijoje. Užbaigtumas, proc.</t>
  </si>
  <si>
    <t>Įgyvendintas projektas, vnt.</t>
  </si>
  <si>
    <t xml:space="preserve">Įrengtas viešasis tualetas Vingio g. (galutinėje autobusų sustojimo vietoje), vnt. </t>
  </si>
  <si>
    <t>Teritorijos šalia pastato Taikos pr. 76 sutvarkymas ir privažiuojamųjų kelių rekonstravimas pritaikant neįgaliesiems</t>
  </si>
  <si>
    <t>Atlikta aikštės rekonstravimo darbų. Užbaigtumas, proc.</t>
  </si>
  <si>
    <t>Atlikta skvero rekonstravimo darbų. Užbaigtumas, proc.</t>
  </si>
  <si>
    <t>Atlikta tako rekonstravimo darbų. Užbaigtumas, proc.</t>
  </si>
  <si>
    <t>Atlikta teritorijos sutvarkymo ir privažiuojamųjų kelių rekonstravimo darbų. Užbaigtumas proc.</t>
  </si>
  <si>
    <t>Atlikta takų rekonstravimo ir keleivių išlaipinimo aikštelių įrengimo darbų. Užbaigtumas, proc.</t>
  </si>
  <si>
    <t>Organizuota mokymų, vnt.</t>
  </si>
  <si>
    <t>SB(ŽPL)</t>
  </si>
  <si>
    <r>
      <t xml:space="preserve">Europos Sąjungos paramos lėšos, kurios įtrauktos į Savivaldybės biudžetą </t>
    </r>
    <r>
      <rPr>
        <b/>
        <sz val="10"/>
        <rFont val="Times New Roman"/>
        <family val="1"/>
        <charset val="186"/>
      </rPr>
      <t>SB(ES)</t>
    </r>
  </si>
  <si>
    <t>Automobilių stovėjimo aikštelių projektavimas ir įrengimas;</t>
  </si>
  <si>
    <t>Apšvietimo projektavimas ir įrengimas;</t>
  </si>
  <si>
    <t>Įrengta apšvietimo infrastruktūros kiemuose, tūkst. m.</t>
  </si>
  <si>
    <t xml:space="preserve">Atlikta viešosios erdvės (9075 m²) sutvarkymo darbų. Užbaigtumas, proc. </t>
  </si>
  <si>
    <t>Projekto „Saugus kaimynas – saugus aš“ įgyvendinimas kartu su Klaipėdos apskrities vyriausiuoju policijos komisariatu;</t>
  </si>
  <si>
    <t>Gaisrų prevencijos projekto „Gyvenkime saugiai“ įgyvendinimas kartu su Klaipėdos apskrities priešgaisrine gelbėjimo valdyba;</t>
  </si>
  <si>
    <t xml:space="preserve">Atlikta aikštės ir jos prieigų (8 284 m2) sutvarkymo darbų. Užbaigtumas, proc.  </t>
  </si>
  <si>
    <t xml:space="preserve">Viešosios erdvės prie buvusio „Vaidilos“ kino teatro konversija </t>
  </si>
  <si>
    <t xml:space="preserve">Atgimimo aikštės sutvarkymas, didinant patrauklumą investicijoms, skatinant lankytojų srautus </t>
  </si>
  <si>
    <t>Kompleksinis tikslinės teritorijos daugiabučių namų kiemų tvarkymas</t>
  </si>
  <si>
    <t>Saugios kaimynystės bendruomenėje projektų įgyvendinimas:</t>
  </si>
  <si>
    <t>2020-ųjų metų lėšų projektas</t>
  </si>
  <si>
    <t>2020-ieji metai</t>
  </si>
  <si>
    <t>Sutvarkyta švietimo įstaigų želdinių, vnt.</t>
  </si>
  <si>
    <t>Viešųjų erdvių (šviesoforų, fontanų, tualetų ir kt.) apšvietimo tinklų ir įrangos eksploatacija</t>
  </si>
  <si>
    <t>10</t>
  </si>
  <si>
    <t xml:space="preserve">MŪD Miesto tvarkymo sk. </t>
  </si>
  <si>
    <r>
      <t xml:space="preserve">Kelių priežiūros ir plėtros programos lėšos </t>
    </r>
    <r>
      <rPr>
        <b/>
        <sz val="10"/>
        <rFont val="Times New Roman"/>
        <family val="1"/>
        <charset val="186"/>
      </rPr>
      <t>SB(KPP)</t>
    </r>
  </si>
  <si>
    <t>25/ 307</t>
  </si>
  <si>
    <t>25/  307</t>
  </si>
  <si>
    <t xml:space="preserve">Eksploatuojama informacinė miesto sistema: </t>
  </si>
  <si>
    <t>Įrengta gatvių pavadinimų lentelių ir gatvių krypties nuorodų, vnt.</t>
  </si>
  <si>
    <t>Įsigyta inventoriaus:</t>
  </si>
  <si>
    <t>70</t>
  </si>
  <si>
    <t>86</t>
  </si>
  <si>
    <t>Įsigyta vazonų medžiams, vnt</t>
  </si>
  <si>
    <t>16</t>
  </si>
  <si>
    <t>Įsigyta šaknų apsaugų medžiams, vnt</t>
  </si>
  <si>
    <t>112</t>
  </si>
  <si>
    <t>Atlikta inventoriaus remonto darbų:</t>
  </si>
  <si>
    <t>50</t>
  </si>
  <si>
    <t>Įsigyta kalėdinių papuošimų ir eglė:</t>
  </si>
  <si>
    <t>Papuošta kalėdinė eglė Atgimimo aikštėje, kartai per metus</t>
  </si>
  <si>
    <t>Įrengta ir atnaujinta šunų vedžiojimo aikštelių ir ekskrementų surinkimo dėžių, vnt.</t>
  </si>
  <si>
    <t>Atlikta vandens maudyklų tyrimų, sk.</t>
  </si>
  <si>
    <t>Įrengta nuovaža neįgaliesiems prie jūros, Užbaigtumas,  proc.</t>
  </si>
  <si>
    <t>Suteikta asistento paslauga neįgaliesiems, vnt.</t>
  </si>
  <si>
    <t>Įrengta vaikų žaidimo aikštelė, vnt.</t>
  </si>
  <si>
    <t xml:space="preserve">Prevencinio projekto „Būk pilietiškas, būk saugus“ įgyvendinimas kartu su Klaipėdos apskrities vyriausiuoju policijos komisariatu </t>
  </si>
  <si>
    <t>Įrengti dviračių stovai prie įėjimo į Melnragės paplūdimį, vnt.</t>
  </si>
  <si>
    <t>Prižiūrima stendų paplūdimiuose, vnt.</t>
  </si>
  <si>
    <t>Įrengti laiptai su pandusu Neįgaliųjų paplūdimyje, vnt.</t>
  </si>
  <si>
    <t>Įrengta apžvalgos aikštelė, vnt.</t>
  </si>
  <si>
    <t>Įsigytas išmanusis parko (paplūdimio) suolelis, vnt.</t>
  </si>
  <si>
    <t>Įrengta buitinių nuotekų valymo sistema</t>
  </si>
  <si>
    <t>Įrengta lietaus nuotekų sistema Joniškės kapinėse (parengtas techninis projekas 2018 m.). Užbaigtumas, proc.</t>
  </si>
  <si>
    <t xml:space="preserve">Suremontuota Joniškės kapinių tvora, m </t>
  </si>
  <si>
    <t>Suremontuota Gėlininkų aikštė prie administracijos pastato, m2</t>
  </si>
  <si>
    <t>Atlikta kompleksinių lietaus nuotekų sistemos valymo darbų (hidrodinaminis praplovimas ir šulinių valymas). Užbaigtumas, proc.</t>
  </si>
  <si>
    <t>Atlikta kapinių skaitmeninimo (inventorizavimas Joniškės, Lėbartų kapinės) sistemos priežiūros darbų. Užbaigtumas, proc.</t>
  </si>
  <si>
    <t>Įrengta vaikų žaidimų aikštelių viešose erdvėse, vnt.</t>
  </si>
  <si>
    <t>Prižiūrima vaikų žaidimų aikštelių viešose erdvėse, vnt.</t>
  </si>
  <si>
    <t>Paremta gyventojų iniciatyva atnaujinti daugiaubučių namų kiemų aikšteles, vnt.</t>
  </si>
  <si>
    <t>11</t>
  </si>
  <si>
    <t xml:space="preserve">Atlikta daugiabučių namų kiemų sutvarkymo darbų. Užbaigtumas, proc. </t>
  </si>
  <si>
    <t>Retransliuojamo vaizdo stebėjimo kamerų viešose vietose  įsigijimas ir eksploatacija</t>
  </si>
  <si>
    <t>I. Kanto ir S. Daukanto gatvių sankryžoje esančio skvero sutvarkymas</t>
  </si>
  <si>
    <t>Atlikta teritorijos (1100 kv.m) atnaujinimo darbų. Užbaigtumas, proc.</t>
  </si>
  <si>
    <t>Parengtas darbų aprašas, vnt.</t>
  </si>
  <si>
    <r>
      <t>Kelių priežiūros ir plėtros programos lėšos</t>
    </r>
    <r>
      <rPr>
        <b/>
        <sz val="10"/>
        <rFont val="Times New Roman"/>
        <family val="1"/>
        <charset val="186"/>
      </rPr>
      <t xml:space="preserve"> KPP</t>
    </r>
  </si>
  <si>
    <t>Atliktas pastato, esančio Kopų g. 1 (Melnragė), kapitalinis remontas, proc.</t>
  </si>
  <si>
    <t>Suremontuotas viešasis tualetas Lėbartų kapinėse (parengtas techninis projekas 2018 m.). Užbaigtumas, proc.</t>
  </si>
  <si>
    <t>Įgyvendintas priemonių 2016–2019 metų planas. Užbaigtumas, proc.</t>
  </si>
  <si>
    <t>Įrengtas konteinerinis tualetas prie moterų paplūdimio I-ojoje Melnragėje, Kopų g. 40, vnt.</t>
  </si>
  <si>
    <t>Demontuota antžeminių dalių ir įrengta konteinerinių tualetų su išgriebimo duobėmis buvusių stacionarių tualetų vietose:</t>
  </si>
  <si>
    <t>LRVB</t>
  </si>
  <si>
    <t>Parengtas investicijų  projektas, vnt.</t>
  </si>
  <si>
    <t>1 </t>
  </si>
  <si>
    <t>2+14</t>
  </si>
  <si>
    <t xml:space="preserve">Parengtas meninių objektų su funkcija, pritaikyta vaikų žaidimams, projektų įgyvendinimo  konkursas, vnt. </t>
  </si>
  <si>
    <t xml:space="preserve">Kapinių priežiūra (valymas, apsauga, administravimas, elektros energijos pirkimas, vandens įrenginių priežiūra, kvartalinių žymeklių įrengimas, kapinių inventorizavimas, kapaviečių ženklų  įrengimas, dėžių smėliui laikyti atnaujinimas) </t>
  </si>
  <si>
    <t>Atlikta teritorijos išvalymo darbų. Užbaigtumas, proc.</t>
  </si>
  <si>
    <r>
      <t xml:space="preserve">Pėsčiųjų tako sutvarkymas palei Taikos pr. nuo Sausio 15-osios iki Kauno g., paverčiant viešąja erdve, pritaikyta gyventojams bei smulkiajam ir vidutiniam verslui </t>
    </r>
    <r>
      <rPr>
        <sz val="10"/>
        <color rgb="FFFF0000"/>
        <rFont val="Times New Roman"/>
        <family val="1"/>
        <charset val="186"/>
      </rPr>
      <t xml:space="preserve"> </t>
    </r>
  </si>
  <si>
    <t>Informavimo ir e. paslaugų skyrius</t>
  </si>
  <si>
    <r>
      <rPr>
        <b/>
        <sz val="10"/>
        <rFont val="Times New Roman"/>
        <family val="1"/>
        <charset val="186"/>
      </rPr>
      <t>Smiltynės paplūdimiuose</t>
    </r>
    <r>
      <rPr>
        <sz val="10"/>
        <rFont val="Times New Roman"/>
        <family val="1"/>
        <charset val="186"/>
      </rPr>
      <t xml:space="preserve"> įrengta konteinerinių tualetų buvusių stacionarių tualetų vietose, vnt.</t>
    </r>
  </si>
  <si>
    <t>II-osios Melnragės gelbėjimo stotyje esančios kavinės nuoma</t>
  </si>
  <si>
    <t xml:space="preserve">Danės upės krantinių rekonstrukcija ir prieigų (Danės skveras su fontanais) sutvarkymas  </t>
  </si>
  <si>
    <t>Rekonstruota, nutiesta lietaus nuotekų tinklų, m</t>
  </si>
  <si>
    <t>Klaipėdos miesto paviršinių nuotekų tinklų įrengimas, remontas ir rekonstrukcija</t>
  </si>
  <si>
    <t>Teritorijos Pempininkų tako gale (ties Debreceno g.18) sutvarkymas</t>
  </si>
  <si>
    <t>Atlikta tako atnaujinimo darbų. Užbaigtumas, proc.</t>
  </si>
  <si>
    <t>1196</t>
  </si>
  <si>
    <t>Suremontuota automobilių stovėjimo aikštelės asfalto danga, kv. m.</t>
  </si>
  <si>
    <t>Suremontuotas asfalto danga dengtas takas į Melnragės paplūdimį, kv. m</t>
  </si>
  <si>
    <t>Smiltynės g. 14A (prie moterų paplūdimio);</t>
  </si>
  <si>
    <t>Smiltynės g. 33 (Naujoji perkėla);</t>
  </si>
  <si>
    <t>Smiltynės g. 31 (Naujoji perkėla);</t>
  </si>
  <si>
    <t>Smiltynės g. 30 (Naujoji perkėla);</t>
  </si>
  <si>
    <t>Smiltynės g. 14C (kopose už gelbėjimo stoties);</t>
  </si>
  <si>
    <r>
      <rPr>
        <b/>
        <sz val="10"/>
        <rFont val="Times New Roman"/>
        <family val="1"/>
        <charset val="186"/>
      </rPr>
      <t>Smiltynės paplūdimio</t>
    </r>
    <r>
      <rPr>
        <sz val="10"/>
        <rFont val="Times New Roman"/>
        <family val="1"/>
        <charset val="186"/>
      </rPr>
      <t xml:space="preserve"> prie centrinės gelbėtojų stoties infrastruktūros pagal "Mėlynosios vėliavos" programos reikalavimus sutvarkymas</t>
    </r>
  </si>
  <si>
    <t>Įsigytas inventorius:</t>
  </si>
  <si>
    <t xml:space="preserve">MŪD Socialinės infrastruktūros skyriaus </t>
  </si>
  <si>
    <t>Įsigytas bevielis vandens temperatūrą matuojantis plūduras, vnt.</t>
  </si>
  <si>
    <t>Įsigytas paplūdimių elektroninis informacinis stendas, vnt.</t>
  </si>
  <si>
    <t>Įsigyta mobili vaizdo perdavimo sistema, vnt.</t>
  </si>
  <si>
    <t>Įsigytas mobilus pagalbos iškvietimo modulis, vnt.</t>
  </si>
  <si>
    <t xml:space="preserve">Vaikų žaidimo aikštelių įrengimo ir atnaujinimo 2018–2020 m. programos įgyvendinimas </t>
  </si>
  <si>
    <t>Papuošta kalėdinė eglė Atgimimo aikštėje, kartai</t>
  </si>
  <si>
    <r>
      <rPr>
        <b/>
        <sz val="10"/>
        <rFont val="Times New Roman"/>
        <family val="1"/>
        <charset val="186"/>
      </rPr>
      <t xml:space="preserve">Girulių </t>
    </r>
    <r>
      <rPr>
        <sz val="10"/>
        <rFont val="Times New Roman"/>
        <family val="1"/>
        <charset val="186"/>
      </rPr>
      <t>paplūdimio infrastruktūros sutvarkymas</t>
    </r>
  </si>
  <si>
    <t>Įrengta vaikų žaidimų aikštelių (Pempininkų ir Debreceno aikščių prieigose 2018 m.), vnt.</t>
  </si>
  <si>
    <r>
      <t xml:space="preserve">Parengtas tvarkybos projektas ir kapitališkai suremontuota atraminių apsauginių įėjimo į </t>
    </r>
    <r>
      <rPr>
        <b/>
        <sz val="10"/>
        <rFont val="Times New Roman"/>
        <family val="1"/>
        <charset val="186"/>
      </rPr>
      <t xml:space="preserve">Smiltynės paplūdimį </t>
    </r>
    <r>
      <rPr>
        <sz val="10"/>
        <rFont val="Times New Roman"/>
        <family val="1"/>
        <charset val="186"/>
      </rPr>
      <t>sienų. Užbaigtumas, proc.</t>
    </r>
  </si>
  <si>
    <r>
      <t xml:space="preserve">Parengtas tvarkybos projektas ir kapitališkai suremontuota atraminių apsauginių įėjimo į </t>
    </r>
    <r>
      <rPr>
        <b/>
        <sz val="10"/>
        <rFont val="Times New Roman"/>
        <family val="1"/>
        <charset val="186"/>
      </rPr>
      <t>Girulių paplūdimį</t>
    </r>
    <r>
      <rPr>
        <sz val="10"/>
        <rFont val="Times New Roman"/>
        <family val="1"/>
        <charset val="186"/>
      </rPr>
      <t xml:space="preserve"> sienų. Užbaigtumas, proc.</t>
    </r>
  </si>
  <si>
    <t>Įsigyta gelbėjimosi ratų stovų, vnt.</t>
  </si>
  <si>
    <t xml:space="preserve">Įsigyta gelbėjimosi ratų komplektų, vnt.          </t>
  </si>
  <si>
    <t>Įsigyta ir prižiūrėta paplūdimių inventoriaus (mobilių gelbėjimo stočių,  gelbėjimosi ratų komplektų  ir stovų, paplūdimių stendų, išmanusis parko (paplūdimio) suolelis, bevielis vandens temperatūrą matuojantis plūduras, vaizdo perdavimo sistema, mobilus pagalbos iškvietimo modulis ir kt.), vnt.</t>
  </si>
  <si>
    <t>Pasirasirašyta sutartis dėl dalyvavimo Mėlynosios vėliavos programoje I-osios Smiltynės ir II-osios Melnragės paplūdimiuose, vnt.</t>
  </si>
  <si>
    <t>Atlikta fontano „Laivelis“ skvere prie buraivio „Meridianas“ atnaujinimo darbų. Užbaigtumas, proc.</t>
  </si>
  <si>
    <t>Įsigyta kalėdinių papuošimų elementų  ir eglė:</t>
  </si>
  <si>
    <t>Muzikinio teatro pastato Danės g. 19 aplinkos tvarkybos darbai už sklypo ribos</t>
  </si>
  <si>
    <t>Savivaldybei priskirtų valyti ir prižiūrėti teritorijų plotas, kv. km</t>
  </si>
  <si>
    <t>Atlikta vandens maudyklų tyrimų (Smiltynėje, Giruliuose ir Antrojoje Melnragėje) vnt.</t>
  </si>
  <si>
    <t>Suorganizuota aplinkosauginių renginių paplūdimiuose, vnt.</t>
  </si>
  <si>
    <r>
      <t xml:space="preserve">Įrengta nuovaža </t>
    </r>
    <r>
      <rPr>
        <b/>
        <sz val="10"/>
        <rFont val="Times New Roman"/>
        <family val="1"/>
        <charset val="186"/>
      </rPr>
      <t>Antrosios Melnragės paplūdimyje</t>
    </r>
    <r>
      <rPr>
        <sz val="10"/>
        <rFont val="Times New Roman"/>
        <family val="1"/>
        <charset val="186"/>
      </rPr>
      <t xml:space="preserve"> neįgaliesiems prie jūros. Užbaigtumas,  proc.</t>
    </r>
  </si>
  <si>
    <r>
      <t xml:space="preserve">Įrengta vaikų žaidimo aikštelė </t>
    </r>
    <r>
      <rPr>
        <b/>
        <sz val="10"/>
        <rFont val="Times New Roman"/>
        <family val="1"/>
        <charset val="186"/>
      </rPr>
      <t>Antrosios Melnragės paplūdimyje</t>
    </r>
    <r>
      <rPr>
        <sz val="10"/>
        <rFont val="Times New Roman"/>
        <family val="1"/>
        <charset val="186"/>
      </rPr>
      <t>, vnt.</t>
    </r>
  </si>
  <si>
    <r>
      <t>Įrengti dviračių stovai prie įėjimo į</t>
    </r>
    <r>
      <rPr>
        <b/>
        <sz val="10"/>
        <rFont val="Times New Roman"/>
        <family val="1"/>
        <charset val="186"/>
      </rPr>
      <t xml:space="preserve"> Melnragės paplūdim</t>
    </r>
    <r>
      <rPr>
        <sz val="10"/>
        <rFont val="Times New Roman"/>
        <family val="1"/>
        <charset val="186"/>
      </rPr>
      <t>į, vnt.</t>
    </r>
  </si>
  <si>
    <t>Antrosios Melnragės gelbėjimo stotyje esančios kavinės nuoma</t>
  </si>
  <si>
    <t>Atlikta pastato Garažų g. 6 („Klubas“) kapitalinio remonto darbų. Užbaigtumas, proc.</t>
  </si>
  <si>
    <r>
      <t>Įrengta interneto prieigų su belaidžio ryšio (</t>
    </r>
    <r>
      <rPr>
        <i/>
        <sz val="10"/>
        <rFont val="Times New Roman"/>
        <family val="1"/>
        <charset val="186"/>
      </rPr>
      <t>Wi-Fi</t>
    </r>
    <r>
      <rPr>
        <sz val="10"/>
        <rFont val="Times New Roman"/>
        <family val="1"/>
        <charset val="186"/>
      </rPr>
      <t xml:space="preserve">) paslauga Kruizinių laivų terminale ir Teatro aikštėje, vnt. </t>
    </r>
  </si>
  <si>
    <r>
      <t>Interneto prieigų viešosiose vietose įrengimas ir belaidžio ryšio (</t>
    </r>
    <r>
      <rPr>
        <i/>
        <sz val="10"/>
        <rFont val="Times New Roman"/>
        <family val="1"/>
        <charset val="186"/>
      </rPr>
      <t>Wi-Fi</t>
    </r>
    <r>
      <rPr>
        <sz val="10"/>
        <rFont val="Times New Roman"/>
        <family val="1"/>
        <charset val="186"/>
      </rPr>
      <t>) paslaugos teikimas</t>
    </r>
  </si>
  <si>
    <t xml:space="preserve">Atlikta aikštės ir jos prieigų (8 284 m²) sutvarkymo darbų. Užbaigtumas, proc.  </t>
  </si>
  <si>
    <t xml:space="preserve">Parengta žemėlapio programa, skirta 2014–2020 m. integruotų investicijų programos projektų viešinimui, vnt. </t>
  </si>
  <si>
    <t>Interaktyvios tikslinės teritorijos ir susietų teritorijų ribų žemėlapio programos sukūrimas</t>
  </si>
  <si>
    <t xml:space="preserve">Buvusios AB „Klaipėdos energija“ teritorijos dalies  konversija, sudarant sąlygas vystyti komercines, rekreacines veiklas </t>
  </si>
  <si>
    <t xml:space="preserve">Išvežta mirusiųjų iš įvykio vietos, skaičius </t>
  </si>
  <si>
    <t>Suremontuota takų Joniškės kapinėse (5400 m²), Lėbartų kapinėse (2000 m²). Užbaigtumas, proc.</t>
  </si>
  <si>
    <t>Atlikta kvartalų išlyginimo darbų (žemių atvežimas, planiravimas, žolės atsodinimas), tūkst. M²</t>
  </si>
  <si>
    <t>Suremontuota Lėbartų kapinių Gėlininkų aikštė prie administracijos pastato, m²</t>
  </si>
  <si>
    <t>Daugiabučio Vingio g. 35 modernizavimo techninio darbo projekto parengimas</t>
  </si>
  <si>
    <r>
      <t xml:space="preserve">Europos Sąjungos paramos lėšos, kurios įtrauktos į savivaldybės biudžetą </t>
    </r>
    <r>
      <rPr>
        <b/>
        <sz val="10"/>
        <rFont val="Times New Roman"/>
        <family val="1"/>
        <charset val="186"/>
      </rPr>
      <t>SB(ES)</t>
    </r>
  </si>
  <si>
    <t>___________________________</t>
  </si>
  <si>
    <t xml:space="preserve">2018–2020 M. KLAIPĖDOS MIESTO SAVIVALDYBĖS </t>
  </si>
  <si>
    <t>Tvarkoma gėlynų ploto, tūkst. m²</t>
  </si>
  <si>
    <t xml:space="preserve">Prižiūrima tūrinių gėlinių, kitų gėlinių skaičius, vnt. </t>
  </si>
  <si>
    <t>Tvarkoma gėlynų ploto, tūkst. kv.m</t>
  </si>
  <si>
    <t>2018-ųjų metų asignavimų planas</t>
  </si>
  <si>
    <t>Siūlomas keisti 2018-ųjų metų asignavimų planas</t>
  </si>
  <si>
    <t>Skirtumas</t>
  </si>
  <si>
    <t>Siūlomas keisti 2019-ųjų metų  lėšų projektas</t>
  </si>
  <si>
    <t>Siūlomas keisti 2020-ųjų metų  lėšų projektas</t>
  </si>
  <si>
    <t>Paaiškinimas</t>
  </si>
  <si>
    <t>Lyginamasis variantas</t>
  </si>
  <si>
    <t>Siūlomas keisti 2018 metų  asignavimų planas</t>
  </si>
  <si>
    <t xml:space="preserve">Turgaus aikštės su prieigomis sutvarkymas, pritaikant verslo,  bendruomenės poreikiams </t>
  </si>
  <si>
    <t>Vykdyta statybos techninė priežiūra ir administravimas, vnt.</t>
  </si>
  <si>
    <t>Pasirašyta sutartis dėl dalyvavimo Mėlynosios vėliavos programoje I Smiltynės ir Antrosios Melnragės paplūdimiuose, vnt.</t>
  </si>
  <si>
    <t>Poilsio aikštelių Smiltynėje, kuriose atnaujinta infrastruktūra, skaičius</t>
  </si>
  <si>
    <t>2021-ųjų metų lėšų projektas</t>
  </si>
  <si>
    <t>2021-ieji metai</t>
  </si>
  <si>
    <t xml:space="preserve">2018–2021 M. KLAIPĖDOS MIESTO SAVIVALDYBĖS </t>
  </si>
  <si>
    <r>
      <t>Įrengtas konteinerinis tualetas prie moterų paplūdimio</t>
    </r>
    <r>
      <rPr>
        <b/>
        <sz val="10"/>
        <rFont val="Times New Roman"/>
        <family val="1"/>
        <charset val="186"/>
      </rPr>
      <t xml:space="preserve"> Melnragėje</t>
    </r>
    <r>
      <rPr>
        <sz val="10"/>
        <rFont val="Times New Roman"/>
        <family val="1"/>
        <charset val="186"/>
      </rPr>
      <t>, Kopų g. 40, vnt.</t>
    </r>
  </si>
  <si>
    <r>
      <t xml:space="preserve">I-sios Melnragės </t>
    </r>
    <r>
      <rPr>
        <sz val="10"/>
        <rFont val="Cambria"/>
        <family val="1"/>
        <charset val="186"/>
      </rPr>
      <t>paplūdimyje konteinerinių tualetų įrengimas</t>
    </r>
  </si>
  <si>
    <r>
      <rPr>
        <b/>
        <sz val="10"/>
        <rFont val="Cambria"/>
        <family val="1"/>
        <charset val="186"/>
      </rPr>
      <t>Smiltynės</t>
    </r>
    <r>
      <rPr>
        <sz val="10"/>
        <rFont val="Cambria"/>
        <family val="1"/>
        <charset val="186"/>
      </rPr>
      <t xml:space="preserve"> paplūdimiuose konteinerinių tualetų įrengimas</t>
    </r>
  </si>
  <si>
    <t>Pėsčiųjų tako nuo Melnragės pagrindinio įėjimo į paplūdimį iki Melnragės gelbėjimo stoties techninio projekto parengimas</t>
  </si>
  <si>
    <t>Parengta apšvietimo įrengimo Oto g. ir Karlskronos aikštėje techninių projektų ir atlikta darbų. Užbaigtumas, vnt./proc.</t>
  </si>
  <si>
    <t>Pakeista oro linijų į kabelines (2018 m.  Šiltnamių g., Ukmergės g., Pievų Tako g.), 2019 m. Antrosios Melnragės g., Kretingos g., Molėtų g.). Užbaigtumas, proc.</t>
  </si>
  <si>
    <t>117</t>
  </si>
  <si>
    <t>100</t>
  </si>
  <si>
    <r>
      <rPr>
        <strike/>
        <sz val="10"/>
        <rFont val="Times New Roman"/>
        <family val="1"/>
        <charset val="186"/>
      </rPr>
      <t>Viešojo tualeto ir dušinės paslaugų teikimas Melnragės paplūdimyje</t>
    </r>
    <r>
      <rPr>
        <sz val="10"/>
        <rFont val="Times New Roman"/>
        <family val="1"/>
        <charset val="186"/>
      </rPr>
      <t xml:space="preserve"> </t>
    </r>
    <r>
      <rPr>
        <sz val="10"/>
        <color rgb="FFFF0000"/>
        <rFont val="Times New Roman"/>
        <family val="1"/>
        <charset val="186"/>
      </rPr>
      <t>Viešųjų tualetų paslaugų teikimas Melnragės paplūdimyje ir Klaipėdos poilsio parke</t>
    </r>
  </si>
  <si>
    <r>
      <rPr>
        <strike/>
        <sz val="10"/>
        <color rgb="FFFF0000"/>
        <rFont val="Times New Roman"/>
        <family val="1"/>
        <charset val="186"/>
      </rPr>
      <t>1</t>
    </r>
    <r>
      <rPr>
        <sz val="10"/>
        <color rgb="FFFF0000"/>
        <rFont val="Times New Roman"/>
        <family val="1"/>
        <charset val="186"/>
      </rPr>
      <t xml:space="preserve">  2</t>
    </r>
  </si>
  <si>
    <r>
      <rPr>
        <strike/>
        <sz val="10"/>
        <color rgb="FFFF0000"/>
        <rFont val="Times New Roman"/>
        <family val="1"/>
        <charset val="186"/>
      </rPr>
      <t xml:space="preserve">3  </t>
    </r>
    <r>
      <rPr>
        <sz val="10"/>
        <color rgb="FFFF0000"/>
        <rFont val="Times New Roman"/>
        <family val="1"/>
        <charset val="186"/>
      </rPr>
      <t xml:space="preserve"> 5</t>
    </r>
  </si>
  <si>
    <t>Viešųjų tualetų paslaugų teikimas Melnragės paplūdimyje ir Klaipėdos poilsio parke</t>
  </si>
  <si>
    <t>Įrengta ir atnaujinta automobilių stovėjimo vietų, vnt.</t>
  </si>
  <si>
    <r>
      <t>Įrengta</t>
    </r>
    <r>
      <rPr>
        <sz val="10"/>
        <color rgb="FFFF0000"/>
        <rFont val="Times New Roman"/>
        <family val="1"/>
        <charset val="186"/>
      </rPr>
      <t xml:space="preserve"> ir atnaujinta </t>
    </r>
    <r>
      <rPr>
        <sz val="10"/>
        <rFont val="Times New Roman"/>
        <family val="1"/>
        <charset val="186"/>
      </rPr>
      <t>automobilių stovėjimo vietų, vnt.</t>
    </r>
  </si>
  <si>
    <r>
      <rPr>
        <strike/>
        <sz val="10"/>
        <rFont val="Times New Roman"/>
        <family val="1"/>
        <charset val="186"/>
      </rPr>
      <t xml:space="preserve">Apgenėta medžių (želdinių tvarkymas) </t>
    </r>
    <r>
      <rPr>
        <sz val="10"/>
        <color rgb="FFFF0000"/>
        <rFont val="Times New Roman"/>
        <family val="1"/>
        <charset val="186"/>
      </rPr>
      <t>Sutvarkyta želdinių, vnt.</t>
    </r>
  </si>
  <si>
    <t>2019-ųjų metų asignavimų planas</t>
  </si>
  <si>
    <t>2018-ųjų metų asignavimų planas*</t>
  </si>
  <si>
    <t>Įsigyta želdinių apsauginių tvorelių, m</t>
  </si>
  <si>
    <t>Atlikta nepriklausoma vertinimo ekspertizė  dėl Klaipėdos miesto atskirų teritorijų ir gatvių užtvindymo priežastingumo nustatymo, vnt.</t>
  </si>
  <si>
    <r>
      <rPr>
        <sz val="10"/>
        <color rgb="FFFF0000"/>
        <rFont val="Times New Roman"/>
        <family val="1"/>
        <charset val="186"/>
      </rPr>
      <t>Remontuota ar</t>
    </r>
    <r>
      <rPr>
        <sz val="10"/>
        <rFont val="Times New Roman"/>
        <family val="1"/>
        <charset val="186"/>
      </rPr>
      <t xml:space="preserve"> pašalinta netinkamų naudoti įrenginių, vnt.</t>
    </r>
  </si>
  <si>
    <t>Autonominių belaidžio (Wi-Fi) ryšio stotelių priežiūra, vnt.</t>
  </si>
  <si>
    <t>Parengtas apšvietimo įrengimo Smiltynėje pagrindiniame take techninis projektas ir 2009 m. atlikta darbų. Užbaigrumas,vnt./proc.</t>
  </si>
  <si>
    <r>
      <rPr>
        <sz val="10"/>
        <rFont val="Times New Roman"/>
        <family val="1"/>
        <charset val="186"/>
      </rPr>
      <t>1</t>
    </r>
    <r>
      <rPr>
        <strike/>
        <sz val="10"/>
        <rFont val="Times New Roman"/>
        <family val="1"/>
        <charset val="186"/>
      </rPr>
      <t>/</t>
    </r>
    <r>
      <rPr>
        <strike/>
        <sz val="10"/>
        <color rgb="FFFF0000"/>
        <rFont val="Times New Roman"/>
        <family val="1"/>
        <charset val="186"/>
      </rPr>
      <t>100</t>
    </r>
  </si>
  <si>
    <t>Parengtas apšvietimo įrengimo Baltijos pr. ir Taikos pr. požeminėse perėjose techninis projektas ir 2019 m. atlikta darbų. Užbaigtumas, vnt./ proc.</t>
  </si>
  <si>
    <t xml:space="preserve">Priemonė baigiama įgyvendinti, nepanaudotas lėšas siūloma nukreipti kitų programų priemonių vykdymui </t>
  </si>
  <si>
    <r>
      <t>11</t>
    </r>
    <r>
      <rPr>
        <strike/>
        <sz val="10"/>
        <color rgb="FFFF0000"/>
        <rFont val="Times New Roman"/>
        <family val="1"/>
        <charset val="186"/>
      </rPr>
      <t>0</t>
    </r>
    <r>
      <rPr>
        <sz val="10"/>
        <color rgb="FFFF0000"/>
        <rFont val="Times New Roman"/>
        <family val="1"/>
        <charset val="186"/>
      </rPr>
      <t xml:space="preserve">  1</t>
    </r>
  </si>
  <si>
    <t>Siekiant užtikrinti švarą paplūdimiuose, BĮ "Klaipėdos paplūdimiai" įsigijo smėlio valymo įrenginį. Todėl įstaigai yra reikalingas papildomas traktoriaus vairuotojo etatas.</t>
  </si>
  <si>
    <t xml:space="preserve">Siūloma tikslinti priemonės  pavadinimą ir  didinti finansavimo apimtį, kadangi BĮ „Klaipėdos paplūdimiai“ patikėjimo teise yra perduodamas valdyti ir eksploatuoti viešasis tualetas, esantis H. Manto g. 81, Klaipėda. </t>
  </si>
  <si>
    <r>
      <t xml:space="preserve">Parengtas apšvietimo įrengimo praėjimo take nuo dviračių tako iki Debreceno g. 52 namo techninis projektas ir </t>
    </r>
    <r>
      <rPr>
        <sz val="10"/>
        <rFont val="Times New Roman"/>
        <family val="1"/>
        <charset val="186"/>
      </rPr>
      <t xml:space="preserve"> atlikta darbų. Užbaigtumas,</t>
    </r>
    <r>
      <rPr>
        <sz val="10"/>
        <color rgb="FFFF0000"/>
        <rFont val="Times New Roman"/>
        <family val="1"/>
        <charset val="186"/>
      </rPr>
      <t xml:space="preserve"> vnt./</t>
    </r>
    <r>
      <rPr>
        <sz val="10"/>
        <rFont val="Times New Roman"/>
        <family val="1"/>
        <charset val="186"/>
      </rPr>
      <t xml:space="preserve"> proc.</t>
    </r>
  </si>
  <si>
    <r>
      <t xml:space="preserve">Parengtas apšvietimo įrengimo Aukštosios g. ruože nuo Daržų g. iki Turgaus a. techninis projektas ir </t>
    </r>
    <r>
      <rPr>
        <sz val="10"/>
        <rFont val="Times New Roman"/>
        <family val="1"/>
        <charset val="186"/>
      </rPr>
      <t xml:space="preserve"> atlikta darbų. Užbaigtumas,</t>
    </r>
    <r>
      <rPr>
        <sz val="10"/>
        <color rgb="FFFF0000"/>
        <rFont val="Times New Roman"/>
        <family val="1"/>
        <charset val="186"/>
      </rPr>
      <t xml:space="preserve"> vnt./</t>
    </r>
    <r>
      <rPr>
        <sz val="10"/>
        <rFont val="Times New Roman"/>
        <family val="1"/>
        <charset val="186"/>
      </rPr>
      <t xml:space="preserve"> proc.</t>
    </r>
  </si>
  <si>
    <t>Reaguojant į Centralizuoto vidaus audito skyriaus atlikto audito išvadas, reikalinga koreguoti vertinimo kriterijų pavadinimus, juos suvienodinant su Daugiabučių namų kiemų infrastruktūros gerinimo programos kriterijais</t>
  </si>
  <si>
    <t>Siūloma padidinti finansavimo apimtį 2018 m. ir koreguoti vertinimo kriterijaus pavadinimą. Būtų atliktas einamasis sporto aikštelių, esančių daugiabučių namų kiemuose, smulkios infrastruktūros remontas - krepšinio stovų, lentų, esamų aptvėrimų ir pan.  sutvarkymo darbai.</t>
  </si>
  <si>
    <t xml:space="preserve">100   </t>
  </si>
  <si>
    <t>1/100</t>
  </si>
  <si>
    <t>Parengtas apšvietimo įrengimo Baltijos pr. ir Taikos pr. požeminėse perėjose techninis projektas ir atlikta darbų. Užbaigtumas,  proc.</t>
  </si>
  <si>
    <t>Reikalinga koreguoti vertinimo kriterijų reikšmes, mažinti priemonės finansavimo apimtį 2018 m. ir atitinkamai padidinti 2019 m., kadangi  užsitęsė techninių projektų derinimo procedūros su Energijos skirstomaisiais tinklais (ESO) dėl tako Debreceno g. 52-58A ir  Aukštosios g. ruože nuo Daržų g. iki Turgaus a. Techninių projektų rengimo sutartys yra pasirašytos. Rangos darbų pirkimas bus pradėtas, kai bus gauta techninio projekto ekspertizė. Nepanaudotas lėšas siūloma nukreipti kitoms priemonėms vykdyti</t>
  </si>
  <si>
    <t>Siūloma mažinti priemonės finansavimo apimtį 2018 m. ir atitinkamai padidinti 2019 m. bei pakoreguoti vertinimo kriterijaus reikšmę. Metų viduryje buvo nutraukta sutartis dėl sutartinių įsipareigojimų nevykdymo. Pakartotinai vyko viešųjų pirkimų konkursas, todėl  darbai bus pradėti 2019 m. Nepanaudotas lėšas siūloma nukreipti kitų priemonių vykdymui</t>
  </si>
  <si>
    <t>Siūloma planuoti naują vertinimo kriterijų - atlikti belaidžio (Wi-Fi) ryšio stotelių priežiūrą. Papildomo finansavimo nereikės</t>
  </si>
  <si>
    <t>Nutiesta lietaus nuotekų tinklų, m</t>
  </si>
  <si>
    <t>60</t>
  </si>
  <si>
    <t>P2.4.1.2.</t>
  </si>
  <si>
    <t xml:space="preserve">Laivų nuleidimo prieplaukos ir saugojimo aikštelės sklype šalia Liepų g. tilto įrengimas </t>
  </si>
  <si>
    <t>Įrengta laivų nuleidimo prieplauka, vnt.</t>
  </si>
  <si>
    <t>Danės vietinės reikšmės vidaus kelio priežiūros organizavimas</t>
  </si>
  <si>
    <t>Klaipėdos miesto Skulptūrų parko (senųjų miesto kapinių) sutvarkymas</t>
  </si>
  <si>
    <t>Atlikta parko sutvarkymo darbų. Užbaigtumas proc.</t>
  </si>
  <si>
    <t>UPD Architektūros ir miesto planavimo sk.</t>
  </si>
  <si>
    <t xml:space="preserve">Parengtas meninių objektų su funkcija, pritaikyta vaikų žaidimams, projektų įgyvendinimo konkursas, vnt. </t>
  </si>
  <si>
    <t>Pėsčiųjų tako tarp Gedminų g. ir Taikos pr. (nuo Nr. 99) rekonstravimas ir keleivių išlaipinimo aikštelių įrengimas (Debreceno mikrorajonas)</t>
  </si>
  <si>
    <t xml:space="preserve">Danės upės slėnio teritorijos  pritaikymas visuomenės ir rekreaciniams poreikiams </t>
  </si>
  <si>
    <t>Parengtas naujų gertuvių įrengimo prjektas, vnt.</t>
  </si>
  <si>
    <t>Įrengta gertuvių, vnt</t>
  </si>
  <si>
    <t>30</t>
  </si>
  <si>
    <t>Įsigyta šachmatų figūrų, vnt.</t>
  </si>
  <si>
    <t>Įsigyta šunų ekskrementų šiukšliadėžių, vnt.</t>
  </si>
  <si>
    <t>20</t>
  </si>
  <si>
    <t>Atlikti šlaitų stabilizavimo darbai Šiaurės pr. Užbaigtumas, proc.</t>
  </si>
  <si>
    <t>660</t>
  </si>
  <si>
    <r>
      <rPr>
        <b/>
        <i/>
        <sz val="10"/>
        <rFont val="Times New Roman"/>
        <family val="1"/>
        <charset val="186"/>
      </rPr>
      <t xml:space="preserve">I-sios Melnragės </t>
    </r>
    <r>
      <rPr>
        <i/>
        <sz val="10"/>
        <rFont val="Times New Roman"/>
        <family val="1"/>
        <charset val="186"/>
      </rPr>
      <t>paplūdimio infrastruktūros sutvarkymas</t>
    </r>
  </si>
  <si>
    <t>Prekybos verslui paplūdimiuose sąlygų sudarymas</t>
  </si>
  <si>
    <t>Sporto aikštelės (krepšinio/lauko teniso) įrengimas Smiltynės paplūdimyje. Užbaigtumas proc.</t>
  </si>
  <si>
    <t>Įsigyta naro kostiumų, vnt.</t>
  </si>
  <si>
    <t>Įrengta buitinių nuotekų valymo sistema. Užbaigtumas proc.</t>
  </si>
  <si>
    <t>Parengta Danės upės ir krantinių valdymo modelio parinkimo galimybių studija, vnt.</t>
  </si>
  <si>
    <t>Įsigyta gelbėjimo lenta, vnt.</t>
  </si>
  <si>
    <t>Įsigyta radio bangomis valdomas gelbėjimo plaustas, vnt.</t>
  </si>
  <si>
    <t>Įsigyta krovininis keturratis motociklas, vnt.</t>
  </si>
  <si>
    <t>Smiltynėje pagrindiniame take;</t>
  </si>
  <si>
    <t>Praėjime take nuo dviračių tako iki Debreceno g. 52 namo;</t>
  </si>
  <si>
    <t>Aukštosios g. ruože nuo Daržų g. iki Turgaus a.;</t>
  </si>
  <si>
    <t>Take nuo Kretingos g. iki Geležinkelio g. 2A;</t>
  </si>
  <si>
    <t>Praėjime nuo Taikos pr. 8 iki Sausio 15-osios 2A ;</t>
  </si>
  <si>
    <t>Atlikta įrengimo darbų. Užbaigtumas, proc.</t>
  </si>
  <si>
    <t>Parengti techniniai projektai Šiltnamių g., Ukmergės g., Pievų Tako g. vnt.</t>
  </si>
  <si>
    <t xml:space="preserve">2019 m. </t>
  </si>
  <si>
    <t>Oto g.;</t>
  </si>
  <si>
    <t>Suremontuota takų Joniškės ir Lėbartų kapinėse, tūkst. kv. m</t>
  </si>
  <si>
    <t>Įrengta lietaus nuotekų sistema Joniškės kapinėse. Užbaigtumas, proc.</t>
  </si>
  <si>
    <t>Suremontuotas viešasis tualetas Lėbartų kapinėse. Užbaigtumas, proc.</t>
  </si>
  <si>
    <t>Valdų, kuriose tvarkomi želdiniai, skaičius</t>
  </si>
  <si>
    <t>Techninio darbo projekto koregavimas, vnt.</t>
  </si>
  <si>
    <t>Projekto administravimas, vnt.</t>
  </si>
  <si>
    <t>Pašalinta netinkamų naudoti įrenginių, vnt.</t>
  </si>
  <si>
    <t>Parengta projektų, vnt.</t>
  </si>
  <si>
    <t>Atnaujinta (pagerinta) sporto aikštelių daugiabučių namų kiemuose ar viešosiose miesto erdvėse, vnt.</t>
  </si>
  <si>
    <t>Sudarytas Danės upės vietinės reikšmės vidaus vandenų keliui locmano žemėlapis vnt.</t>
  </si>
  <si>
    <t>Oro linijų keitimas į kabelines Pievų Tako g.;</t>
  </si>
  <si>
    <t>Parengta techninių projektų, vnt.</t>
  </si>
  <si>
    <t xml:space="preserve">2018 m. </t>
  </si>
  <si>
    <t>Projekto „Tu esi svarbus“ įgyvendinimas kartu su Klaipėdos apskrities vyriausiuoju policijos komisariatu</t>
  </si>
  <si>
    <t>Inventoriaus įsigijimas</t>
  </si>
  <si>
    <t>Akmenos-Danės upės vidaus vandens kelio valdymas</t>
  </si>
  <si>
    <t xml:space="preserve">*pagal Klaipėdos miesto savivaldybės tarybos 2018-10-25 sprendimą Nr. T2-221
</t>
  </si>
  <si>
    <t>Apšvietimo projektavimas ir įrengimas</t>
  </si>
  <si>
    <t>Daugiabučių namų kiemų infrastruktūros gerinimo priemonių plano įgyvendinimas</t>
  </si>
  <si>
    <t>Daukanto g. 13a ir Pievų Tako g. 8 -3</t>
  </si>
  <si>
    <t xml:space="preserve">2020-2021 m. </t>
  </si>
  <si>
    <t>SB(VB)</t>
  </si>
  <si>
    <t>SB(ES)</t>
  </si>
  <si>
    <t>IED   Statybos ir infrastruktūros plėtros sk.</t>
  </si>
  <si>
    <t>Šlaitų stabilizavimo darbų Šiaurės prospekte atlikimas</t>
  </si>
  <si>
    <t>Interneto prieigų viešosiose vietose belaidžio ryšio (Wi-Fi) paslaugos teikimas</t>
  </si>
  <si>
    <t xml:space="preserve">Suteikta  belaidžio ryšio (Wi-Fi) paslauga Kruizinių laivų terminale ir Teatro aikštėje, vnt. </t>
  </si>
  <si>
    <t>Retransliuojamo vaizdo stebėjimo kamerų viešose vietose eksploatacija</t>
  </si>
  <si>
    <r>
      <t>Vaikų žaidimo aikštelių įrengimo ir atnaujinimo programos įgyvendinimas</t>
    </r>
    <r>
      <rPr>
        <sz val="10"/>
        <color rgb="FFFF0000"/>
        <rFont val="Times New Roman"/>
        <family val="1"/>
        <charset val="186"/>
      </rPr>
      <t xml:space="preserve"> </t>
    </r>
  </si>
  <si>
    <t xml:space="preserve">Prevencinio projekto„Saugus eismas – saugus Tu“ įgyvendinimas kartu su Klaipėdos apskrities vyriausiuoju policijos komisariatu </t>
  </si>
  <si>
    <t>Atlikta nepriklausoma vertinimo (ekspertizė) dėl Klaipėdos miesto atskirų teritorijų ir gatvių užtvindymo priežastingumo nustatymo, vnt.</t>
  </si>
  <si>
    <t xml:space="preserve">Prevencinio projekto „Saugi Klaipėda“ įgyvendinimas kartu su Klaipėdos apskrities vyriausiuoju policijos komisariatu </t>
  </si>
  <si>
    <t>MŪD Aplinkoks kokybės sk.</t>
  </si>
  <si>
    <r>
      <rPr>
        <b/>
        <i/>
        <sz val="10"/>
        <rFont val="Times New Roman"/>
        <family val="1"/>
        <charset val="186"/>
      </rPr>
      <t xml:space="preserve">II-sios Melnragės paplūdimio </t>
    </r>
    <r>
      <rPr>
        <i/>
        <sz val="10"/>
        <rFont val="Times New Roman"/>
        <family val="1"/>
        <charset val="186"/>
      </rPr>
      <t>infrastruktūros pagal "Mėlynosios vėliavos" programos reikalavimus sutvarkymas</t>
    </r>
  </si>
  <si>
    <t>Įgyvendintas priemonių 2019–2021 metų planas. Užbaigtumas, proc.</t>
  </si>
  <si>
    <t xml:space="preserve">Prižiūrima tūrinių ir kitų gėlinių, vnt. </t>
  </si>
  <si>
    <t>45</t>
  </si>
  <si>
    <t>Viešųjų erdvių, gatvių ir kiemų apšvietimo įrengimas:</t>
  </si>
  <si>
    <t>P6</t>
  </si>
  <si>
    <r>
      <t xml:space="preserve">P2.4.2.2, </t>
    </r>
    <r>
      <rPr>
        <b/>
        <sz val="8"/>
        <rFont val="Times New Roman"/>
        <family val="1"/>
        <charset val="186"/>
      </rPr>
      <t>P6</t>
    </r>
  </si>
  <si>
    <t>Automobilių stovėjimo aikštelių projektavimas, įrengimas ir atnaujinimas</t>
  </si>
  <si>
    <r>
      <t xml:space="preserve">P2.4.2.5, </t>
    </r>
    <r>
      <rPr>
        <b/>
        <sz val="8"/>
        <rFont val="Times New Roman"/>
        <family val="1"/>
        <charset val="186"/>
      </rPr>
      <t>P6</t>
    </r>
  </si>
  <si>
    <t>Kapitališkai suremontuota atraminių apsauginių įėjimo į Girulių paplūdimį sienų. Užbaigtumas, proc. (darbų pradžia 2022 m.)</t>
  </si>
  <si>
    <t>Kapitališkai suremontuota atraminių apsauginių įėjimo į paplūdimį sienų. Užbaigtumas, proc. (darbų pradžia 2022 m.)</t>
  </si>
  <si>
    <t>(rangos darbų pradžia 2022 m.)</t>
  </si>
  <si>
    <t xml:space="preserve">2019–2021 M. KLAIPĖDOS MIESTO SAVIVALDYBĖS </t>
  </si>
  <si>
    <t>priedas</t>
  </si>
  <si>
    <t xml:space="preserve">Klaipėdos miesto savivaldybės miesto infrastruktūros objektų </t>
  </si>
  <si>
    <t xml:space="preserve">priežiūros ir modernizavimo programos (Nr. 07) aprašymo   </t>
  </si>
  <si>
    <t>Įrengta vaikų žaidimų aikštelių (Pempininkų ir Debreceno aikščių prieigose), vnt.</t>
  </si>
  <si>
    <t>Smiltynės g. 14B (prie bendro paplūdimio )</t>
  </si>
  <si>
    <t>Sudarytas locmano žemėlapis vnt.</t>
  </si>
  <si>
    <t>Parengta galimybių studija, vnt.</t>
  </si>
  <si>
    <t>Akmenos-Danės upės vidaus vandens kelio valdymas:</t>
  </si>
  <si>
    <t xml:space="preserve">Privažiuojamojo kelio ties Baltijos pr. 109 lietaus nuotekų tinklų statyba
</t>
  </si>
  <si>
    <t>Parengta atraminių apsauginių įėjimo į paplūdimius sienučių techninių projektų, vnt.</t>
  </si>
  <si>
    <t>P2.4.2.2.</t>
  </si>
  <si>
    <t>Atlikta tako atnaujinimo darbų (darbų pradžia 2022 m.). Užbaigtumas, proc.</t>
  </si>
  <si>
    <t xml:space="preserve">Pėsčiųjų tako sutvarkymas palei Taikos pr. nuo Sausio 15-osios iki Kauno g., paverčiant viešąja erdve, pritaikyta gyventojams bei smulkiajam ir vidutiniam verslui  </t>
  </si>
  <si>
    <t xml:space="preserve">Vaikų žaidimo aikštelių įrengimo ir atnaujinimo programos įgyvendinimas </t>
  </si>
  <si>
    <t>Įsigyta šviečiančių kalėdinių elementų apšvietimo atramoms, vnt.</t>
  </si>
  <si>
    <t>Įsigyta šviesos elementų (LED girliandų) fasadams ir medžiams puošti, tūkst. vnt</t>
  </si>
  <si>
    <t>Įsigyta šviesos elementų (LED girliandų) fasadams ir medžiams puošti, tūkst. m</t>
  </si>
  <si>
    <t>Pakabinta ir eksploatuojama papuošimo elementų, vnt.</t>
  </si>
  <si>
    <t>Pakabinta ir eksploatuojama šviesos elementų (LED girliandų) fasadams ir medžiams puošti, tūkst. m</t>
  </si>
  <si>
    <t>Klaipėdos miesto paplūdimių sutvarkymo priemonių plano įgyvendinimas</t>
  </si>
  <si>
    <t>______________________________________</t>
  </si>
  <si>
    <t>2019-ųjų metų asignavi-mų planas</t>
  </si>
  <si>
    <t>Atlikta fontano „Laivelis“ skvere prie „Meridiano“ atnaujinimo darbų. Užbaigtumas, proc.</t>
  </si>
  <si>
    <t>Įsigyta kalėdinių papuošimo elementų ir eglė:</t>
  </si>
  <si>
    <t>Atlikta vandens maudyklų tyrimų, skaičius</t>
  </si>
  <si>
    <t>Įrengtas konteinerinis tualetas prie moterų paplūdimio Melnragėje, Kopų g. 40, vnt.</t>
  </si>
  <si>
    <t>Smiltynės g. 14B (prie bendrojo paplūdimio)</t>
  </si>
  <si>
    <t>Pasirasirašyta sutartis dėl dalyvavimo Mėlynosios vėliavos programoje I Smiltynės ir II Melnragės paplūdimiuose, vnt.</t>
  </si>
  <si>
    <t>II Melnragės gelbėjimo stotyje esančios kavinės nuoma</t>
  </si>
  <si>
    <t>Įsigyta ir prižiūrėta paplūdimių inventoriaus (mobilių gelbėjimo stočių, gelbėjimosi lentų,  paplūdimių stendų, naro kostiumų, keturratis motociklas, radijo bangomis valdomų gelbėjimo plaustų), vnt.</t>
  </si>
  <si>
    <t>Sporto aikštelės (krepšinio ir lauko teniso) įrengimas Smiltynės paplūdimyje. Užbaigtumas proc.</t>
  </si>
  <si>
    <r>
      <t>Autonominių belaidžio (</t>
    </r>
    <r>
      <rPr>
        <i/>
        <sz val="10"/>
        <rFont val="Times New Roman"/>
        <family val="1"/>
        <charset val="186"/>
      </rPr>
      <t>Wi-Fi</t>
    </r>
    <r>
      <rPr>
        <sz val="10"/>
        <rFont val="Times New Roman"/>
        <family val="1"/>
        <charset val="186"/>
      </rPr>
      <t>) ryšio stotelių priežiūra, vnt.</t>
    </r>
  </si>
  <si>
    <t>Praėjimo take nuo dviračių tako iki Debreceno g. 52 namo;</t>
  </si>
  <si>
    <t>Otų g.;</t>
  </si>
  <si>
    <r>
      <t>Suteikta  belaidžio ryšio (</t>
    </r>
    <r>
      <rPr>
        <i/>
        <sz val="10"/>
        <rFont val="Times New Roman"/>
        <family val="1"/>
        <charset val="186"/>
      </rPr>
      <t>Wi-Fi</t>
    </r>
    <r>
      <rPr>
        <sz val="10"/>
        <rFont val="Times New Roman"/>
        <family val="1"/>
        <charset val="186"/>
      </rPr>
      <t xml:space="preserve">) paslauga Kruizinių laivų terminale ir Teatro aikštėje, vnt. </t>
    </r>
  </si>
  <si>
    <r>
      <t>Interneto prieigų viešosiose vietose belaidžio ryšio (</t>
    </r>
    <r>
      <rPr>
        <i/>
        <sz val="10"/>
        <rFont val="Times New Roman"/>
        <family val="1"/>
        <charset val="186"/>
      </rPr>
      <t>Wi-Fi</t>
    </r>
    <r>
      <rPr>
        <sz val="10"/>
        <rFont val="Times New Roman"/>
        <family val="1"/>
        <charset val="186"/>
      </rPr>
      <t>) paslaugos teikimas</t>
    </r>
  </si>
  <si>
    <t>Praėjimo take nuo Taikos pr. 8 iki Sausio     15-osios g. 2A;</t>
  </si>
  <si>
    <t>S. Daukanto g. 13A ir Pievų Tako g. 8–3</t>
  </si>
  <si>
    <t>Retransliuojamo vaizdo stebėjimo kamerų viešosiose vietose eksploatacija</t>
  </si>
  <si>
    <r>
      <t xml:space="preserve">Pėsčiųjų tako sutvarkymas palei Taikos pr. nuo Sausio 15-osios g. iki Kauno g., paverčiant viešąja erdve, pritaikyta gyventojams bei smulkiajam ir vidutiniam verslui </t>
    </r>
    <r>
      <rPr>
        <sz val="10"/>
        <color rgb="FFFF0000"/>
        <rFont val="Times New Roman"/>
        <family val="1"/>
        <charset val="186"/>
      </rPr>
      <t xml:space="preserve"> </t>
    </r>
  </si>
  <si>
    <t xml:space="preserve">Parengta žemėlapio programa,  skirta 2014–2020 m. integruotų investicijų programos projektams viešinti, vnt. </t>
  </si>
  <si>
    <t>Želdinių tvarkymas</t>
  </si>
  <si>
    <t>Daugiabučio namo Vingio g. 35 modernizavimo techninio darbo projekto parengimas</t>
  </si>
  <si>
    <t>Įrengta vaikų žaidimų aikštelių viešosiose erdvėse, vnt.</t>
  </si>
  <si>
    <t>Prižiūrima vaikų žaidimų aikštelių viešosiose erdvėse, vnt.</t>
  </si>
  <si>
    <t>Projekto „Saugus kaimynas – saugus aš“ įgyvendinimas kartu su Klaipėdos apskrities vyriausiuoju policijos komisariatu</t>
  </si>
  <si>
    <t>Gaisrų prevencijos projekto „Gyvenkime saugiai“ įgyvendinimas kartu su Klaipėdos apskrities priešgaisrine gelbėjimo valdyba</t>
  </si>
  <si>
    <t xml:space="preserve">Privažiuojamojo kelio ties Baltijos pr. 109 lietaus nuotekų tinklų tiesimas
</t>
  </si>
  <si>
    <t>Atlikta fontano „Laivelis“ skvere prie „Meridiano“ atnaujinimo darbų.  Užbaigtumas, proc.</t>
  </si>
  <si>
    <t xml:space="preserve">Atlikta viešosios erdvės (47 247,50  m²) sutvarkymo darbų. Užbaigtumas, proc.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</si>
</sst>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409]General"/>
  </numFmts>
  <fonts count="45"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sz val="9"/>
      <name val="Times New Roman"/>
      <family val="1"/>
      <charset val="186"/>
    </font>
    <font>
      <sz val="9"/>
      <color indexed="81"/>
      <name val="Tahoma"/>
      <family val="2"/>
      <charset val="186"/>
    </font>
    <font>
      <sz val="10"/>
      <name val="Times New Roman"/>
      <family val="1"/>
    </font>
    <font>
      <b/>
      <sz val="9"/>
      <name val="Times New Roman"/>
      <family val="1"/>
      <charset val="186"/>
    </font>
    <font>
      <b/>
      <sz val="10"/>
      <name val="Times New Roman"/>
      <family val="1"/>
      <charset val="204"/>
    </font>
    <font>
      <sz val="10"/>
      <name val="Times New Roman"/>
      <family val="1"/>
      <charset val="204"/>
    </font>
    <font>
      <b/>
      <sz val="10"/>
      <name val="Times New Roman"/>
      <family val="1"/>
    </font>
    <font>
      <sz val="10"/>
      <color rgb="FFFF0000"/>
      <name val="Times New Roman"/>
      <family val="1"/>
      <charset val="186"/>
    </font>
    <font>
      <sz val="7"/>
      <name val="Times New Roman"/>
      <family val="1"/>
      <charset val="186"/>
    </font>
    <font>
      <b/>
      <sz val="9"/>
      <color indexed="81"/>
      <name val="Tahoma"/>
      <family val="2"/>
      <charset val="186"/>
    </font>
    <font>
      <b/>
      <sz val="10"/>
      <name val="Arial"/>
      <family val="2"/>
      <charset val="186"/>
    </font>
    <font>
      <b/>
      <sz val="9"/>
      <name val="Times New Roman"/>
      <family val="1"/>
    </font>
    <font>
      <i/>
      <sz val="10"/>
      <name val="Times New Roman"/>
      <family val="1"/>
      <charset val="186"/>
    </font>
    <font>
      <sz val="11"/>
      <name val="Calibri"/>
      <family val="2"/>
      <charset val="186"/>
      <scheme val="minor"/>
    </font>
    <font>
      <sz val="11"/>
      <name val="Times New Roman"/>
      <family val="1"/>
      <charset val="186"/>
    </font>
    <font>
      <b/>
      <sz val="8"/>
      <name val="Arial"/>
      <family val="2"/>
      <charset val="186"/>
    </font>
    <font>
      <b/>
      <sz val="9"/>
      <name val="Arial"/>
      <family val="2"/>
      <charset val="186"/>
    </font>
    <font>
      <u/>
      <sz val="10"/>
      <name val="Times New Roman"/>
      <family val="1"/>
      <charset val="186"/>
    </font>
    <font>
      <sz val="10"/>
      <color theme="1"/>
      <name val="Times New Roman"/>
      <family val="1"/>
      <charset val="186"/>
    </font>
    <font>
      <b/>
      <sz val="10"/>
      <color rgb="FFFF0000"/>
      <name val="Times New Roman"/>
      <family val="1"/>
      <charset val="186"/>
    </font>
    <font>
      <strike/>
      <sz val="10"/>
      <color rgb="FFFF0000"/>
      <name val="Times New Roman"/>
      <family val="1"/>
      <charset val="186"/>
    </font>
    <font>
      <b/>
      <sz val="10"/>
      <name val="Cambria"/>
      <family val="1"/>
      <charset val="186"/>
    </font>
    <font>
      <sz val="10"/>
      <name val="Cambria"/>
      <family val="1"/>
      <charset val="186"/>
    </font>
    <font>
      <strike/>
      <sz val="10"/>
      <name val="Times New Roman"/>
      <family val="1"/>
      <charset val="186"/>
    </font>
    <font>
      <b/>
      <i/>
      <sz val="8"/>
      <name val="Times New Roman"/>
      <family val="1"/>
      <charset val="186"/>
    </font>
    <font>
      <i/>
      <sz val="8"/>
      <name val="Times New Roman"/>
      <family val="1"/>
      <charset val="186"/>
    </font>
    <font>
      <b/>
      <i/>
      <sz val="10"/>
      <name val="Times New Roman"/>
      <family val="1"/>
      <charset val="186"/>
    </font>
    <font>
      <i/>
      <sz val="10"/>
      <name val="Arial"/>
      <family val="2"/>
      <charset val="186"/>
    </font>
    <font>
      <b/>
      <i/>
      <sz val="8"/>
      <name val="Arial"/>
      <family val="2"/>
      <charset val="186"/>
    </font>
    <font>
      <i/>
      <sz val="8"/>
      <name val="Arial"/>
      <family val="2"/>
      <charset val="186"/>
    </font>
    <font>
      <i/>
      <sz val="9"/>
      <name val="Times New Roman"/>
      <family val="1"/>
      <charset val="186"/>
    </font>
    <font>
      <sz val="10"/>
      <color rgb="FF00B050"/>
      <name val="Times New Roman"/>
      <family val="1"/>
      <charset val="186"/>
    </font>
    <font>
      <b/>
      <sz val="10"/>
      <color rgb="FF00B050"/>
      <name val="Times New Roman"/>
      <family val="1"/>
      <charset val="186"/>
    </font>
    <font>
      <sz val="10"/>
      <color theme="3"/>
      <name val="Times New Roman"/>
      <family val="1"/>
      <charset val="186"/>
    </font>
    <font>
      <sz val="12"/>
      <name val="Arial"/>
      <family val="2"/>
      <charset val="186"/>
    </font>
    <font>
      <sz val="11"/>
      <color rgb="FF000000"/>
      <name val="Calibri"/>
      <family val="2"/>
      <charset val="186"/>
    </font>
  </fonts>
  <fills count="1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FF"/>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rgb="FFD9D9D9"/>
      </patternFill>
    </fill>
  </fills>
  <borders count="121">
    <border>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style="medium">
        <color indexed="64"/>
      </left>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s>
  <cellStyleXfs count="4">
    <xf numFmtId="0" fontId="0" fillId="0" borderId="0"/>
    <xf numFmtId="0" fontId="7" fillId="0" borderId="0"/>
    <xf numFmtId="0" fontId="3" fillId="2" borderId="1" applyBorder="0">
      <alignment horizontal="left" vertical="top" wrapText="1"/>
    </xf>
    <xf numFmtId="166" fontId="44" fillId="0" borderId="0" applyBorder="0" applyProtection="0"/>
  </cellStyleXfs>
  <cellXfs count="2050">
    <xf numFmtId="0" fontId="0" fillId="0" borderId="0" xfId="0"/>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3" xfId="0" applyFont="1" applyBorder="1" applyAlignment="1">
      <alignment horizontal="center" vertical="center" textRotation="90" wrapText="1"/>
    </xf>
    <xf numFmtId="0" fontId="3" fillId="0" borderId="3" xfId="0" applyFont="1" applyBorder="1" applyAlignment="1">
      <alignment horizontal="center" vertical="center" textRotation="90"/>
    </xf>
    <xf numFmtId="0" fontId="3" fillId="0" borderId="4" xfId="0" applyFont="1" applyBorder="1" applyAlignment="1">
      <alignment horizontal="center" vertical="center" textRotation="90"/>
    </xf>
    <xf numFmtId="0" fontId="3" fillId="0" borderId="0" xfId="0" applyFont="1" applyAlignment="1">
      <alignment vertical="top"/>
    </xf>
    <xf numFmtId="49" fontId="5" fillId="3" borderId="5" xfId="0" applyNumberFormat="1" applyFont="1" applyFill="1" applyBorder="1" applyAlignment="1">
      <alignment horizontal="center" vertical="top"/>
    </xf>
    <xf numFmtId="0" fontId="3" fillId="0" borderId="6" xfId="0" applyFont="1" applyFill="1" applyBorder="1" applyAlignment="1">
      <alignment horizontal="center" vertical="top" wrapText="1"/>
    </xf>
    <xf numFmtId="0" fontId="3" fillId="0" borderId="0" xfId="0" applyFont="1" applyFill="1" applyBorder="1" applyAlignment="1">
      <alignment vertical="top"/>
    </xf>
    <xf numFmtId="0" fontId="3" fillId="0" borderId="9" xfId="0" applyFont="1" applyFill="1" applyBorder="1" applyAlignment="1">
      <alignment horizontal="center" vertical="top" wrapText="1"/>
    </xf>
    <xf numFmtId="0" fontId="3" fillId="0" borderId="0" xfId="0" applyFont="1" applyFill="1" applyAlignment="1">
      <alignment vertical="top"/>
    </xf>
    <xf numFmtId="0" fontId="3" fillId="2" borderId="0" xfId="0" applyFont="1" applyFill="1" applyAlignment="1">
      <alignment vertical="top"/>
    </xf>
    <xf numFmtId="0" fontId="7" fillId="0" borderId="0" xfId="0" applyFont="1"/>
    <xf numFmtId="0" fontId="3" fillId="0" borderId="0" xfId="0" applyFont="1" applyAlignment="1">
      <alignment vertical="center"/>
    </xf>
    <xf numFmtId="0" fontId="5" fillId="0" borderId="0" xfId="0" applyFont="1" applyAlignment="1">
      <alignment horizontal="left" vertical="top"/>
    </xf>
    <xf numFmtId="165" fontId="3" fillId="0" borderId="0" xfId="0" applyNumberFormat="1" applyFont="1" applyAlignment="1">
      <alignment vertical="top"/>
    </xf>
    <xf numFmtId="165" fontId="3" fillId="0" borderId="0" xfId="0" applyNumberFormat="1" applyFont="1" applyAlignment="1">
      <alignment horizontal="left" vertical="top"/>
    </xf>
    <xf numFmtId="0" fontId="3" fillId="0" borderId="29" xfId="0" applyFont="1" applyFill="1" applyBorder="1" applyAlignment="1">
      <alignment vertical="top" wrapText="1"/>
    </xf>
    <xf numFmtId="0" fontId="3" fillId="0" borderId="0" xfId="0" applyNumberFormat="1" applyFont="1" applyFill="1" applyBorder="1" applyAlignment="1">
      <alignment vertical="top" wrapText="1"/>
    </xf>
    <xf numFmtId="0" fontId="5" fillId="0" borderId="0" xfId="0" applyNumberFormat="1" applyFont="1" applyAlignment="1">
      <alignment horizontal="center" vertical="top"/>
    </xf>
    <xf numFmtId="3" fontId="3" fillId="2" borderId="18" xfId="0" applyNumberFormat="1" applyFont="1" applyFill="1" applyBorder="1" applyAlignment="1">
      <alignment horizontal="center" vertical="top"/>
    </xf>
    <xf numFmtId="164" fontId="3" fillId="0" borderId="0" xfId="0" applyNumberFormat="1" applyFont="1" applyAlignment="1">
      <alignment vertical="top"/>
    </xf>
    <xf numFmtId="0" fontId="3" fillId="0" borderId="0" xfId="0" applyFont="1" applyAlignment="1">
      <alignment horizontal="center" vertical="top"/>
    </xf>
    <xf numFmtId="49" fontId="5" fillId="4" borderId="54" xfId="0" applyNumberFormat="1" applyFont="1" applyFill="1" applyBorder="1" applyAlignment="1">
      <alignment horizontal="center" vertical="top"/>
    </xf>
    <xf numFmtId="0" fontId="3" fillId="0" borderId="22" xfId="0" applyFont="1" applyFill="1" applyBorder="1" applyAlignment="1">
      <alignment horizontal="center" vertical="top" wrapText="1"/>
    </xf>
    <xf numFmtId="0" fontId="5" fillId="8" borderId="60" xfId="0" applyFont="1" applyFill="1" applyBorder="1" applyAlignment="1">
      <alignment horizontal="center" vertical="top"/>
    </xf>
    <xf numFmtId="0" fontId="3" fillId="6" borderId="9" xfId="0" applyFont="1" applyFill="1" applyBorder="1" applyAlignment="1">
      <alignment horizontal="center" vertical="top"/>
    </xf>
    <xf numFmtId="0" fontId="3" fillId="6" borderId="44" xfId="0" applyFont="1" applyFill="1" applyBorder="1" applyAlignment="1">
      <alignment horizontal="center" vertical="center"/>
    </xf>
    <xf numFmtId="49" fontId="5" fillId="10" borderId="15" xfId="0" applyNumberFormat="1" applyFont="1" applyFill="1" applyBorder="1" applyAlignment="1">
      <alignment horizontal="center" vertical="top" wrapText="1"/>
    </xf>
    <xf numFmtId="49" fontId="5" fillId="10" borderId="38" xfId="0" applyNumberFormat="1" applyFont="1" applyFill="1" applyBorder="1" applyAlignment="1">
      <alignment horizontal="center" vertical="top"/>
    </xf>
    <xf numFmtId="49" fontId="5" fillId="10" borderId="33" xfId="0" applyNumberFormat="1" applyFont="1" applyFill="1" applyBorder="1" applyAlignment="1">
      <alignment horizontal="center" vertical="top"/>
    </xf>
    <xf numFmtId="49" fontId="5" fillId="10" borderId="54" xfId="0" applyNumberFormat="1" applyFont="1" applyFill="1" applyBorder="1" applyAlignment="1">
      <alignment horizontal="center" vertical="top"/>
    </xf>
    <xf numFmtId="49" fontId="5" fillId="10" borderId="58" xfId="0" applyNumberFormat="1" applyFont="1" applyFill="1" applyBorder="1" applyAlignment="1">
      <alignment horizontal="center" vertical="top"/>
    </xf>
    <xf numFmtId="49" fontId="5" fillId="10" borderId="8" xfId="0" applyNumberFormat="1" applyFont="1" applyFill="1" applyBorder="1" applyAlignment="1">
      <alignment horizontal="center" vertical="top" wrapText="1"/>
    </xf>
    <xf numFmtId="0" fontId="3" fillId="0" borderId="75" xfId="0" applyFont="1" applyFill="1" applyBorder="1" applyAlignment="1">
      <alignment horizontal="left" vertical="top" wrapText="1"/>
    </xf>
    <xf numFmtId="3" fontId="3" fillId="0" borderId="76" xfId="0" applyNumberFormat="1" applyFont="1" applyFill="1" applyBorder="1" applyAlignment="1">
      <alignment horizontal="center" vertical="top" wrapText="1"/>
    </xf>
    <xf numFmtId="0" fontId="3" fillId="6" borderId="75" xfId="0" applyFont="1" applyFill="1" applyBorder="1" applyAlignment="1">
      <alignment horizontal="left" vertical="top" wrapText="1"/>
    </xf>
    <xf numFmtId="49" fontId="3" fillId="6" borderId="16" xfId="0" applyNumberFormat="1" applyFont="1" applyFill="1" applyBorder="1" applyAlignment="1">
      <alignment horizontal="center" vertical="top" wrapText="1"/>
    </xf>
    <xf numFmtId="49" fontId="5" fillId="6" borderId="57" xfId="0" applyNumberFormat="1" applyFont="1" applyFill="1" applyBorder="1" applyAlignment="1">
      <alignment horizontal="center" vertical="top"/>
    </xf>
    <xf numFmtId="3" fontId="3" fillId="6" borderId="20" xfId="0" applyNumberFormat="1" applyFont="1" applyFill="1" applyBorder="1" applyAlignment="1">
      <alignment horizontal="center" vertical="top" wrapText="1"/>
    </xf>
    <xf numFmtId="0" fontId="5" fillId="8" borderId="33" xfId="0" applyFont="1" applyFill="1" applyBorder="1" applyAlignment="1">
      <alignment horizontal="center" vertical="top"/>
    </xf>
    <xf numFmtId="0" fontId="3" fillId="0" borderId="9" xfId="0" applyFont="1" applyBorder="1" applyAlignment="1">
      <alignment horizontal="center" vertical="top"/>
    </xf>
    <xf numFmtId="0" fontId="3" fillId="0" borderId="22" xfId="0" applyFont="1" applyBorder="1" applyAlignment="1">
      <alignment horizontal="center" vertical="top"/>
    </xf>
    <xf numFmtId="0" fontId="3" fillId="6" borderId="37" xfId="1" applyFont="1" applyFill="1" applyBorder="1" applyAlignment="1">
      <alignment vertical="top" wrapText="1"/>
    </xf>
    <xf numFmtId="3" fontId="3" fillId="0" borderId="94" xfId="0" applyNumberFormat="1" applyFont="1" applyFill="1" applyBorder="1" applyAlignment="1">
      <alignment horizontal="center" vertical="top" wrapText="1"/>
    </xf>
    <xf numFmtId="49" fontId="3" fillId="6" borderId="76" xfId="0" applyNumberFormat="1" applyFont="1" applyFill="1" applyBorder="1" applyAlignment="1">
      <alignment horizontal="center" vertical="top" wrapText="1"/>
    </xf>
    <xf numFmtId="49" fontId="5" fillId="10" borderId="15" xfId="0" applyNumberFormat="1" applyFont="1" applyFill="1" applyBorder="1" applyAlignment="1">
      <alignment horizontal="center" vertical="top"/>
    </xf>
    <xf numFmtId="49" fontId="5" fillId="3" borderId="2" xfId="0" applyNumberFormat="1" applyFont="1" applyFill="1" applyBorder="1" applyAlignment="1">
      <alignment horizontal="center" vertical="top"/>
    </xf>
    <xf numFmtId="3" fontId="3" fillId="6" borderId="18" xfId="0" applyNumberFormat="1" applyFont="1" applyFill="1" applyBorder="1" applyAlignment="1">
      <alignment horizontal="center" vertical="top" wrapText="1"/>
    </xf>
    <xf numFmtId="3" fontId="3" fillId="6" borderId="24" xfId="0" applyNumberFormat="1" applyFont="1" applyFill="1" applyBorder="1" applyAlignment="1">
      <alignment horizontal="center" vertical="top" wrapText="1"/>
    </xf>
    <xf numFmtId="3" fontId="3" fillId="6" borderId="26" xfId="0" applyNumberFormat="1" applyFont="1" applyFill="1" applyBorder="1" applyAlignment="1">
      <alignment horizontal="center" vertical="top" wrapText="1"/>
    </xf>
    <xf numFmtId="3" fontId="3" fillId="0" borderId="0" xfId="0" applyNumberFormat="1" applyFont="1" applyAlignment="1">
      <alignment horizontal="center" vertical="top"/>
    </xf>
    <xf numFmtId="0" fontId="3" fillId="0" borderId="90" xfId="0" applyFont="1" applyFill="1" applyBorder="1" applyAlignment="1">
      <alignment horizontal="left" vertical="top" wrapText="1"/>
    </xf>
    <xf numFmtId="0" fontId="3" fillId="6" borderId="75" xfId="0" applyFont="1" applyFill="1" applyBorder="1" applyAlignment="1">
      <alignment vertical="top" wrapText="1"/>
    </xf>
    <xf numFmtId="0" fontId="3" fillId="0" borderId="90" xfId="0" applyFont="1" applyFill="1" applyBorder="1" applyAlignment="1">
      <alignment vertical="top" wrapText="1"/>
    </xf>
    <xf numFmtId="3" fontId="3" fillId="0" borderId="0" xfId="0" applyNumberFormat="1" applyFont="1" applyAlignment="1">
      <alignment vertical="top"/>
    </xf>
    <xf numFmtId="0" fontId="3" fillId="2" borderId="80" xfId="0" applyFont="1" applyFill="1" applyBorder="1" applyAlignment="1">
      <alignment horizontal="left" vertical="top" wrapText="1"/>
    </xf>
    <xf numFmtId="0" fontId="3" fillId="0" borderId="7" xfId="0" applyFont="1" applyBorder="1" applyAlignment="1">
      <alignment horizontal="center" vertical="center"/>
    </xf>
    <xf numFmtId="49" fontId="5" fillId="2" borderId="48" xfId="0" applyNumberFormat="1" applyFont="1" applyFill="1" applyBorder="1" applyAlignment="1">
      <alignment horizontal="center" vertical="top" wrapText="1"/>
    </xf>
    <xf numFmtId="3" fontId="3" fillId="0" borderId="0" xfId="0" applyNumberFormat="1" applyFont="1" applyBorder="1" applyAlignment="1">
      <alignment vertical="top"/>
    </xf>
    <xf numFmtId="3" fontId="15" fillId="8" borderId="33" xfId="0" applyNumberFormat="1" applyFont="1" applyFill="1" applyBorder="1" applyAlignment="1">
      <alignment horizontal="right" vertical="top"/>
    </xf>
    <xf numFmtId="0" fontId="5" fillId="0" borderId="27" xfId="0" applyFont="1" applyBorder="1" applyAlignment="1">
      <alignment horizontal="center" vertical="center"/>
    </xf>
    <xf numFmtId="0" fontId="5" fillId="6" borderId="18"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22" xfId="0" applyFont="1" applyFill="1" applyBorder="1" applyAlignment="1">
      <alignment horizontal="center" vertical="center"/>
    </xf>
    <xf numFmtId="49" fontId="5" fillId="6" borderId="48" xfId="0" applyNumberFormat="1" applyFont="1" applyFill="1" applyBorder="1" applyAlignment="1">
      <alignment horizontal="center" vertical="center"/>
    </xf>
    <xf numFmtId="0" fontId="3" fillId="0" borderId="37" xfId="0" applyFont="1" applyFill="1" applyBorder="1" applyAlignment="1">
      <alignment vertical="top" wrapText="1"/>
    </xf>
    <xf numFmtId="0" fontId="3" fillId="6" borderId="6" xfId="0" applyFont="1" applyFill="1" applyBorder="1" applyAlignment="1">
      <alignment horizontal="center" vertical="top"/>
    </xf>
    <xf numFmtId="0" fontId="3" fillId="6" borderId="22" xfId="0" applyFont="1" applyFill="1" applyBorder="1" applyAlignment="1">
      <alignment horizontal="center" vertical="top"/>
    </xf>
    <xf numFmtId="0" fontId="3" fillId="6" borderId="7" xfId="0" applyFont="1" applyFill="1" applyBorder="1" applyAlignment="1">
      <alignment horizontal="center" vertical="top" wrapText="1"/>
    </xf>
    <xf numFmtId="49" fontId="5" fillId="9" borderId="24" xfId="0" applyNumberFormat="1" applyFont="1" applyFill="1" applyBorder="1" applyAlignment="1">
      <alignment horizontal="center" vertical="top"/>
    </xf>
    <xf numFmtId="3" fontId="7" fillId="0" borderId="0" xfId="0" applyNumberFormat="1" applyFont="1" applyFill="1" applyAlignment="1">
      <alignment horizontal="left" vertical="top"/>
    </xf>
    <xf numFmtId="3" fontId="15" fillId="8" borderId="60" xfId="0" applyNumberFormat="1" applyFont="1" applyFill="1" applyBorder="1" applyAlignment="1">
      <alignment horizontal="right" vertical="top"/>
    </xf>
    <xf numFmtId="0" fontId="3" fillId="6" borderId="97" xfId="0" applyFont="1" applyFill="1" applyBorder="1" applyAlignment="1">
      <alignment horizontal="center" vertical="top"/>
    </xf>
    <xf numFmtId="0" fontId="3" fillId="6" borderId="22" xfId="0" applyFont="1" applyFill="1" applyBorder="1" applyAlignment="1">
      <alignment horizontal="center" vertical="center" wrapText="1"/>
    </xf>
    <xf numFmtId="3" fontId="3" fillId="0" borderId="31" xfId="0" applyNumberFormat="1" applyFont="1" applyFill="1" applyBorder="1" applyAlignment="1">
      <alignment horizontal="center" vertical="top"/>
    </xf>
    <xf numFmtId="49" fontId="3" fillId="6" borderId="44" xfId="0" applyNumberFormat="1" applyFont="1" applyFill="1" applyBorder="1" applyAlignment="1">
      <alignment horizontal="center" vertical="top"/>
    </xf>
    <xf numFmtId="49" fontId="3" fillId="6" borderId="9" xfId="0" applyNumberFormat="1" applyFont="1" applyFill="1" applyBorder="1" applyAlignment="1">
      <alignment horizontal="center" vertical="top"/>
    </xf>
    <xf numFmtId="49" fontId="5" fillId="6" borderId="39" xfId="0" applyNumberFormat="1" applyFont="1" applyFill="1" applyBorder="1" applyAlignment="1">
      <alignment horizontal="center" vertical="top"/>
    </xf>
    <xf numFmtId="49" fontId="5" fillId="6" borderId="0" xfId="0" applyNumberFormat="1" applyFont="1" applyFill="1" applyBorder="1" applyAlignment="1">
      <alignment horizontal="center" vertical="top"/>
    </xf>
    <xf numFmtId="49" fontId="3" fillId="6" borderId="16" xfId="0" applyNumberFormat="1" applyFont="1" applyFill="1" applyBorder="1" applyAlignment="1">
      <alignment horizontal="center" vertical="top"/>
    </xf>
    <xf numFmtId="0" fontId="7" fillId="6" borderId="38" xfId="0" applyFont="1" applyFill="1" applyBorder="1" applyAlignment="1">
      <alignment horizontal="center" vertical="top"/>
    </xf>
    <xf numFmtId="49" fontId="5" fillId="3" borderId="71" xfId="0" applyNumberFormat="1" applyFont="1" applyFill="1" applyBorder="1" applyAlignment="1">
      <alignment horizontal="center" vertical="top"/>
    </xf>
    <xf numFmtId="49" fontId="5" fillId="0" borderId="13" xfId="0" applyNumberFormat="1" applyFont="1" applyFill="1" applyBorder="1" applyAlignment="1">
      <alignment horizontal="center" vertical="top"/>
    </xf>
    <xf numFmtId="49" fontId="3" fillId="6" borderId="13" xfId="0" applyNumberFormat="1" applyFont="1" applyFill="1" applyBorder="1" applyAlignment="1">
      <alignment horizontal="center" vertical="top"/>
    </xf>
    <xf numFmtId="49" fontId="3" fillId="6" borderId="7" xfId="0" applyNumberFormat="1" applyFont="1" applyFill="1" applyBorder="1" applyAlignment="1">
      <alignment horizontal="center" vertical="top" wrapText="1"/>
    </xf>
    <xf numFmtId="0" fontId="3" fillId="0" borderId="12" xfId="0" applyFont="1" applyFill="1" applyBorder="1" applyAlignment="1">
      <alignment vertical="top" wrapText="1"/>
    </xf>
    <xf numFmtId="3" fontId="3" fillId="6" borderId="32" xfId="0" applyNumberFormat="1" applyFont="1" applyFill="1" applyBorder="1" applyAlignment="1">
      <alignment horizontal="center" vertical="top" wrapText="1"/>
    </xf>
    <xf numFmtId="3" fontId="3" fillId="0" borderId="0" xfId="0" applyNumberFormat="1" applyFont="1" applyFill="1" applyAlignment="1">
      <alignment vertical="top"/>
    </xf>
    <xf numFmtId="0" fontId="3" fillId="6" borderId="10" xfId="0" applyFont="1" applyFill="1" applyBorder="1" applyAlignment="1">
      <alignment horizontal="left" wrapText="1"/>
    </xf>
    <xf numFmtId="0" fontId="7" fillId="6" borderId="18" xfId="0" applyFont="1" applyFill="1" applyBorder="1" applyAlignment="1">
      <alignment horizontal="center" vertical="center" wrapText="1"/>
    </xf>
    <xf numFmtId="3" fontId="3" fillId="0" borderId="20" xfId="0" applyNumberFormat="1" applyFont="1" applyFill="1" applyBorder="1" applyAlignment="1">
      <alignment horizontal="center" vertical="top" wrapText="1"/>
    </xf>
    <xf numFmtId="3" fontId="3" fillId="6" borderId="16" xfId="0" applyNumberFormat="1" applyFont="1" applyFill="1" applyBorder="1" applyAlignment="1">
      <alignment horizontal="center" vertical="top" wrapText="1"/>
    </xf>
    <xf numFmtId="49" fontId="5" fillId="11" borderId="69" xfId="0" applyNumberFormat="1" applyFont="1" applyFill="1" applyBorder="1" applyAlignment="1">
      <alignment horizontal="center" vertical="top"/>
    </xf>
    <xf numFmtId="49" fontId="5" fillId="11" borderId="38" xfId="0" applyNumberFormat="1" applyFont="1" applyFill="1" applyBorder="1" applyAlignment="1">
      <alignment horizontal="center" vertical="top"/>
    </xf>
    <xf numFmtId="165" fontId="3" fillId="6" borderId="63" xfId="0" applyNumberFormat="1" applyFont="1" applyFill="1" applyBorder="1" applyAlignment="1">
      <alignment horizontal="center" vertical="top"/>
    </xf>
    <xf numFmtId="0" fontId="3" fillId="6" borderId="64" xfId="0" applyFont="1" applyFill="1" applyBorder="1" applyAlignment="1">
      <alignment horizontal="center" vertical="center" textRotation="90" wrapText="1"/>
    </xf>
    <xf numFmtId="0" fontId="5" fillId="0" borderId="13" xfId="0" applyFont="1" applyFill="1" applyBorder="1" applyAlignment="1">
      <alignment horizontal="left" vertical="top" wrapText="1"/>
    </xf>
    <xf numFmtId="0" fontId="3" fillId="6" borderId="18" xfId="0" applyFont="1" applyFill="1" applyBorder="1" applyAlignment="1">
      <alignment horizontal="center" vertical="center"/>
    </xf>
    <xf numFmtId="0" fontId="3" fillId="6" borderId="31" xfId="0" applyFont="1" applyFill="1" applyBorder="1" applyAlignment="1">
      <alignment horizontal="center" vertical="center"/>
    </xf>
    <xf numFmtId="0" fontId="7" fillId="6" borderId="37" xfId="0" applyFont="1" applyFill="1" applyBorder="1" applyAlignment="1">
      <alignment horizontal="center" vertical="center" textRotation="90" wrapText="1"/>
    </xf>
    <xf numFmtId="0" fontId="7" fillId="6" borderId="19" xfId="0" applyFont="1" applyFill="1" applyBorder="1" applyAlignment="1">
      <alignment horizontal="center" vertical="center" textRotation="90" wrapText="1"/>
    </xf>
    <xf numFmtId="0" fontId="13" fillId="0" borderId="13" xfId="0" applyFont="1" applyFill="1" applyBorder="1" applyAlignment="1">
      <alignment horizontal="left" vertical="top" wrapText="1"/>
    </xf>
    <xf numFmtId="0" fontId="3" fillId="0" borderId="27" xfId="0" applyFont="1" applyBorder="1" applyAlignment="1">
      <alignment horizontal="center" vertical="center"/>
    </xf>
    <xf numFmtId="0" fontId="3" fillId="6" borderId="73" xfId="0" applyFont="1" applyFill="1" applyBorder="1" applyAlignment="1">
      <alignment horizontal="center" vertical="center"/>
    </xf>
    <xf numFmtId="0" fontId="3" fillId="6" borderId="83" xfId="0" applyFont="1" applyFill="1" applyBorder="1" applyAlignment="1">
      <alignment vertical="center" wrapText="1"/>
    </xf>
    <xf numFmtId="165" fontId="5" fillId="8" borderId="21" xfId="0" applyNumberFormat="1" applyFont="1" applyFill="1" applyBorder="1" applyAlignment="1">
      <alignment horizontal="center" vertical="top" wrapText="1"/>
    </xf>
    <xf numFmtId="165" fontId="3" fillId="0" borderId="21" xfId="0" applyNumberFormat="1" applyFont="1" applyBorder="1" applyAlignment="1">
      <alignment horizontal="center" vertical="top" wrapText="1"/>
    </xf>
    <xf numFmtId="165" fontId="3" fillId="8" borderId="21" xfId="0" applyNumberFormat="1" applyFont="1" applyFill="1" applyBorder="1" applyAlignment="1">
      <alignment horizontal="center" vertical="top" wrapText="1"/>
    </xf>
    <xf numFmtId="0" fontId="7" fillId="6" borderId="16" xfId="0" applyFont="1" applyFill="1" applyBorder="1" applyAlignment="1">
      <alignment horizontal="center" vertical="center" textRotation="90" wrapText="1"/>
    </xf>
    <xf numFmtId="165" fontId="3" fillId="6" borderId="19" xfId="0" applyNumberFormat="1" applyFont="1" applyFill="1" applyBorder="1" applyAlignment="1">
      <alignment horizontal="center" vertical="top"/>
    </xf>
    <xf numFmtId="165" fontId="3" fillId="6" borderId="49" xfId="0" applyNumberFormat="1" applyFont="1" applyFill="1" applyBorder="1" applyAlignment="1">
      <alignment horizontal="center" vertical="top"/>
    </xf>
    <xf numFmtId="165" fontId="3" fillId="6" borderId="37" xfId="0" applyNumberFormat="1" applyFont="1" applyFill="1" applyBorder="1" applyAlignment="1">
      <alignment horizontal="center" vertical="top"/>
    </xf>
    <xf numFmtId="165" fontId="3" fillId="6" borderId="70" xfId="0" applyNumberFormat="1" applyFont="1" applyFill="1" applyBorder="1" applyAlignment="1">
      <alignment horizontal="center" vertical="top"/>
    </xf>
    <xf numFmtId="165" fontId="3" fillId="6" borderId="29" xfId="0" applyNumberFormat="1" applyFont="1" applyFill="1" applyBorder="1" applyAlignment="1">
      <alignment horizontal="center" vertical="top"/>
    </xf>
    <xf numFmtId="165" fontId="3" fillId="6" borderId="64" xfId="0" applyNumberFormat="1" applyFont="1" applyFill="1" applyBorder="1" applyAlignment="1">
      <alignment horizontal="center" vertical="top"/>
    </xf>
    <xf numFmtId="165" fontId="3" fillId="6" borderId="47" xfId="0" applyNumberFormat="1" applyFont="1" applyFill="1" applyBorder="1" applyAlignment="1">
      <alignment horizontal="center" vertical="top"/>
    </xf>
    <xf numFmtId="165" fontId="3" fillId="6" borderId="0" xfId="0" applyNumberFormat="1" applyFont="1" applyFill="1" applyBorder="1" applyAlignment="1">
      <alignment horizontal="center" vertical="top"/>
    </xf>
    <xf numFmtId="165" fontId="3" fillId="6" borderId="6" xfId="0" applyNumberFormat="1" applyFont="1" applyFill="1" applyBorder="1" applyAlignment="1">
      <alignment horizontal="center" vertical="top"/>
    </xf>
    <xf numFmtId="165" fontId="3" fillId="6" borderId="22" xfId="0" applyNumberFormat="1" applyFont="1" applyFill="1" applyBorder="1" applyAlignment="1">
      <alignment horizontal="center" vertical="top"/>
    </xf>
    <xf numFmtId="165" fontId="3" fillId="6" borderId="97" xfId="0" applyNumberFormat="1" applyFont="1" applyFill="1" applyBorder="1" applyAlignment="1">
      <alignment horizontal="center" vertical="top"/>
    </xf>
    <xf numFmtId="165" fontId="3" fillId="6" borderId="21" xfId="0" applyNumberFormat="1" applyFont="1" applyFill="1" applyBorder="1" applyAlignment="1">
      <alignment horizontal="center" vertical="top"/>
    </xf>
    <xf numFmtId="165" fontId="5" fillId="3" borderId="61" xfId="0" applyNumberFormat="1" applyFont="1" applyFill="1" applyBorder="1" applyAlignment="1">
      <alignment horizontal="center" vertical="top"/>
    </xf>
    <xf numFmtId="165" fontId="3" fillId="6" borderId="0" xfId="0" applyNumberFormat="1" applyFont="1" applyFill="1" applyBorder="1" applyAlignment="1">
      <alignment horizontal="center" vertical="center"/>
    </xf>
    <xf numFmtId="165" fontId="3" fillId="6" borderId="47" xfId="0" applyNumberFormat="1" applyFont="1" applyFill="1" applyBorder="1" applyAlignment="1">
      <alignment horizontal="center" vertical="center"/>
    </xf>
    <xf numFmtId="165" fontId="5" fillId="3" borderId="23" xfId="0" applyNumberFormat="1" applyFont="1" applyFill="1" applyBorder="1" applyAlignment="1">
      <alignment horizontal="center" vertical="top"/>
    </xf>
    <xf numFmtId="165" fontId="3" fillId="6" borderId="55" xfId="0" applyNumberFormat="1" applyFont="1" applyFill="1" applyBorder="1" applyAlignment="1">
      <alignment horizontal="center" vertical="top"/>
    </xf>
    <xf numFmtId="165" fontId="3" fillId="6" borderId="83" xfId="0" applyNumberFormat="1" applyFont="1" applyFill="1" applyBorder="1" applyAlignment="1">
      <alignment horizontal="center" vertical="top"/>
    </xf>
    <xf numFmtId="165" fontId="5" fillId="10" borderId="58" xfId="0" applyNumberFormat="1" applyFont="1" applyFill="1" applyBorder="1" applyAlignment="1">
      <alignment horizontal="center" vertical="top"/>
    </xf>
    <xf numFmtId="165" fontId="5" fillId="4" borderId="58" xfId="0" applyNumberFormat="1" applyFont="1" applyFill="1" applyBorder="1" applyAlignment="1">
      <alignment horizontal="center" vertical="top"/>
    </xf>
    <xf numFmtId="49" fontId="5" fillId="9" borderId="45" xfId="0" applyNumberFormat="1" applyFont="1" applyFill="1" applyBorder="1" applyAlignment="1">
      <alignment horizontal="center" vertical="top"/>
    </xf>
    <xf numFmtId="0" fontId="3" fillId="0" borderId="56" xfId="0" applyFont="1" applyBorder="1" applyAlignment="1">
      <alignment horizontal="center" vertical="center" textRotation="90" wrapText="1"/>
    </xf>
    <xf numFmtId="0" fontId="5" fillId="6" borderId="65" xfId="0" applyFont="1" applyFill="1" applyBorder="1" applyAlignment="1">
      <alignment horizontal="center" vertical="top" wrapText="1"/>
    </xf>
    <xf numFmtId="0" fontId="5" fillId="6" borderId="67" xfId="0" applyFont="1" applyFill="1" applyBorder="1" applyAlignment="1">
      <alignment horizontal="center" vertical="top" wrapText="1"/>
    </xf>
    <xf numFmtId="0" fontId="5" fillId="6" borderId="37" xfId="0" applyFont="1" applyFill="1" applyBorder="1" applyAlignment="1">
      <alignment horizontal="center" vertical="top" wrapText="1"/>
    </xf>
    <xf numFmtId="0" fontId="2" fillId="6" borderId="13" xfId="0" applyFont="1" applyFill="1" applyBorder="1" applyAlignment="1">
      <alignment horizontal="center" vertical="center" textRotation="90"/>
    </xf>
    <xf numFmtId="49" fontId="5" fillId="6" borderId="46" xfId="0" applyNumberFormat="1" applyFont="1" applyFill="1" applyBorder="1" applyAlignment="1">
      <alignment horizontal="center" vertical="top"/>
    </xf>
    <xf numFmtId="49" fontId="5" fillId="6" borderId="30" xfId="0" applyNumberFormat="1" applyFont="1" applyFill="1" applyBorder="1" applyAlignment="1">
      <alignment horizontal="center" vertical="center"/>
    </xf>
    <xf numFmtId="3" fontId="5" fillId="6" borderId="26" xfId="0" applyNumberFormat="1" applyFont="1" applyFill="1" applyBorder="1" applyAlignment="1">
      <alignment horizontal="center" vertical="top" wrapText="1"/>
    </xf>
    <xf numFmtId="3" fontId="5" fillId="6" borderId="16" xfId="0" applyNumberFormat="1" applyFont="1" applyFill="1" applyBorder="1" applyAlignment="1">
      <alignment horizontal="center" vertical="top" wrapText="1"/>
    </xf>
    <xf numFmtId="165" fontId="3" fillId="6" borderId="44" xfId="0" applyNumberFormat="1" applyFont="1" applyFill="1" applyBorder="1" applyAlignment="1">
      <alignment horizontal="center" vertical="top"/>
    </xf>
    <xf numFmtId="165" fontId="3" fillId="6" borderId="10" xfId="0" applyNumberFormat="1" applyFont="1" applyFill="1" applyBorder="1" applyAlignment="1">
      <alignment horizontal="center" vertical="top"/>
    </xf>
    <xf numFmtId="165" fontId="3" fillId="6" borderId="43" xfId="0" applyNumberFormat="1" applyFont="1" applyFill="1" applyBorder="1" applyAlignment="1">
      <alignment horizontal="center" vertical="top"/>
    </xf>
    <xf numFmtId="165" fontId="3" fillId="6" borderId="40" xfId="0" applyNumberFormat="1" applyFont="1" applyFill="1" applyBorder="1" applyAlignment="1">
      <alignment horizontal="center" vertical="top"/>
    </xf>
    <xf numFmtId="165" fontId="3" fillId="6" borderId="39" xfId="0" applyNumberFormat="1" applyFont="1" applyFill="1" applyBorder="1" applyAlignment="1">
      <alignment horizontal="center" vertical="top"/>
    </xf>
    <xf numFmtId="3" fontId="3" fillId="6" borderId="39" xfId="0" applyNumberFormat="1" applyFont="1" applyFill="1" applyBorder="1" applyAlignment="1">
      <alignment horizontal="right" vertical="center"/>
    </xf>
    <xf numFmtId="165" fontId="3" fillId="6" borderId="69" xfId="0" applyNumberFormat="1" applyFont="1" applyFill="1" applyBorder="1" applyAlignment="1">
      <alignment horizontal="center" vertical="top"/>
    </xf>
    <xf numFmtId="0" fontId="3" fillId="6" borderId="0" xfId="0" applyFont="1" applyFill="1" applyBorder="1" applyAlignment="1">
      <alignment vertical="top" wrapText="1"/>
    </xf>
    <xf numFmtId="0" fontId="22" fillId="0" borderId="0" xfId="0" applyFont="1"/>
    <xf numFmtId="0" fontId="3" fillId="0" borderId="66" xfId="0" applyFont="1" applyBorder="1" applyAlignment="1">
      <alignment horizontal="center" vertical="center" textRotation="90"/>
    </xf>
    <xf numFmtId="165" fontId="3" fillId="0" borderId="22" xfId="0" applyNumberFormat="1" applyFont="1" applyBorder="1" applyAlignment="1">
      <alignment horizontal="center" vertical="top"/>
    </xf>
    <xf numFmtId="165" fontId="3" fillId="2" borderId="79" xfId="0" applyNumberFormat="1" applyFont="1" applyFill="1" applyBorder="1" applyAlignment="1">
      <alignment horizontal="center" vertical="top"/>
    </xf>
    <xf numFmtId="3" fontId="3" fillId="6" borderId="48" xfId="0" applyNumberFormat="1" applyFont="1" applyFill="1" applyBorder="1" applyAlignment="1">
      <alignment horizontal="center" vertical="top" wrapText="1"/>
    </xf>
    <xf numFmtId="3" fontId="3" fillId="6" borderId="46" xfId="0" applyNumberFormat="1" applyFont="1" applyFill="1" applyBorder="1" applyAlignment="1">
      <alignment horizontal="center" vertical="top" wrapText="1"/>
    </xf>
    <xf numFmtId="3" fontId="3" fillId="6" borderId="30" xfId="0" applyNumberFormat="1" applyFont="1" applyFill="1" applyBorder="1" applyAlignment="1">
      <alignment horizontal="center" vertical="top" wrapText="1"/>
    </xf>
    <xf numFmtId="165" fontId="3" fillId="6" borderId="51" xfId="0" applyNumberFormat="1" applyFont="1" applyFill="1" applyBorder="1" applyAlignment="1">
      <alignment horizontal="center" vertical="top" wrapText="1"/>
    </xf>
    <xf numFmtId="165" fontId="3" fillId="2" borderId="78" xfId="0" applyNumberFormat="1" applyFont="1" applyFill="1" applyBorder="1" applyAlignment="1">
      <alignment horizontal="center" vertical="top"/>
    </xf>
    <xf numFmtId="3" fontId="3" fillId="6" borderId="16" xfId="1" applyNumberFormat="1" applyFont="1" applyFill="1" applyBorder="1" applyAlignment="1">
      <alignment horizontal="center" vertical="top"/>
    </xf>
    <xf numFmtId="3" fontId="3" fillId="6" borderId="32" xfId="1" applyNumberFormat="1" applyFont="1" applyFill="1" applyBorder="1" applyAlignment="1">
      <alignment horizontal="center" vertical="top"/>
    </xf>
    <xf numFmtId="3" fontId="3" fillId="2" borderId="20" xfId="0" applyNumberFormat="1" applyFont="1" applyFill="1" applyBorder="1" applyAlignment="1">
      <alignment horizontal="center" vertical="top"/>
    </xf>
    <xf numFmtId="165" fontId="3" fillId="0" borderId="13" xfId="0" applyNumberFormat="1" applyFont="1" applyFill="1" applyBorder="1" applyAlignment="1">
      <alignment horizontal="center" vertical="top" wrapText="1"/>
    </xf>
    <xf numFmtId="1" fontId="3" fillId="6" borderId="16" xfId="0" applyNumberFormat="1" applyFont="1" applyFill="1" applyBorder="1" applyAlignment="1">
      <alignment horizontal="center" vertical="top" wrapText="1"/>
    </xf>
    <xf numFmtId="3" fontId="3" fillId="6" borderId="16" xfId="0" applyNumberFormat="1" applyFont="1" applyFill="1" applyBorder="1" applyAlignment="1">
      <alignment horizontal="center" wrapText="1"/>
    </xf>
    <xf numFmtId="164" fontId="2" fillId="6" borderId="20" xfId="0" applyNumberFormat="1" applyFont="1" applyFill="1" applyBorder="1" applyAlignment="1">
      <alignment horizontal="center" vertical="center" wrapText="1"/>
    </xf>
    <xf numFmtId="165" fontId="3" fillId="6" borderId="20" xfId="0" applyNumberFormat="1" applyFont="1" applyFill="1" applyBorder="1" applyAlignment="1">
      <alignment horizontal="center" vertical="top"/>
    </xf>
    <xf numFmtId="0" fontId="3" fillId="6" borderId="63" xfId="1" applyFont="1" applyFill="1" applyBorder="1" applyAlignment="1">
      <alignment vertical="top" wrapText="1"/>
    </xf>
    <xf numFmtId="165" fontId="3" fillId="6" borderId="91" xfId="0" applyNumberFormat="1" applyFont="1" applyFill="1" applyBorder="1" applyAlignment="1">
      <alignment horizontal="center" vertical="top"/>
    </xf>
    <xf numFmtId="165" fontId="3" fillId="6" borderId="38" xfId="0" applyNumberFormat="1" applyFont="1" applyFill="1" applyBorder="1" applyAlignment="1">
      <alignment horizontal="center" vertical="top" wrapText="1"/>
    </xf>
    <xf numFmtId="165" fontId="3" fillId="6" borderId="13" xfId="0" applyNumberFormat="1" applyFont="1" applyFill="1" applyBorder="1" applyAlignment="1">
      <alignment horizontal="center" vertical="top"/>
    </xf>
    <xf numFmtId="0" fontId="3" fillId="0" borderId="10" xfId="0" applyFont="1" applyFill="1" applyBorder="1" applyAlignment="1">
      <alignment vertical="top" wrapText="1"/>
    </xf>
    <xf numFmtId="4" fontId="3" fillId="2" borderId="48" xfId="0" applyNumberFormat="1" applyFont="1" applyFill="1" applyBorder="1" applyAlignment="1">
      <alignment horizontal="center" vertical="top"/>
    </xf>
    <xf numFmtId="49" fontId="3" fillId="6" borderId="31" xfId="0" applyNumberFormat="1" applyFont="1" applyFill="1" applyBorder="1" applyAlignment="1">
      <alignment horizontal="center" vertical="top" wrapText="1"/>
    </xf>
    <xf numFmtId="165" fontId="3" fillId="6" borderId="7" xfId="0" applyNumberFormat="1" applyFont="1" applyFill="1" applyBorder="1" applyAlignment="1">
      <alignment horizontal="center" vertical="top"/>
    </xf>
    <xf numFmtId="165" fontId="3" fillId="6" borderId="59" xfId="0" applyNumberFormat="1" applyFont="1" applyFill="1" applyBorder="1" applyAlignment="1">
      <alignment horizontal="center" vertical="top"/>
    </xf>
    <xf numFmtId="165" fontId="3" fillId="6" borderId="51" xfId="0" applyNumberFormat="1" applyFont="1" applyFill="1" applyBorder="1" applyAlignment="1">
      <alignment horizontal="center" vertical="top"/>
    </xf>
    <xf numFmtId="165" fontId="3" fillId="6" borderId="53" xfId="0" applyNumberFormat="1" applyFont="1" applyFill="1" applyBorder="1" applyAlignment="1">
      <alignment horizontal="center" vertical="top"/>
    </xf>
    <xf numFmtId="165" fontId="3" fillId="6" borderId="50" xfId="0" applyNumberFormat="1" applyFont="1" applyFill="1" applyBorder="1" applyAlignment="1">
      <alignment horizontal="center" vertical="top"/>
    </xf>
    <xf numFmtId="165" fontId="3" fillId="6" borderId="51" xfId="0" applyNumberFormat="1" applyFont="1" applyFill="1" applyBorder="1" applyAlignment="1">
      <alignment horizontal="center" vertical="center"/>
    </xf>
    <xf numFmtId="165" fontId="3" fillId="6" borderId="103" xfId="0" applyNumberFormat="1" applyFont="1" applyFill="1" applyBorder="1" applyAlignment="1">
      <alignment horizontal="center" vertical="top"/>
    </xf>
    <xf numFmtId="165" fontId="3" fillId="6" borderId="9" xfId="0" applyNumberFormat="1" applyFont="1" applyFill="1" applyBorder="1" applyAlignment="1">
      <alignment horizontal="center" vertical="center"/>
    </xf>
    <xf numFmtId="165" fontId="3" fillId="6" borderId="16" xfId="0" applyNumberFormat="1" applyFont="1" applyFill="1" applyBorder="1" applyAlignment="1">
      <alignment horizontal="center" vertical="center"/>
    </xf>
    <xf numFmtId="165" fontId="3" fillId="6" borderId="74" xfId="0" applyNumberFormat="1" applyFont="1" applyFill="1" applyBorder="1" applyAlignment="1">
      <alignment horizontal="center" vertical="top"/>
    </xf>
    <xf numFmtId="165" fontId="3" fillId="6" borderId="51" xfId="0" applyNumberFormat="1" applyFont="1" applyFill="1" applyBorder="1" applyAlignment="1">
      <alignment horizontal="right" vertical="top"/>
    </xf>
    <xf numFmtId="165" fontId="3" fillId="6" borderId="95" xfId="0" applyNumberFormat="1" applyFont="1" applyFill="1" applyBorder="1" applyAlignment="1">
      <alignment horizontal="center" vertical="top"/>
    </xf>
    <xf numFmtId="165" fontId="3" fillId="6" borderId="101" xfId="0" applyNumberFormat="1" applyFont="1" applyFill="1" applyBorder="1" applyAlignment="1">
      <alignment horizontal="center" vertical="top"/>
    </xf>
    <xf numFmtId="49" fontId="3" fillId="6" borderId="0" xfId="0" applyNumberFormat="1" applyFont="1" applyFill="1" applyBorder="1" applyAlignment="1">
      <alignment horizontal="center" vertical="top" wrapText="1"/>
    </xf>
    <xf numFmtId="165" fontId="3" fillId="6" borderId="26" xfId="0" applyNumberFormat="1" applyFont="1" applyFill="1" applyBorder="1" applyAlignment="1">
      <alignment horizontal="center" vertical="top"/>
    </xf>
    <xf numFmtId="165" fontId="5" fillId="8" borderId="60" xfId="0" applyNumberFormat="1" applyFont="1" applyFill="1" applyBorder="1" applyAlignment="1">
      <alignment horizontal="center" vertical="top"/>
    </xf>
    <xf numFmtId="0" fontId="3" fillId="6" borderId="19" xfId="1" applyFont="1" applyFill="1" applyBorder="1" applyAlignment="1">
      <alignment vertical="top" wrapText="1"/>
    </xf>
    <xf numFmtId="165" fontId="3" fillId="6" borderId="68" xfId="0" applyNumberFormat="1" applyFont="1" applyFill="1" applyBorder="1" applyAlignment="1">
      <alignment horizontal="center" vertical="top"/>
    </xf>
    <xf numFmtId="165" fontId="3" fillId="6" borderId="9" xfId="0" applyNumberFormat="1" applyFont="1" applyFill="1" applyBorder="1" applyAlignment="1">
      <alignment horizontal="center" vertical="top" wrapText="1"/>
    </xf>
    <xf numFmtId="165" fontId="3" fillId="6" borderId="22" xfId="0" applyNumberFormat="1" applyFont="1" applyFill="1" applyBorder="1" applyAlignment="1">
      <alignment horizontal="center" vertical="top" wrapText="1"/>
    </xf>
    <xf numFmtId="0" fontId="3" fillId="0" borderId="45" xfId="0" applyFont="1" applyBorder="1" applyAlignment="1">
      <alignment horizontal="center" vertical="center"/>
    </xf>
    <xf numFmtId="3" fontId="3" fillId="6" borderId="48" xfId="0" applyNumberFormat="1" applyFont="1" applyFill="1" applyBorder="1" applyAlignment="1">
      <alignment horizontal="center" vertical="top"/>
    </xf>
    <xf numFmtId="3" fontId="3" fillId="6" borderId="46" xfId="0" applyNumberFormat="1" applyFont="1" applyFill="1" applyBorder="1" applyAlignment="1">
      <alignment horizontal="center" vertical="top"/>
    </xf>
    <xf numFmtId="3" fontId="3" fillId="6" borderId="30" xfId="0" applyNumberFormat="1" applyFont="1" applyFill="1" applyBorder="1" applyAlignment="1">
      <alignment horizontal="center" vertical="top"/>
    </xf>
    <xf numFmtId="3" fontId="3" fillId="6" borderId="48" xfId="0" applyNumberFormat="1" applyFont="1" applyFill="1" applyBorder="1" applyAlignment="1">
      <alignment vertical="top" wrapText="1"/>
    </xf>
    <xf numFmtId="0" fontId="3" fillId="0" borderId="26" xfId="0" applyFont="1" applyBorder="1" applyAlignment="1">
      <alignment horizontal="center" vertical="center"/>
    </xf>
    <xf numFmtId="0" fontId="3" fillId="6" borderId="16"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16" xfId="0" applyFont="1" applyFill="1" applyBorder="1" applyAlignment="1">
      <alignment horizontal="center" vertical="top"/>
    </xf>
    <xf numFmtId="0" fontId="3" fillId="6" borderId="92" xfId="0" applyFont="1" applyFill="1" applyBorder="1" applyAlignment="1">
      <alignment horizontal="center" vertical="center"/>
    </xf>
    <xf numFmtId="0" fontId="3" fillId="6" borderId="76" xfId="0" applyFont="1" applyFill="1" applyBorder="1" applyAlignment="1">
      <alignment horizontal="center" vertical="center"/>
    </xf>
    <xf numFmtId="3" fontId="3" fillId="6" borderId="16" xfId="0" applyNumberFormat="1" applyFont="1" applyFill="1" applyBorder="1" applyAlignment="1">
      <alignment horizontal="center" vertical="top"/>
    </xf>
    <xf numFmtId="3" fontId="3" fillId="6" borderId="20" xfId="0" applyNumberFormat="1" applyFont="1" applyFill="1" applyBorder="1" applyAlignment="1">
      <alignment horizontal="center" vertical="top"/>
    </xf>
    <xf numFmtId="3" fontId="3" fillId="6" borderId="32" xfId="0" applyNumberFormat="1" applyFont="1" applyFill="1" applyBorder="1" applyAlignment="1">
      <alignment horizontal="center" vertical="top"/>
    </xf>
    <xf numFmtId="165" fontId="5" fillId="8" borderId="33" xfId="0" applyNumberFormat="1" applyFont="1" applyFill="1" applyBorder="1" applyAlignment="1">
      <alignment horizontal="center" vertical="top"/>
    </xf>
    <xf numFmtId="165" fontId="5" fillId="3" borderId="58" xfId="0" applyNumberFormat="1" applyFont="1" applyFill="1" applyBorder="1" applyAlignment="1">
      <alignment horizontal="center" vertical="top"/>
    </xf>
    <xf numFmtId="165" fontId="3" fillId="6" borderId="22" xfId="0" applyNumberFormat="1" applyFont="1" applyFill="1" applyBorder="1" applyAlignment="1">
      <alignment horizontal="center" vertical="center"/>
    </xf>
    <xf numFmtId="3" fontId="3" fillId="6" borderId="44" xfId="0" applyNumberFormat="1" applyFont="1" applyFill="1" applyBorder="1" applyAlignment="1">
      <alignment horizontal="right" vertical="center"/>
    </xf>
    <xf numFmtId="165" fontId="3" fillId="6" borderId="32" xfId="0" applyNumberFormat="1" applyFont="1" applyFill="1" applyBorder="1" applyAlignment="1">
      <alignment horizontal="center" vertical="center"/>
    </xf>
    <xf numFmtId="0" fontId="3" fillId="6" borderId="0" xfId="0" applyFont="1" applyFill="1" applyBorder="1" applyAlignment="1">
      <alignment horizontal="center" vertical="center"/>
    </xf>
    <xf numFmtId="0" fontId="3" fillId="6" borderId="47" xfId="0" applyFont="1" applyFill="1" applyBorder="1" applyAlignment="1">
      <alignment horizontal="center" vertical="center"/>
    </xf>
    <xf numFmtId="0" fontId="5" fillId="9" borderId="61" xfId="0" applyFont="1" applyFill="1" applyBorder="1" applyAlignment="1">
      <alignment horizontal="left" vertical="top" wrapText="1"/>
    </xf>
    <xf numFmtId="165" fontId="3" fillId="2" borderId="38" xfId="0" applyNumberFormat="1" applyFont="1" applyFill="1" applyBorder="1" applyAlignment="1">
      <alignment horizontal="center" vertical="top"/>
    </xf>
    <xf numFmtId="165" fontId="20" fillId="8" borderId="60" xfId="0" applyNumberFormat="1" applyFont="1" applyFill="1" applyBorder="1" applyAlignment="1">
      <alignment horizontal="center" vertical="top"/>
    </xf>
    <xf numFmtId="0" fontId="3" fillId="6" borderId="44" xfId="0" applyFont="1" applyFill="1" applyBorder="1" applyAlignment="1">
      <alignment horizontal="center" vertical="top" wrapText="1"/>
    </xf>
    <xf numFmtId="3" fontId="3" fillId="6" borderId="76" xfId="0" applyNumberFormat="1" applyFont="1" applyFill="1" applyBorder="1" applyAlignment="1">
      <alignment horizontal="center" vertical="top"/>
    </xf>
    <xf numFmtId="0" fontId="9" fillId="6" borderId="16" xfId="0" applyFont="1" applyFill="1" applyBorder="1" applyAlignment="1">
      <alignment horizontal="center" vertical="top" wrapText="1"/>
    </xf>
    <xf numFmtId="3" fontId="3" fillId="6" borderId="24" xfId="0" applyNumberFormat="1" applyFont="1" applyFill="1" applyBorder="1" applyAlignment="1">
      <alignment horizontal="center" vertical="top"/>
    </xf>
    <xf numFmtId="3" fontId="3" fillId="6" borderId="25" xfId="0" applyNumberFormat="1" applyFont="1" applyFill="1" applyBorder="1" applyAlignment="1">
      <alignment horizontal="center" vertical="top"/>
    </xf>
    <xf numFmtId="165" fontId="20" fillId="8" borderId="33" xfId="0" applyNumberFormat="1" applyFont="1" applyFill="1" applyBorder="1" applyAlignment="1">
      <alignment horizontal="center" vertical="top"/>
    </xf>
    <xf numFmtId="165" fontId="20" fillId="8" borderId="24" xfId="0" applyNumberFormat="1" applyFont="1" applyFill="1" applyBorder="1" applyAlignment="1">
      <alignment horizontal="center" vertical="top"/>
    </xf>
    <xf numFmtId="0" fontId="3" fillId="6" borderId="30" xfId="0" applyFont="1" applyFill="1" applyBorder="1" applyAlignment="1">
      <alignment horizontal="center" vertical="center" textRotation="90" wrapText="1"/>
    </xf>
    <xf numFmtId="165" fontId="3" fillId="6" borderId="52" xfId="0" applyNumberFormat="1" applyFont="1" applyFill="1" applyBorder="1" applyAlignment="1">
      <alignment horizontal="center" vertical="top"/>
    </xf>
    <xf numFmtId="165" fontId="3" fillId="6" borderId="15" xfId="0" applyNumberFormat="1" applyFont="1" applyFill="1" applyBorder="1" applyAlignment="1">
      <alignment horizontal="center" vertical="top"/>
    </xf>
    <xf numFmtId="1" fontId="3" fillId="6" borderId="32" xfId="0" applyNumberFormat="1" applyFont="1" applyFill="1" applyBorder="1" applyAlignment="1">
      <alignment horizontal="center" vertical="top" wrapText="1"/>
    </xf>
    <xf numFmtId="0" fontId="9" fillId="6" borderId="20" xfId="0" applyFont="1" applyFill="1" applyBorder="1" applyAlignment="1">
      <alignment horizontal="center" vertical="top" wrapText="1"/>
    </xf>
    <xf numFmtId="49" fontId="3" fillId="6" borderId="92" xfId="0" applyNumberFormat="1" applyFont="1" applyFill="1" applyBorder="1" applyAlignment="1">
      <alignment horizontal="center" vertical="top" wrapText="1"/>
    </xf>
    <xf numFmtId="49" fontId="3" fillId="6" borderId="102" xfId="0" applyNumberFormat="1" applyFont="1" applyFill="1" applyBorder="1" applyAlignment="1">
      <alignment horizontal="center" vertical="top" wrapText="1"/>
    </xf>
    <xf numFmtId="49" fontId="3" fillId="6" borderId="73" xfId="0" applyNumberFormat="1" applyFont="1" applyFill="1" applyBorder="1" applyAlignment="1">
      <alignment horizontal="center" vertical="top" wrapText="1"/>
    </xf>
    <xf numFmtId="0" fontId="3" fillId="6" borderId="16" xfId="0" applyFont="1" applyFill="1" applyBorder="1" applyAlignment="1">
      <alignment horizontal="center" vertical="top" wrapText="1"/>
    </xf>
    <xf numFmtId="0" fontId="3" fillId="6" borderId="32" xfId="0" applyFont="1" applyFill="1" applyBorder="1" applyAlignment="1">
      <alignment horizontal="center" vertical="top" wrapText="1"/>
    </xf>
    <xf numFmtId="0" fontId="3" fillId="6" borderId="30" xfId="0" applyFont="1" applyFill="1" applyBorder="1" applyAlignment="1">
      <alignment horizontal="center" vertical="top" wrapText="1"/>
    </xf>
    <xf numFmtId="3" fontId="5" fillId="6" borderId="27" xfId="0" applyNumberFormat="1" applyFont="1" applyFill="1" applyBorder="1" applyAlignment="1">
      <alignment horizontal="center" vertical="top" wrapText="1"/>
    </xf>
    <xf numFmtId="3" fontId="5" fillId="6" borderId="18" xfId="0" applyNumberFormat="1" applyFont="1" applyFill="1" applyBorder="1" applyAlignment="1">
      <alignment horizontal="center" vertical="top" wrapText="1"/>
    </xf>
    <xf numFmtId="3" fontId="3" fillId="6" borderId="31" xfId="0" applyNumberFormat="1" applyFont="1" applyFill="1" applyBorder="1" applyAlignment="1">
      <alignment horizontal="center" vertical="top" wrapText="1"/>
    </xf>
    <xf numFmtId="3" fontId="3" fillId="6" borderId="1" xfId="0" applyNumberFormat="1" applyFont="1" applyFill="1" applyBorder="1" applyAlignment="1">
      <alignment horizontal="center" vertical="top" wrapText="1"/>
    </xf>
    <xf numFmtId="1" fontId="3" fillId="6" borderId="76" xfId="0" applyNumberFormat="1" applyFont="1" applyFill="1" applyBorder="1" applyAlignment="1">
      <alignment horizontal="center" vertical="top" wrapText="1"/>
    </xf>
    <xf numFmtId="1" fontId="3" fillId="6" borderId="92" xfId="0" applyNumberFormat="1" applyFont="1" applyFill="1" applyBorder="1" applyAlignment="1">
      <alignment horizontal="center" vertical="top" wrapText="1"/>
    </xf>
    <xf numFmtId="0" fontId="3" fillId="6" borderId="16" xfId="0" applyFont="1" applyFill="1" applyBorder="1" applyAlignment="1">
      <alignment vertical="top"/>
    </xf>
    <xf numFmtId="3" fontId="3" fillId="6" borderId="1" xfId="0" applyNumberFormat="1" applyFont="1" applyFill="1" applyBorder="1" applyAlignment="1">
      <alignment horizontal="center" vertical="top"/>
    </xf>
    <xf numFmtId="0" fontId="3" fillId="6" borderId="87" xfId="0" applyFont="1" applyFill="1" applyBorder="1" applyAlignment="1">
      <alignment horizontal="left" vertical="top" wrapText="1"/>
    </xf>
    <xf numFmtId="3" fontId="3" fillId="6" borderId="20" xfId="1" applyNumberFormat="1" applyFont="1" applyFill="1" applyBorder="1" applyAlignment="1">
      <alignment horizontal="center" vertical="top"/>
    </xf>
    <xf numFmtId="0" fontId="3" fillId="6" borderId="90" xfId="1" applyFont="1" applyFill="1" applyBorder="1" applyAlignment="1">
      <alignment vertical="top" wrapText="1"/>
    </xf>
    <xf numFmtId="3" fontId="3" fillId="6" borderId="92" xfId="1" applyNumberFormat="1" applyFont="1" applyFill="1" applyBorder="1" applyAlignment="1">
      <alignment horizontal="center" vertical="top"/>
    </xf>
    <xf numFmtId="0" fontId="3" fillId="6" borderId="74" xfId="0" applyFont="1" applyFill="1" applyBorder="1" applyAlignment="1">
      <alignment horizontal="center" vertical="top" wrapText="1"/>
    </xf>
    <xf numFmtId="0" fontId="3" fillId="6" borderId="76" xfId="0" applyNumberFormat="1" applyFont="1" applyFill="1" applyBorder="1" applyAlignment="1">
      <alignment horizontal="center" vertical="top" wrapText="1"/>
    </xf>
    <xf numFmtId="0" fontId="3" fillId="6" borderId="84" xfId="0" applyFont="1" applyFill="1" applyBorder="1" applyAlignment="1">
      <alignment vertical="top" wrapText="1"/>
    </xf>
    <xf numFmtId="0" fontId="3" fillId="0" borderId="43" xfId="0" applyFont="1" applyBorder="1" applyAlignment="1">
      <alignment vertical="top"/>
    </xf>
    <xf numFmtId="0" fontId="3" fillId="0" borderId="20" xfId="0" applyFont="1" applyBorder="1" applyAlignment="1">
      <alignment vertical="top"/>
    </xf>
    <xf numFmtId="0" fontId="3" fillId="0" borderId="1" xfId="0" applyFont="1" applyBorder="1" applyAlignment="1">
      <alignment vertical="top"/>
    </xf>
    <xf numFmtId="0" fontId="5" fillId="2" borderId="16" xfId="0" applyFont="1" applyFill="1" applyBorder="1" applyAlignment="1">
      <alignment horizontal="center" vertical="top" wrapText="1"/>
    </xf>
    <xf numFmtId="3" fontId="11" fillId="6" borderId="69" xfId="0" applyNumberFormat="1" applyFont="1" applyFill="1" applyBorder="1" applyAlignment="1">
      <alignment horizontal="center" vertical="top"/>
    </xf>
    <xf numFmtId="165" fontId="11" fillId="6" borderId="69" xfId="0" applyNumberFormat="1" applyFont="1" applyFill="1" applyBorder="1" applyAlignment="1">
      <alignment horizontal="center" vertical="top"/>
    </xf>
    <xf numFmtId="165" fontId="11" fillId="6" borderId="44" xfId="0" applyNumberFormat="1" applyFont="1" applyFill="1" applyBorder="1" applyAlignment="1">
      <alignment horizontal="center" vertical="top"/>
    </xf>
    <xf numFmtId="3" fontId="3" fillId="6" borderId="24" xfId="0" applyNumberFormat="1" applyFont="1" applyFill="1" applyBorder="1" applyAlignment="1">
      <alignment vertical="top" wrapText="1"/>
    </xf>
    <xf numFmtId="3" fontId="3" fillId="6" borderId="57" xfId="0" applyNumberFormat="1" applyFont="1" applyFill="1" applyBorder="1" applyAlignment="1">
      <alignment vertical="top" wrapText="1"/>
    </xf>
    <xf numFmtId="3" fontId="3" fillId="6" borderId="25" xfId="0" applyNumberFormat="1" applyFont="1" applyFill="1" applyBorder="1" applyAlignment="1">
      <alignment vertical="top" wrapText="1"/>
    </xf>
    <xf numFmtId="165" fontId="3" fillId="0" borderId="0" xfId="0" applyNumberFormat="1" applyFont="1" applyFill="1" applyAlignment="1">
      <alignment vertical="top"/>
    </xf>
    <xf numFmtId="3" fontId="3" fillId="6" borderId="31" xfId="0" applyNumberFormat="1" applyFont="1" applyFill="1" applyBorder="1" applyAlignment="1">
      <alignment horizontal="center" vertical="top"/>
    </xf>
    <xf numFmtId="49" fontId="5" fillId="6" borderId="45" xfId="0" applyNumberFormat="1" applyFont="1" applyFill="1" applyBorder="1" applyAlignment="1">
      <alignment horizontal="center" vertical="center"/>
    </xf>
    <xf numFmtId="0" fontId="5" fillId="6" borderId="13" xfId="0" applyFont="1" applyFill="1" applyBorder="1" applyAlignment="1">
      <alignment vertical="top" wrapText="1"/>
    </xf>
    <xf numFmtId="49" fontId="5" fillId="6" borderId="49" xfId="0" applyNumberFormat="1" applyFont="1" applyFill="1" applyBorder="1" applyAlignment="1">
      <alignment horizontal="center" vertical="top" wrapText="1"/>
    </xf>
    <xf numFmtId="0" fontId="7" fillId="6" borderId="16" xfId="0" applyFont="1" applyFill="1" applyBorder="1" applyAlignment="1">
      <alignment horizontal="center" vertical="top" wrapText="1"/>
    </xf>
    <xf numFmtId="49" fontId="5" fillId="6" borderId="32" xfId="0" applyNumberFormat="1" applyFont="1" applyFill="1" applyBorder="1" applyAlignment="1">
      <alignment vertical="top"/>
    </xf>
    <xf numFmtId="0" fontId="5" fillId="6" borderId="32" xfId="0" applyFont="1" applyFill="1" applyBorder="1" applyAlignment="1">
      <alignment horizontal="left" vertical="top" wrapText="1"/>
    </xf>
    <xf numFmtId="49" fontId="5" fillId="6" borderId="37" xfId="0" applyNumberFormat="1" applyFont="1" applyFill="1" applyBorder="1" applyAlignment="1">
      <alignment horizontal="center" vertical="top"/>
    </xf>
    <xf numFmtId="49" fontId="5" fillId="6" borderId="19" xfId="0" applyNumberFormat="1" applyFont="1" applyFill="1" applyBorder="1" applyAlignment="1">
      <alignment horizontal="center" vertical="top"/>
    </xf>
    <xf numFmtId="49" fontId="5" fillId="6" borderId="28" xfId="0" applyNumberFormat="1" applyFont="1" applyFill="1" applyBorder="1" applyAlignment="1">
      <alignment horizontal="center" vertical="top"/>
    </xf>
    <xf numFmtId="0" fontId="3" fillId="6" borderId="29" xfId="0" applyFont="1" applyFill="1" applyBorder="1" applyAlignment="1">
      <alignment vertical="top" wrapText="1"/>
    </xf>
    <xf numFmtId="0" fontId="3" fillId="6" borderId="11" xfId="0" applyFont="1" applyFill="1" applyBorder="1" applyAlignment="1">
      <alignment vertical="top" wrapText="1"/>
    </xf>
    <xf numFmtId="0" fontId="5" fillId="6" borderId="65" xfId="0" applyFont="1" applyFill="1" applyBorder="1" applyAlignment="1">
      <alignment horizontal="center" vertical="center" wrapText="1"/>
    </xf>
    <xf numFmtId="49" fontId="3" fillId="0" borderId="34" xfId="0" applyNumberFormat="1" applyFont="1" applyBorder="1" applyAlignment="1">
      <alignment horizontal="center" vertical="center" wrapText="1"/>
    </xf>
    <xf numFmtId="0" fontId="3" fillId="3" borderId="62" xfId="0" applyFont="1" applyFill="1" applyBorder="1" applyAlignment="1">
      <alignment horizontal="center" vertical="top" wrapText="1"/>
    </xf>
    <xf numFmtId="49" fontId="5" fillId="0" borderId="18" xfId="0" applyNumberFormat="1" applyFont="1" applyBorder="1" applyAlignment="1">
      <alignment horizontal="center" vertical="top"/>
    </xf>
    <xf numFmtId="0" fontId="5" fillId="3" borderId="62" xfId="0" applyFont="1" applyFill="1" applyBorder="1" applyAlignment="1">
      <alignment horizontal="left" vertical="top" wrapText="1"/>
    </xf>
    <xf numFmtId="49" fontId="5" fillId="3" borderId="26" xfId="0" applyNumberFormat="1" applyFont="1" applyFill="1" applyBorder="1" applyAlignment="1">
      <alignment horizontal="center" vertical="top" wrapText="1"/>
    </xf>
    <xf numFmtId="49" fontId="5" fillId="6" borderId="26" xfId="0" applyNumberFormat="1" applyFont="1" applyFill="1" applyBorder="1" applyAlignment="1">
      <alignment horizontal="center" vertical="top" wrapText="1"/>
    </xf>
    <xf numFmtId="3" fontId="3" fillId="0" borderId="26" xfId="0" applyNumberFormat="1" applyFont="1" applyFill="1" applyBorder="1" applyAlignment="1">
      <alignment horizontal="center" vertical="top"/>
    </xf>
    <xf numFmtId="49" fontId="5" fillId="0" borderId="0" xfId="0" applyNumberFormat="1" applyFont="1" applyFill="1" applyBorder="1" applyAlignment="1">
      <alignment horizontal="center" vertical="top" wrapText="1"/>
    </xf>
    <xf numFmtId="49" fontId="5" fillId="9" borderId="48" xfId="0" applyNumberFormat="1" applyFont="1" applyFill="1" applyBorder="1" applyAlignment="1">
      <alignment horizontal="center" vertical="top"/>
    </xf>
    <xf numFmtId="49" fontId="5" fillId="6" borderId="45" xfId="0" applyNumberFormat="1" applyFont="1" applyFill="1" applyBorder="1" applyAlignment="1">
      <alignment horizontal="center" vertical="top"/>
    </xf>
    <xf numFmtId="0" fontId="21" fillId="6" borderId="29" xfId="1" applyFont="1" applyFill="1" applyBorder="1" applyAlignment="1">
      <alignment vertical="top" wrapText="1"/>
    </xf>
    <xf numFmtId="0" fontId="21" fillId="6" borderId="33" xfId="0" applyFont="1" applyFill="1" applyBorder="1" applyAlignment="1">
      <alignment vertical="top" wrapText="1"/>
    </xf>
    <xf numFmtId="0" fontId="5" fillId="0" borderId="23" xfId="0" applyFont="1" applyBorder="1" applyAlignment="1">
      <alignment horizontal="center" vertical="center" wrapText="1"/>
    </xf>
    <xf numFmtId="49" fontId="3" fillId="6" borderId="93" xfId="0" applyNumberFormat="1" applyFont="1" applyFill="1" applyBorder="1" applyAlignment="1">
      <alignment horizontal="center" vertical="top" wrapText="1"/>
    </xf>
    <xf numFmtId="1" fontId="3" fillId="6" borderId="85" xfId="0" applyNumberFormat="1" applyFont="1" applyFill="1" applyBorder="1" applyAlignment="1">
      <alignment horizontal="center" vertical="top" wrapText="1"/>
    </xf>
    <xf numFmtId="165" fontId="3" fillId="0" borderId="0" xfId="0" applyNumberFormat="1" applyFont="1" applyBorder="1" applyAlignment="1">
      <alignment vertical="top"/>
    </xf>
    <xf numFmtId="165" fontId="3" fillId="6" borderId="26" xfId="0" applyNumberFormat="1" applyFont="1" applyFill="1" applyBorder="1" applyAlignment="1">
      <alignment horizontal="center" vertical="top" wrapText="1"/>
    </xf>
    <xf numFmtId="0" fontId="9" fillId="6" borderId="19" xfId="0" applyFont="1" applyFill="1" applyBorder="1" applyAlignment="1">
      <alignment vertical="top" wrapText="1"/>
    </xf>
    <xf numFmtId="165" fontId="3" fillId="6" borderId="32" xfId="0" applyNumberFormat="1" applyFont="1" applyFill="1" applyBorder="1" applyAlignment="1">
      <alignment horizontal="center" vertical="top" wrapText="1"/>
    </xf>
    <xf numFmtId="49" fontId="3" fillId="6" borderId="78" xfId="0" applyNumberFormat="1" applyFont="1" applyFill="1" applyBorder="1" applyAlignment="1">
      <alignment horizontal="center" vertical="top" wrapText="1"/>
    </xf>
    <xf numFmtId="49" fontId="3" fillId="6" borderId="79" xfId="0" applyNumberFormat="1" applyFont="1" applyFill="1" applyBorder="1" applyAlignment="1">
      <alignment horizontal="center" vertical="top" wrapText="1"/>
    </xf>
    <xf numFmtId="49" fontId="3" fillId="6" borderId="72" xfId="0" applyNumberFormat="1" applyFont="1" applyFill="1" applyBorder="1" applyAlignment="1">
      <alignment horizontal="center" vertical="top" wrapText="1"/>
    </xf>
    <xf numFmtId="0" fontId="2" fillId="6" borderId="16" xfId="0" applyFont="1" applyFill="1" applyBorder="1" applyAlignment="1">
      <alignment horizontal="center" vertical="center" textRotation="90"/>
    </xf>
    <xf numFmtId="0" fontId="2" fillId="6" borderId="26" xfId="0" applyFont="1" applyFill="1" applyBorder="1" applyAlignment="1">
      <alignment horizontal="center" vertical="center" textRotation="90"/>
    </xf>
    <xf numFmtId="0" fontId="3" fillId="6" borderId="8" xfId="0" applyFont="1" applyFill="1" applyBorder="1" applyAlignment="1">
      <alignment vertical="top" wrapText="1"/>
    </xf>
    <xf numFmtId="3" fontId="3" fillId="6" borderId="93" xfId="1" applyNumberFormat="1" applyFont="1" applyFill="1" applyBorder="1" applyAlignment="1">
      <alignment horizontal="center" vertical="top"/>
    </xf>
    <xf numFmtId="0" fontId="5" fillId="6" borderId="27"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45"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93" xfId="0" applyFont="1" applyFill="1" applyBorder="1" applyAlignment="1">
      <alignment horizontal="center" vertical="center"/>
    </xf>
    <xf numFmtId="165" fontId="5" fillId="3" borderId="5" xfId="0" applyNumberFormat="1" applyFont="1" applyFill="1" applyBorder="1" applyAlignment="1">
      <alignment horizontal="center" vertical="top"/>
    </xf>
    <xf numFmtId="0" fontId="3" fillId="6" borderId="69" xfId="0" applyFont="1" applyFill="1" applyBorder="1" applyAlignment="1">
      <alignment vertical="top" wrapText="1"/>
    </xf>
    <xf numFmtId="3" fontId="3" fillId="6" borderId="26" xfId="0" applyNumberFormat="1" applyFont="1" applyFill="1" applyBorder="1" applyAlignment="1">
      <alignment horizontal="center" vertical="top"/>
    </xf>
    <xf numFmtId="49" fontId="3" fillId="6" borderId="45" xfId="0" applyNumberFormat="1" applyFont="1" applyFill="1" applyBorder="1" applyAlignment="1">
      <alignment horizontal="center" vertical="top" wrapText="1"/>
    </xf>
    <xf numFmtId="3" fontId="3" fillId="6" borderId="27" xfId="0" applyNumberFormat="1" applyFont="1" applyFill="1" applyBorder="1" applyAlignment="1">
      <alignment horizontal="center" vertical="top"/>
    </xf>
    <xf numFmtId="49" fontId="3" fillId="6" borderId="48" xfId="0" applyNumberFormat="1" applyFont="1" applyFill="1" applyBorder="1" applyAlignment="1">
      <alignment horizontal="center" vertical="top" wrapText="1"/>
    </xf>
    <xf numFmtId="3" fontId="3" fillId="6" borderId="18" xfId="0" applyNumberFormat="1" applyFont="1" applyFill="1" applyBorder="1" applyAlignment="1">
      <alignment horizontal="center" vertical="top"/>
    </xf>
    <xf numFmtId="3" fontId="11" fillId="6" borderId="57" xfId="0" applyNumberFormat="1" applyFont="1" applyFill="1" applyBorder="1" applyAlignment="1">
      <alignment horizontal="center" vertical="top"/>
    </xf>
    <xf numFmtId="165" fontId="11" fillId="6" borderId="26" xfId="0" applyNumberFormat="1" applyFont="1" applyFill="1" applyBorder="1" applyAlignment="1">
      <alignment horizontal="center" vertical="top"/>
    </xf>
    <xf numFmtId="3" fontId="3" fillId="0" borderId="48" xfId="0" applyNumberFormat="1" applyFont="1" applyFill="1" applyBorder="1" applyAlignment="1">
      <alignment horizontal="center" vertical="top" wrapText="1"/>
    </xf>
    <xf numFmtId="165" fontId="3" fillId="6" borderId="38" xfId="0" applyNumberFormat="1" applyFont="1" applyFill="1" applyBorder="1" applyAlignment="1">
      <alignment horizontal="center" vertical="top"/>
    </xf>
    <xf numFmtId="165" fontId="3" fillId="6" borderId="9" xfId="0" applyNumberFormat="1" applyFont="1" applyFill="1" applyBorder="1" applyAlignment="1">
      <alignment horizontal="center" vertical="top"/>
    </xf>
    <xf numFmtId="0" fontId="5" fillId="6" borderId="37" xfId="0" applyFont="1" applyFill="1" applyBorder="1" applyAlignment="1">
      <alignment horizontal="center" vertical="center" wrapText="1"/>
    </xf>
    <xf numFmtId="165" fontId="3" fillId="6" borderId="0" xfId="0" applyNumberFormat="1" applyFont="1" applyFill="1" applyBorder="1" applyAlignment="1">
      <alignment horizontal="center" vertical="top" wrapText="1"/>
    </xf>
    <xf numFmtId="49" fontId="3" fillId="0" borderId="0" xfId="0" applyNumberFormat="1" applyFont="1" applyAlignment="1">
      <alignment vertical="top"/>
    </xf>
    <xf numFmtId="49" fontId="3" fillId="0" borderId="0" xfId="0" applyNumberFormat="1" applyFont="1" applyAlignment="1">
      <alignment horizontal="center" vertical="top"/>
    </xf>
    <xf numFmtId="3" fontId="3" fillId="0" borderId="0" xfId="0" applyNumberFormat="1" applyFont="1" applyAlignment="1">
      <alignment horizontal="center" vertical="center" wrapText="1"/>
    </xf>
    <xf numFmtId="165" fontId="3" fillId="0" borderId="0" xfId="0" applyNumberFormat="1" applyFont="1" applyAlignment="1">
      <alignment horizontal="center" vertical="top"/>
    </xf>
    <xf numFmtId="0" fontId="3" fillId="3" borderId="61" xfId="0" applyFont="1" applyFill="1" applyBorder="1" applyAlignment="1">
      <alignment horizontal="center" vertical="top" wrapText="1"/>
    </xf>
    <xf numFmtId="49" fontId="5" fillId="3" borderId="16" xfId="0" applyNumberFormat="1" applyFont="1" applyFill="1" applyBorder="1" applyAlignment="1">
      <alignment horizontal="center" vertical="top" wrapText="1"/>
    </xf>
    <xf numFmtId="49" fontId="5" fillId="3" borderId="24" xfId="0" applyNumberFormat="1" applyFont="1" applyFill="1" applyBorder="1" applyAlignment="1">
      <alignment horizontal="center" vertical="top"/>
    </xf>
    <xf numFmtId="0" fontId="5" fillId="3" borderId="61" xfId="0" applyFont="1" applyFill="1" applyBorder="1" applyAlignment="1">
      <alignment horizontal="left" vertical="top" wrapText="1"/>
    </xf>
    <xf numFmtId="0" fontId="3" fillId="2" borderId="10" xfId="0" applyFont="1" applyFill="1" applyBorder="1" applyAlignment="1">
      <alignment horizontal="left" vertical="top" wrapText="1"/>
    </xf>
    <xf numFmtId="3" fontId="3" fillId="0" borderId="16" xfId="0" applyNumberFormat="1" applyFont="1" applyFill="1" applyBorder="1" applyAlignment="1">
      <alignment horizontal="center" vertical="top" wrapText="1"/>
    </xf>
    <xf numFmtId="3" fontId="3" fillId="0" borderId="18" xfId="0" applyNumberFormat="1" applyFont="1" applyFill="1" applyBorder="1" applyAlignment="1">
      <alignment horizontal="center" vertical="top" wrapText="1"/>
    </xf>
    <xf numFmtId="4" fontId="3" fillId="2" borderId="16" xfId="0" applyNumberFormat="1" applyFont="1" applyFill="1" applyBorder="1" applyAlignment="1">
      <alignment horizontal="center" vertical="top"/>
    </xf>
    <xf numFmtId="0" fontId="5" fillId="2" borderId="27" xfId="0" applyFont="1" applyFill="1" applyBorder="1" applyAlignment="1">
      <alignment horizontal="center" vertical="top" wrapText="1"/>
    </xf>
    <xf numFmtId="0" fontId="5" fillId="2" borderId="18" xfId="0" applyFont="1" applyFill="1" applyBorder="1" applyAlignment="1">
      <alignment horizontal="center" vertical="top" wrapText="1"/>
    </xf>
    <xf numFmtId="49" fontId="5" fillId="10" borderId="10" xfId="0" applyNumberFormat="1" applyFont="1" applyFill="1" applyBorder="1" applyAlignment="1">
      <alignment horizontal="center" vertical="top" wrapText="1"/>
    </xf>
    <xf numFmtId="165" fontId="3" fillId="0" borderId="32" xfId="0" applyNumberFormat="1" applyFont="1" applyFill="1" applyBorder="1" applyAlignment="1">
      <alignment horizontal="center" vertical="top" wrapText="1"/>
    </xf>
    <xf numFmtId="0" fontId="3" fillId="0" borderId="0" xfId="0" applyFont="1" applyAlignment="1">
      <alignment horizontal="left" vertical="top" wrapText="1"/>
    </xf>
    <xf numFmtId="0" fontId="3" fillId="0" borderId="0" xfId="0" applyNumberFormat="1" applyFont="1" applyAlignment="1">
      <alignment vertical="top"/>
    </xf>
    <xf numFmtId="165" fontId="3" fillId="8" borderId="22" xfId="0" applyNumberFormat="1" applyFont="1" applyFill="1" applyBorder="1" applyAlignment="1">
      <alignment horizontal="center" vertical="top"/>
    </xf>
    <xf numFmtId="0" fontId="3" fillId="6" borderId="16" xfId="0" applyNumberFormat="1" applyFont="1" applyFill="1" applyBorder="1" applyAlignment="1">
      <alignment horizontal="center" vertical="top" wrapText="1"/>
    </xf>
    <xf numFmtId="0" fontId="9" fillId="6" borderId="37" xfId="0" applyFont="1" applyFill="1" applyBorder="1" applyAlignment="1">
      <alignment vertical="top" wrapText="1"/>
    </xf>
    <xf numFmtId="165" fontId="3" fillId="6" borderId="16" xfId="0" applyNumberFormat="1" applyFont="1" applyFill="1" applyBorder="1" applyAlignment="1">
      <alignment vertical="top"/>
    </xf>
    <xf numFmtId="165" fontId="3" fillId="6" borderId="0" xfId="0" applyNumberFormat="1" applyFont="1" applyFill="1" applyBorder="1" applyAlignment="1">
      <alignment vertical="top"/>
    </xf>
    <xf numFmtId="0" fontId="5" fillId="2" borderId="26" xfId="0" applyFont="1" applyFill="1" applyBorder="1" applyAlignment="1">
      <alignment horizontal="center" vertical="top" wrapText="1"/>
    </xf>
    <xf numFmtId="165" fontId="3" fillId="6" borderId="26" xfId="0" applyNumberFormat="1" applyFont="1" applyFill="1" applyBorder="1" applyAlignment="1">
      <alignment vertical="top"/>
    </xf>
    <xf numFmtId="165" fontId="3" fillId="6" borderId="45" xfId="0" applyNumberFormat="1" applyFont="1" applyFill="1" applyBorder="1" applyAlignment="1">
      <alignment vertical="top"/>
    </xf>
    <xf numFmtId="165" fontId="3" fillId="6" borderId="27" xfId="0" applyNumberFormat="1" applyFont="1" applyFill="1" applyBorder="1" applyAlignment="1">
      <alignment vertical="top"/>
    </xf>
    <xf numFmtId="165" fontId="3" fillId="6" borderId="18" xfId="0" applyNumberFormat="1" applyFont="1" applyFill="1" applyBorder="1" applyAlignment="1">
      <alignment vertical="top"/>
    </xf>
    <xf numFmtId="0" fontId="5" fillId="2" borderId="32" xfId="0" applyFont="1" applyFill="1" applyBorder="1" applyAlignment="1">
      <alignment horizontal="center" vertical="top" wrapText="1"/>
    </xf>
    <xf numFmtId="0" fontId="3" fillId="6" borderId="76" xfId="0" applyFont="1" applyFill="1" applyBorder="1" applyAlignment="1">
      <alignment vertical="top" wrapText="1"/>
    </xf>
    <xf numFmtId="0" fontId="3" fillId="6" borderId="2" xfId="0" applyFont="1" applyFill="1" applyBorder="1" applyAlignment="1">
      <alignment vertical="top" wrapText="1"/>
    </xf>
    <xf numFmtId="0" fontId="3" fillId="6" borderId="77" xfId="0" applyNumberFormat="1" applyFont="1" applyFill="1" applyBorder="1" applyAlignment="1">
      <alignment horizontal="center" vertical="top" wrapText="1"/>
    </xf>
    <xf numFmtId="165" fontId="3" fillId="6" borderId="55" xfId="0" applyNumberFormat="1" applyFont="1" applyFill="1" applyBorder="1" applyAlignment="1">
      <alignment horizontal="center" vertical="top" wrapText="1"/>
    </xf>
    <xf numFmtId="0" fontId="3" fillId="6" borderId="22" xfId="0" applyFont="1" applyFill="1" applyBorder="1" applyAlignment="1">
      <alignment horizontal="center" vertical="top" wrapText="1"/>
    </xf>
    <xf numFmtId="165" fontId="3" fillId="6" borderId="16" xfId="0" applyNumberFormat="1" applyFont="1" applyFill="1" applyBorder="1" applyAlignment="1">
      <alignment horizontal="center" vertical="top" wrapText="1"/>
    </xf>
    <xf numFmtId="165" fontId="3" fillId="6" borderId="16" xfId="0" applyNumberFormat="1" applyFont="1" applyFill="1" applyBorder="1" applyAlignment="1">
      <alignment horizontal="center" vertical="top"/>
    </xf>
    <xf numFmtId="165" fontId="3" fillId="6" borderId="32" xfId="0" applyNumberFormat="1" applyFont="1" applyFill="1" applyBorder="1" applyAlignment="1">
      <alignment horizontal="center" vertical="top"/>
    </xf>
    <xf numFmtId="165" fontId="3" fillId="6" borderId="31" xfId="0" applyNumberFormat="1" applyFont="1" applyFill="1" applyBorder="1" applyAlignment="1">
      <alignment horizontal="center" vertical="top"/>
    </xf>
    <xf numFmtId="3" fontId="3" fillId="0" borderId="0" xfId="0" applyNumberFormat="1" applyFont="1" applyFill="1" applyBorder="1" applyAlignment="1">
      <alignment horizontal="left" vertical="top" wrapText="1"/>
    </xf>
    <xf numFmtId="0" fontId="3" fillId="6" borderId="29" xfId="1" applyFont="1" applyFill="1" applyBorder="1" applyAlignment="1">
      <alignment vertical="top" wrapText="1"/>
    </xf>
    <xf numFmtId="165" fontId="3" fillId="2" borderId="109" xfId="0" applyNumberFormat="1" applyFont="1" applyFill="1" applyBorder="1" applyAlignment="1">
      <alignment horizontal="center" vertical="top"/>
    </xf>
    <xf numFmtId="0" fontId="3" fillId="6" borderId="104" xfId="0" applyNumberFormat="1" applyFont="1" applyFill="1" applyBorder="1" applyAlignment="1">
      <alignment horizontal="center" vertical="top" wrapText="1"/>
    </xf>
    <xf numFmtId="0" fontId="3" fillId="6" borderId="0" xfId="0" applyNumberFormat="1" applyFont="1" applyFill="1" applyBorder="1" applyAlignment="1">
      <alignment horizontal="center" vertical="top" wrapText="1"/>
    </xf>
    <xf numFmtId="4" fontId="3" fillId="2" borderId="1" xfId="0" applyNumberFormat="1" applyFont="1" applyFill="1" applyBorder="1" applyAlignment="1">
      <alignment horizontal="center" vertical="top"/>
    </xf>
    <xf numFmtId="0" fontId="3" fillId="6" borderId="31" xfId="0" applyNumberFormat="1" applyFont="1" applyFill="1" applyBorder="1" applyAlignment="1">
      <alignment horizontal="center" vertical="top"/>
    </xf>
    <xf numFmtId="0" fontId="0" fillId="0" borderId="0" xfId="0" applyAlignment="1">
      <alignment horizontal="left" vertical="top" wrapText="1"/>
    </xf>
    <xf numFmtId="3" fontId="3" fillId="0" borderId="0" xfId="0" applyNumberFormat="1" applyFont="1" applyFill="1" applyBorder="1" applyAlignment="1">
      <alignment horizontal="center" vertical="top" wrapText="1"/>
    </xf>
    <xf numFmtId="0" fontId="21" fillId="6" borderId="29" xfId="0" applyFont="1" applyFill="1" applyBorder="1" applyAlignment="1">
      <alignment vertical="top"/>
    </xf>
    <xf numFmtId="49" fontId="5" fillId="6" borderId="25" xfId="0" applyNumberFormat="1" applyFont="1" applyFill="1" applyBorder="1" applyAlignment="1">
      <alignment horizontal="center" vertical="top" wrapText="1"/>
    </xf>
    <xf numFmtId="0" fontId="21" fillId="2" borderId="10" xfId="0" applyFont="1" applyFill="1" applyBorder="1" applyAlignment="1">
      <alignment horizontal="left" vertical="top" wrapText="1"/>
    </xf>
    <xf numFmtId="1" fontId="3" fillId="6" borderId="30" xfId="0" applyNumberFormat="1" applyFont="1" applyFill="1" applyBorder="1" applyAlignment="1">
      <alignment horizontal="center" vertical="top" wrapText="1"/>
    </xf>
    <xf numFmtId="49" fontId="3" fillId="6" borderId="96" xfId="0" applyNumberFormat="1" applyFont="1" applyFill="1" applyBorder="1" applyAlignment="1">
      <alignment horizontal="center" vertical="top" wrapText="1"/>
    </xf>
    <xf numFmtId="49" fontId="3" fillId="6" borderId="30" xfId="0" applyNumberFormat="1" applyFont="1" applyFill="1" applyBorder="1" applyAlignment="1">
      <alignment horizontal="center" vertical="top" wrapText="1"/>
    </xf>
    <xf numFmtId="3" fontId="3" fillId="6" borderId="76" xfId="1" applyNumberFormat="1" applyFont="1" applyFill="1" applyBorder="1" applyAlignment="1">
      <alignment horizontal="center" vertical="top"/>
    </xf>
    <xf numFmtId="3" fontId="5" fillId="6" borderId="48" xfId="0" applyNumberFormat="1" applyFont="1" applyFill="1" applyBorder="1" applyAlignment="1">
      <alignment horizontal="center" vertical="top" wrapText="1"/>
    </xf>
    <xf numFmtId="0" fontId="3" fillId="6" borderId="104" xfId="0" applyFont="1" applyFill="1" applyBorder="1" applyAlignment="1">
      <alignment horizontal="center" vertical="center"/>
    </xf>
    <xf numFmtId="0" fontId="3" fillId="6" borderId="102" xfId="0" applyFont="1" applyFill="1" applyBorder="1" applyAlignment="1">
      <alignment horizontal="center" vertical="center"/>
    </xf>
    <xf numFmtId="0" fontId="3" fillId="6" borderId="82" xfId="0" applyFont="1" applyFill="1" applyBorder="1" applyAlignment="1">
      <alignment horizontal="center" vertical="center"/>
    </xf>
    <xf numFmtId="0" fontId="3" fillId="6" borderId="10" xfId="0" applyFont="1" applyFill="1" applyBorder="1" applyAlignment="1">
      <alignment vertical="top"/>
    </xf>
    <xf numFmtId="0" fontId="3" fillId="6" borderId="92" xfId="0" applyFont="1" applyFill="1" applyBorder="1" applyAlignment="1">
      <alignment vertical="top" wrapText="1"/>
    </xf>
    <xf numFmtId="0" fontId="3" fillId="6" borderId="18" xfId="0" applyFont="1" applyFill="1" applyBorder="1" applyAlignment="1">
      <alignment vertical="top"/>
    </xf>
    <xf numFmtId="0" fontId="3" fillId="6" borderId="47" xfId="0" applyFont="1" applyFill="1" applyBorder="1" applyAlignment="1">
      <alignment vertical="center" wrapText="1"/>
    </xf>
    <xf numFmtId="165" fontId="5" fillId="0" borderId="0" xfId="0" applyNumberFormat="1" applyFont="1" applyAlignment="1">
      <alignment horizontal="left" vertical="top"/>
    </xf>
    <xf numFmtId="165" fontId="5" fillId="10" borderId="23" xfId="0" applyNumberFormat="1" applyFont="1" applyFill="1" applyBorder="1" applyAlignment="1">
      <alignment horizontal="center" vertical="top"/>
    </xf>
    <xf numFmtId="165" fontId="5" fillId="4" borderId="23" xfId="0" applyNumberFormat="1" applyFont="1" applyFill="1" applyBorder="1" applyAlignment="1">
      <alignment horizontal="center" vertical="top"/>
    </xf>
    <xf numFmtId="165" fontId="0" fillId="0" borderId="0" xfId="0" applyNumberFormat="1" applyAlignment="1">
      <alignment horizontal="left" vertical="top" wrapText="1"/>
    </xf>
    <xf numFmtId="49" fontId="5" fillId="8" borderId="57" xfId="0" applyNumberFormat="1" applyFont="1" applyFill="1" applyBorder="1" applyAlignment="1">
      <alignment horizontal="center" vertical="top" wrapText="1"/>
    </xf>
    <xf numFmtId="0" fontId="3" fillId="8" borderId="38" xfId="0" applyFont="1" applyFill="1" applyBorder="1" applyAlignment="1">
      <alignment horizontal="left" vertical="top" wrapText="1"/>
    </xf>
    <xf numFmtId="49" fontId="3" fillId="8" borderId="28" xfId="0" applyNumberFormat="1" applyFont="1" applyFill="1" applyBorder="1" applyAlignment="1">
      <alignment horizontal="center" vertical="top" wrapText="1"/>
    </xf>
    <xf numFmtId="49" fontId="5" fillId="8" borderId="110" xfId="0" applyNumberFormat="1" applyFont="1" applyFill="1" applyBorder="1" applyAlignment="1">
      <alignment horizontal="center" vertical="top" wrapText="1"/>
    </xf>
    <xf numFmtId="0" fontId="3" fillId="8" borderId="110" xfId="0" applyFont="1" applyFill="1" applyBorder="1" applyAlignment="1">
      <alignment vertical="top" wrapText="1"/>
    </xf>
    <xf numFmtId="0" fontId="5" fillId="8" borderId="110" xfId="0" applyFont="1" applyFill="1" applyBorder="1" applyAlignment="1">
      <alignment horizontal="center" vertical="top" wrapText="1"/>
    </xf>
    <xf numFmtId="49" fontId="5" fillId="8" borderId="110" xfId="0" applyNumberFormat="1" applyFont="1" applyFill="1" applyBorder="1" applyAlignment="1">
      <alignment horizontal="center" vertical="top"/>
    </xf>
    <xf numFmtId="49" fontId="5" fillId="8" borderId="48" xfId="0" applyNumberFormat="1" applyFont="1" applyFill="1" applyBorder="1" applyAlignment="1">
      <alignment horizontal="center" vertical="top"/>
    </xf>
    <xf numFmtId="49" fontId="5" fillId="8" borderId="0" xfId="0" applyNumberFormat="1" applyFont="1" applyFill="1" applyBorder="1" applyAlignment="1">
      <alignment horizontal="center" vertical="top"/>
    </xf>
    <xf numFmtId="3" fontId="3" fillId="8" borderId="110" xfId="0" applyNumberFormat="1" applyFont="1" applyFill="1" applyBorder="1" applyAlignment="1">
      <alignment horizontal="center" vertical="top"/>
    </xf>
    <xf numFmtId="49" fontId="5" fillId="8" borderId="26" xfId="0" applyNumberFormat="1" applyFont="1" applyFill="1" applyBorder="1" applyAlignment="1">
      <alignment horizontal="center" vertical="top" wrapText="1"/>
    </xf>
    <xf numFmtId="0" fontId="5" fillId="8" borderId="28" xfId="0" applyFont="1" applyFill="1" applyBorder="1" applyAlignment="1">
      <alignment horizontal="center" vertical="top" wrapText="1"/>
    </xf>
    <xf numFmtId="49" fontId="5" fillId="8" borderId="28" xfId="0" applyNumberFormat="1" applyFont="1" applyFill="1" applyBorder="1" applyAlignment="1">
      <alignment horizontal="center" vertical="top"/>
    </xf>
    <xf numFmtId="0" fontId="3" fillId="8" borderId="28" xfId="0" applyFont="1" applyFill="1" applyBorder="1" applyAlignment="1">
      <alignment vertical="top" wrapText="1"/>
    </xf>
    <xf numFmtId="0" fontId="7" fillId="6" borderId="32" xfId="0" applyFont="1" applyFill="1" applyBorder="1" applyAlignment="1">
      <alignment vertical="top" wrapText="1"/>
    </xf>
    <xf numFmtId="49" fontId="5" fillId="8" borderId="45" xfId="0" applyNumberFormat="1" applyFont="1" applyFill="1" applyBorder="1" applyAlignment="1">
      <alignment horizontal="center" vertical="top"/>
    </xf>
    <xf numFmtId="3" fontId="3" fillId="8" borderId="28" xfId="0" applyNumberFormat="1" applyFont="1" applyFill="1" applyBorder="1" applyAlignment="1">
      <alignment horizontal="center" vertical="top"/>
    </xf>
    <xf numFmtId="0" fontId="3" fillId="0" borderId="68" xfId="0" applyFont="1" applyFill="1" applyBorder="1" applyAlignment="1">
      <alignment vertical="top" wrapText="1"/>
    </xf>
    <xf numFmtId="3" fontId="3" fillId="6" borderId="2" xfId="0" applyNumberFormat="1" applyFont="1" applyFill="1" applyBorder="1" applyAlignment="1">
      <alignment horizontal="center" vertical="top" wrapText="1"/>
    </xf>
    <xf numFmtId="3" fontId="3" fillId="6" borderId="35" xfId="0" applyNumberFormat="1" applyFont="1" applyFill="1" applyBorder="1" applyAlignment="1">
      <alignment horizontal="center" vertical="top" wrapText="1"/>
    </xf>
    <xf numFmtId="3" fontId="3" fillId="6" borderId="17" xfId="0" applyNumberFormat="1" applyFont="1" applyFill="1" applyBorder="1" applyAlignment="1">
      <alignment horizontal="center" vertical="top" wrapText="1"/>
    </xf>
    <xf numFmtId="0" fontId="3" fillId="6" borderId="108" xfId="0" applyFont="1" applyFill="1" applyBorder="1" applyAlignment="1">
      <alignment horizontal="center" vertical="center"/>
    </xf>
    <xf numFmtId="3" fontId="3" fillId="6" borderId="85" xfId="0" applyNumberFormat="1" applyFont="1" applyFill="1" applyBorder="1" applyAlignment="1">
      <alignment horizontal="center" vertical="top"/>
    </xf>
    <xf numFmtId="0" fontId="26" fillId="0" borderId="89" xfId="0" applyFont="1" applyFill="1" applyBorder="1" applyAlignment="1">
      <alignment horizontal="left" vertical="top" wrapText="1"/>
    </xf>
    <xf numFmtId="3" fontId="3" fillId="0" borderId="93" xfId="0" applyNumberFormat="1" applyFont="1" applyFill="1" applyBorder="1" applyAlignment="1">
      <alignment horizontal="center" vertical="top" wrapText="1"/>
    </xf>
    <xf numFmtId="3" fontId="3" fillId="0" borderId="105" xfId="0" applyNumberFormat="1" applyFont="1" applyFill="1" applyBorder="1" applyAlignment="1">
      <alignment horizontal="center" vertical="top" wrapText="1"/>
    </xf>
    <xf numFmtId="3" fontId="3" fillId="0" borderId="92" xfId="0" applyNumberFormat="1" applyFont="1" applyFill="1" applyBorder="1" applyAlignment="1">
      <alignment horizontal="center" vertical="top" wrapText="1"/>
    </xf>
    <xf numFmtId="3" fontId="3" fillId="0" borderId="102" xfId="0" applyNumberFormat="1" applyFont="1" applyFill="1" applyBorder="1" applyAlignment="1">
      <alignment horizontal="center" vertical="top" wrapText="1"/>
    </xf>
    <xf numFmtId="3" fontId="3" fillId="0" borderId="73" xfId="0" applyNumberFormat="1" applyFont="1" applyFill="1" applyBorder="1" applyAlignment="1">
      <alignment horizontal="center" vertical="top" wrapText="1"/>
    </xf>
    <xf numFmtId="165" fontId="3" fillId="6" borderId="107" xfId="0" applyNumberFormat="1" applyFont="1" applyFill="1" applyBorder="1" applyAlignment="1">
      <alignment horizontal="center" vertical="top"/>
    </xf>
    <xf numFmtId="0" fontId="26" fillId="0" borderId="89" xfId="0" applyFont="1" applyFill="1" applyBorder="1" applyAlignment="1">
      <alignment vertical="top" wrapText="1"/>
    </xf>
    <xf numFmtId="49" fontId="3" fillId="6" borderId="105" xfId="0" applyNumberFormat="1" applyFont="1" applyFill="1" applyBorder="1" applyAlignment="1">
      <alignment horizontal="center" vertical="top" wrapText="1"/>
    </xf>
    <xf numFmtId="49" fontId="3" fillId="6" borderId="94"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wrapText="1"/>
    </xf>
    <xf numFmtId="49" fontId="3" fillId="6" borderId="18" xfId="0" applyNumberFormat="1" applyFont="1" applyFill="1" applyBorder="1" applyAlignment="1">
      <alignment horizontal="center" vertical="top" wrapText="1"/>
    </xf>
    <xf numFmtId="0" fontId="26" fillId="6" borderId="89" xfId="0" applyFont="1" applyFill="1" applyBorder="1" applyAlignment="1">
      <alignment vertical="top" wrapText="1"/>
    </xf>
    <xf numFmtId="1" fontId="3" fillId="6" borderId="0" xfId="0" applyNumberFormat="1" applyFont="1" applyFill="1" applyBorder="1" applyAlignment="1">
      <alignment horizontal="center" vertical="top" wrapText="1"/>
    </xf>
    <xf numFmtId="1" fontId="3" fillId="6" borderId="18" xfId="0" applyNumberFormat="1" applyFont="1" applyFill="1" applyBorder="1" applyAlignment="1">
      <alignment horizontal="center" vertical="top" wrapText="1"/>
    </xf>
    <xf numFmtId="0" fontId="3" fillId="6" borderId="55" xfId="0" applyFont="1" applyFill="1" applyBorder="1" applyAlignment="1">
      <alignment vertical="top" wrapText="1"/>
    </xf>
    <xf numFmtId="0" fontId="21" fillId="6" borderId="29" xfId="0" applyFont="1" applyFill="1" applyBorder="1" applyAlignment="1">
      <alignment horizontal="left" vertical="top" wrapText="1"/>
    </xf>
    <xf numFmtId="0" fontId="3" fillId="6" borderId="38" xfId="0" applyFont="1" applyFill="1" applyBorder="1" applyAlignment="1">
      <alignment vertical="top" wrapText="1"/>
    </xf>
    <xf numFmtId="49" fontId="3" fillId="6" borderId="77" xfId="0" applyNumberFormat="1" applyFont="1" applyFill="1" applyBorder="1" applyAlignment="1">
      <alignment horizontal="center" vertical="top" wrapText="1"/>
    </xf>
    <xf numFmtId="49" fontId="3" fillId="6" borderId="82" xfId="0" applyNumberFormat="1" applyFont="1" applyFill="1" applyBorder="1" applyAlignment="1">
      <alignment horizontal="center" vertical="top" wrapText="1"/>
    </xf>
    <xf numFmtId="165" fontId="3" fillId="0" borderId="76" xfId="0" applyNumberFormat="1" applyFont="1" applyFill="1" applyBorder="1" applyAlignment="1">
      <alignment horizontal="center" vertical="top"/>
    </xf>
    <xf numFmtId="165" fontId="3" fillId="0" borderId="38" xfId="0" applyNumberFormat="1" applyFont="1" applyFill="1" applyBorder="1" applyAlignment="1">
      <alignment horizontal="center" vertical="top"/>
    </xf>
    <xf numFmtId="165" fontId="3" fillId="0" borderId="0" xfId="0" applyNumberFormat="1" applyFont="1" applyFill="1" applyBorder="1" applyAlignment="1">
      <alignment horizontal="center" vertical="top"/>
    </xf>
    <xf numFmtId="3" fontId="3" fillId="6" borderId="2" xfId="1" applyNumberFormat="1" applyFont="1" applyFill="1" applyBorder="1" applyAlignment="1">
      <alignment horizontal="center" vertical="top"/>
    </xf>
    <xf numFmtId="49" fontId="5" fillId="6" borderId="1" xfId="0" applyNumberFormat="1" applyFont="1" applyFill="1" applyBorder="1" applyAlignment="1">
      <alignment horizontal="center" vertical="top"/>
    </xf>
    <xf numFmtId="3" fontId="3" fillId="6" borderId="78" xfId="1" applyNumberFormat="1" applyFont="1" applyFill="1" applyBorder="1" applyAlignment="1">
      <alignment horizontal="center" vertical="top"/>
    </xf>
    <xf numFmtId="49" fontId="15" fillId="10" borderId="33" xfId="0" applyNumberFormat="1" applyFont="1" applyFill="1" applyBorder="1" applyAlignment="1">
      <alignment horizontal="center" vertical="top"/>
    </xf>
    <xf numFmtId="49" fontId="15" fillId="9" borderId="24" xfId="0" applyNumberFormat="1" applyFont="1" applyFill="1" applyBorder="1" applyAlignment="1">
      <alignment horizontal="center" vertical="top"/>
    </xf>
    <xf numFmtId="3" fontId="11" fillId="6" borderId="57" xfId="0" applyNumberFormat="1" applyFont="1" applyFill="1" applyBorder="1" applyAlignment="1">
      <alignment horizontal="left" vertical="top" wrapText="1"/>
    </xf>
    <xf numFmtId="3" fontId="3" fillId="6" borderId="24" xfId="0" applyNumberFormat="1" applyFont="1" applyFill="1" applyBorder="1" applyAlignment="1">
      <alignment horizontal="left" vertical="top" wrapText="1"/>
    </xf>
    <xf numFmtId="3" fontId="5" fillId="6" borderId="28" xfId="0" applyNumberFormat="1" applyFont="1" applyFill="1" applyBorder="1" applyAlignment="1">
      <alignment horizontal="center" vertical="top" wrapText="1"/>
    </xf>
    <xf numFmtId="49" fontId="15" fillId="6" borderId="28" xfId="0" applyNumberFormat="1" applyFont="1" applyFill="1" applyBorder="1" applyAlignment="1">
      <alignment horizontal="center" vertical="top"/>
    </xf>
    <xf numFmtId="165" fontId="3" fillId="6" borderId="20" xfId="1" applyNumberFormat="1" applyFont="1" applyFill="1" applyBorder="1" applyAlignment="1">
      <alignment horizontal="center" vertical="top" wrapText="1"/>
    </xf>
    <xf numFmtId="1" fontId="3" fillId="6" borderId="16" xfId="1" applyNumberFormat="1" applyFont="1" applyFill="1" applyBorder="1" applyAlignment="1">
      <alignment horizontal="center" vertical="top" wrapText="1"/>
    </xf>
    <xf numFmtId="3" fontId="3" fillId="6" borderId="16" xfId="1" applyNumberFormat="1" applyFont="1" applyFill="1" applyBorder="1" applyAlignment="1">
      <alignment horizontal="center" vertical="top" wrapText="1"/>
    </xf>
    <xf numFmtId="165" fontId="3" fillId="6" borderId="38" xfId="1" applyNumberFormat="1" applyFont="1" applyFill="1" applyBorder="1" applyAlignment="1">
      <alignment horizontal="center" vertical="center"/>
    </xf>
    <xf numFmtId="165" fontId="3" fillId="6" borderId="16" xfId="1" applyNumberFormat="1" applyFont="1" applyFill="1" applyBorder="1" applyAlignment="1">
      <alignment horizontal="center" vertical="center"/>
    </xf>
    <xf numFmtId="165" fontId="3" fillId="6" borderId="0" xfId="1" applyNumberFormat="1" applyFont="1" applyFill="1" applyBorder="1" applyAlignment="1">
      <alignment horizontal="center" vertical="center"/>
    </xf>
    <xf numFmtId="0" fontId="3" fillId="6" borderId="43" xfId="1" applyFont="1" applyFill="1" applyBorder="1" applyAlignment="1">
      <alignment horizontal="left" vertical="top" wrapText="1"/>
    </xf>
    <xf numFmtId="165" fontId="3" fillId="6" borderId="0" xfId="1" applyNumberFormat="1" applyFont="1" applyFill="1" applyBorder="1" applyAlignment="1">
      <alignment horizontal="center" vertical="top"/>
    </xf>
    <xf numFmtId="0" fontId="3" fillId="6" borderId="10" xfId="1" applyFont="1" applyFill="1" applyBorder="1" applyAlignment="1">
      <alignment horizontal="left" vertical="top" wrapText="1"/>
    </xf>
    <xf numFmtId="3" fontId="3" fillId="6" borderId="92" xfId="1" applyNumberFormat="1" applyFont="1" applyFill="1" applyBorder="1" applyAlignment="1">
      <alignment horizontal="center" vertical="top" wrapText="1"/>
    </xf>
    <xf numFmtId="165" fontId="3" fillId="6" borderId="46" xfId="0" applyNumberFormat="1" applyFont="1" applyFill="1" applyBorder="1" applyAlignment="1">
      <alignment horizontal="center" vertical="top" wrapText="1"/>
    </xf>
    <xf numFmtId="165" fontId="3" fillId="6" borderId="1" xfId="0" applyNumberFormat="1" applyFont="1" applyFill="1" applyBorder="1" applyAlignment="1">
      <alignment horizontal="center" vertical="top" wrapText="1"/>
    </xf>
    <xf numFmtId="165" fontId="3" fillId="6" borderId="96" xfId="0" applyNumberFormat="1" applyFont="1" applyFill="1" applyBorder="1" applyAlignment="1">
      <alignment horizontal="center" vertical="top" wrapText="1"/>
    </xf>
    <xf numFmtId="165" fontId="3" fillId="6" borderId="73" xfId="0" applyNumberFormat="1" applyFont="1" applyFill="1" applyBorder="1" applyAlignment="1">
      <alignment horizontal="center" vertical="top" wrapText="1"/>
    </xf>
    <xf numFmtId="0" fontId="21" fillId="6" borderId="29" xfId="0" applyFont="1" applyFill="1" applyBorder="1" applyAlignment="1">
      <alignment vertical="top" wrapText="1"/>
    </xf>
    <xf numFmtId="49" fontId="5" fillId="8" borderId="48" xfId="0" applyNumberFormat="1" applyFont="1" applyFill="1" applyBorder="1" applyAlignment="1">
      <alignment horizontal="center" vertical="top" wrapText="1"/>
    </xf>
    <xf numFmtId="0" fontId="3" fillId="0" borderId="48" xfId="0" applyFont="1" applyFill="1" applyBorder="1" applyAlignment="1">
      <alignment horizontal="center" vertical="top"/>
    </xf>
    <xf numFmtId="0" fontId="3" fillId="0" borderId="1" xfId="0" applyFont="1" applyFill="1" applyBorder="1" applyAlignment="1">
      <alignment horizontal="center" vertical="top"/>
    </xf>
    <xf numFmtId="0" fontId="3" fillId="0" borderId="96" xfId="0" applyFont="1" applyFill="1" applyBorder="1" applyAlignment="1">
      <alignment horizontal="center" vertical="center"/>
    </xf>
    <xf numFmtId="0" fontId="3" fillId="0" borderId="73" xfId="0" applyFont="1" applyFill="1" applyBorder="1" applyAlignment="1">
      <alignment horizontal="center" vertical="center"/>
    </xf>
    <xf numFmtId="0" fontId="3" fillId="6" borderId="87" xfId="0" applyFont="1" applyFill="1" applyBorder="1" applyAlignment="1">
      <alignment vertical="top" wrapText="1"/>
    </xf>
    <xf numFmtId="3" fontId="3" fillId="0" borderId="76" xfId="0" applyNumberFormat="1" applyFont="1" applyFill="1" applyBorder="1" applyAlignment="1">
      <alignment horizontal="center" vertical="top"/>
    </xf>
    <xf numFmtId="1" fontId="3" fillId="6" borderId="20" xfId="0" applyNumberFormat="1" applyFont="1" applyFill="1" applyBorder="1" applyAlignment="1">
      <alignment horizontal="center" vertical="top" wrapText="1"/>
    </xf>
    <xf numFmtId="165" fontId="3" fillId="0" borderId="10" xfId="0" applyNumberFormat="1" applyFont="1" applyFill="1" applyBorder="1" applyAlignment="1">
      <alignment horizontal="center" vertical="top"/>
    </xf>
    <xf numFmtId="0" fontId="3" fillId="6" borderId="49" xfId="1" applyFont="1" applyFill="1" applyBorder="1" applyAlignment="1">
      <alignment vertical="top" wrapText="1"/>
    </xf>
    <xf numFmtId="3" fontId="3" fillId="6" borderId="104" xfId="0" applyNumberFormat="1" applyFont="1" applyFill="1" applyBorder="1" applyAlignment="1">
      <alignment horizontal="center" vertical="top"/>
    </xf>
    <xf numFmtId="3" fontId="3" fillId="6" borderId="82" xfId="0" applyNumberFormat="1" applyFont="1" applyFill="1" applyBorder="1" applyAlignment="1">
      <alignment horizontal="center" vertical="top"/>
    </xf>
    <xf numFmtId="0" fontId="3" fillId="6" borderId="95" xfId="0" applyFont="1" applyFill="1" applyBorder="1" applyAlignment="1">
      <alignment horizontal="center" vertical="top" wrapText="1"/>
    </xf>
    <xf numFmtId="165" fontId="3" fillId="0" borderId="40" xfId="0" applyNumberFormat="1" applyFont="1" applyFill="1" applyBorder="1" applyAlignment="1">
      <alignment horizontal="center" vertical="center"/>
    </xf>
    <xf numFmtId="165" fontId="3" fillId="0" borderId="20" xfId="0" applyNumberFormat="1" applyFont="1" applyFill="1" applyBorder="1" applyAlignment="1">
      <alignment horizontal="center" vertical="center"/>
    </xf>
    <xf numFmtId="0" fontId="3" fillId="12" borderId="0" xfId="0" applyFont="1" applyFill="1" applyBorder="1" applyAlignment="1">
      <alignment vertical="top" wrapText="1"/>
    </xf>
    <xf numFmtId="0" fontId="3" fillId="12" borderId="20" xfId="0" applyFont="1" applyFill="1" applyBorder="1" applyAlignment="1">
      <alignment horizontal="center" vertical="top"/>
    </xf>
    <xf numFmtId="0" fontId="9" fillId="12" borderId="16" xfId="0" applyFont="1" applyFill="1" applyBorder="1" applyAlignment="1">
      <alignment horizontal="center" vertical="top" wrapText="1"/>
    </xf>
    <xf numFmtId="0" fontId="3" fillId="12" borderId="16" xfId="0" applyFont="1" applyFill="1" applyBorder="1" applyAlignment="1">
      <alignment horizontal="center" vertical="top"/>
    </xf>
    <xf numFmtId="0" fontId="3" fillId="12" borderId="32" xfId="0" applyFont="1" applyFill="1" applyBorder="1" applyAlignment="1">
      <alignment horizontal="center" vertical="top" wrapText="1"/>
    </xf>
    <xf numFmtId="165" fontId="3" fillId="6" borderId="38" xfId="1" applyNumberFormat="1" applyFont="1" applyFill="1" applyBorder="1" applyAlignment="1">
      <alignment horizontal="center" vertical="top"/>
    </xf>
    <xf numFmtId="165" fontId="3" fillId="6" borderId="16" xfId="1" applyNumberFormat="1" applyFont="1" applyFill="1" applyBorder="1" applyAlignment="1">
      <alignment horizontal="center" vertical="top"/>
    </xf>
    <xf numFmtId="0" fontId="3" fillId="6" borderId="83" xfId="0" applyFont="1" applyFill="1" applyBorder="1" applyAlignment="1">
      <alignment horizontal="left" vertical="top" wrapText="1"/>
    </xf>
    <xf numFmtId="0" fontId="3" fillId="6" borderId="75" xfId="1" applyFont="1" applyFill="1" applyBorder="1" applyAlignment="1">
      <alignment horizontal="left" vertical="top" wrapText="1"/>
    </xf>
    <xf numFmtId="1" fontId="3" fillId="6" borderId="76" xfId="1" applyNumberFormat="1" applyFont="1" applyFill="1" applyBorder="1" applyAlignment="1">
      <alignment horizontal="center" vertical="top" wrapText="1"/>
    </xf>
    <xf numFmtId="3" fontId="3" fillId="6" borderId="76" xfId="1" applyNumberFormat="1" applyFont="1" applyFill="1" applyBorder="1" applyAlignment="1">
      <alignment horizontal="center" vertical="top" wrapText="1"/>
    </xf>
    <xf numFmtId="3" fontId="21" fillId="6" borderId="32" xfId="1" applyNumberFormat="1" applyFont="1" applyFill="1" applyBorder="1" applyAlignment="1">
      <alignment horizontal="center" vertical="top" wrapText="1"/>
    </xf>
    <xf numFmtId="3" fontId="5" fillId="10" borderId="10" xfId="0" applyNumberFormat="1" applyFont="1" applyFill="1" applyBorder="1" applyAlignment="1">
      <alignment vertical="top"/>
    </xf>
    <xf numFmtId="3" fontId="5" fillId="3" borderId="16" xfId="0" applyNumberFormat="1" applyFont="1" applyFill="1" applyBorder="1" applyAlignment="1">
      <alignment vertical="top"/>
    </xf>
    <xf numFmtId="3" fontId="5" fillId="8" borderId="16" xfId="0" applyNumberFormat="1" applyFont="1" applyFill="1" applyBorder="1" applyAlignment="1">
      <alignment vertical="top"/>
    </xf>
    <xf numFmtId="3" fontId="15" fillId="0" borderId="48" xfId="0" applyNumberFormat="1" applyFont="1" applyBorder="1" applyAlignment="1">
      <alignment horizontal="center" vertical="top"/>
    </xf>
    <xf numFmtId="3" fontId="3" fillId="6" borderId="2" xfId="0" applyNumberFormat="1" applyFont="1" applyFill="1" applyBorder="1" applyAlignment="1">
      <alignment horizontal="center" vertical="top"/>
    </xf>
    <xf numFmtId="49" fontId="5" fillId="6" borderId="16" xfId="0" applyNumberFormat="1" applyFont="1" applyFill="1" applyBorder="1" applyAlignment="1">
      <alignment horizontal="center" vertical="center"/>
    </xf>
    <xf numFmtId="165" fontId="5" fillId="8" borderId="28" xfId="0" applyNumberFormat="1" applyFont="1" applyFill="1" applyBorder="1" applyAlignment="1">
      <alignment horizontal="center" vertical="top"/>
    </xf>
    <xf numFmtId="165" fontId="5" fillId="3" borderId="62" xfId="0" applyNumberFormat="1" applyFont="1" applyFill="1" applyBorder="1" applyAlignment="1">
      <alignment horizontal="center" vertical="top"/>
    </xf>
    <xf numFmtId="165" fontId="5" fillId="3" borderId="54" xfId="0" applyNumberFormat="1" applyFont="1" applyFill="1" applyBorder="1" applyAlignment="1">
      <alignment horizontal="center" vertical="top"/>
    </xf>
    <xf numFmtId="0" fontId="3" fillId="6" borderId="104" xfId="0" applyFont="1" applyFill="1" applyBorder="1" applyAlignment="1">
      <alignment vertical="center" wrapText="1"/>
    </xf>
    <xf numFmtId="0" fontId="3" fillId="6" borderId="102" xfId="0" applyFont="1" applyFill="1" applyBorder="1" applyAlignment="1">
      <alignment vertical="center" wrapText="1"/>
    </xf>
    <xf numFmtId="0" fontId="3" fillId="6" borderId="105" xfId="0" applyFont="1" applyFill="1" applyBorder="1" applyAlignment="1">
      <alignment vertical="center" wrapText="1"/>
    </xf>
    <xf numFmtId="0" fontId="3" fillId="6" borderId="100" xfId="0" applyFont="1" applyFill="1" applyBorder="1" applyAlignment="1">
      <alignment horizontal="center" vertical="center"/>
    </xf>
    <xf numFmtId="0" fontId="3" fillId="6" borderId="94" xfId="0" applyFont="1" applyFill="1" applyBorder="1" applyAlignment="1">
      <alignment horizontal="center" vertical="center"/>
    </xf>
    <xf numFmtId="0" fontId="3" fillId="6" borderId="86" xfId="0" applyFont="1" applyFill="1" applyBorder="1" applyAlignment="1">
      <alignment horizontal="center" vertical="center"/>
    </xf>
    <xf numFmtId="165" fontId="3" fillId="6" borderId="104" xfId="0" applyNumberFormat="1" applyFont="1" applyFill="1" applyBorder="1" applyAlignment="1">
      <alignment vertical="center" wrapText="1"/>
    </xf>
    <xf numFmtId="49" fontId="5" fillId="2" borderId="32" xfId="0" applyNumberFormat="1" applyFont="1" applyFill="1" applyBorder="1" applyAlignment="1">
      <alignment horizontal="center" vertical="top" wrapText="1"/>
    </xf>
    <xf numFmtId="0" fontId="5" fillId="2" borderId="32" xfId="0" applyFont="1" applyFill="1" applyBorder="1" applyAlignment="1">
      <alignment horizontal="left" vertical="top" wrapText="1"/>
    </xf>
    <xf numFmtId="0" fontId="3" fillId="0" borderId="22" xfId="0" applyFont="1" applyBorder="1" applyAlignment="1">
      <alignment horizontal="center" vertical="top" wrapText="1"/>
    </xf>
    <xf numFmtId="3" fontId="3" fillId="2" borderId="29" xfId="0" applyNumberFormat="1" applyFont="1" applyFill="1" applyBorder="1" applyAlignment="1">
      <alignment horizontal="right" vertical="top"/>
    </xf>
    <xf numFmtId="3" fontId="3" fillId="2" borderId="63" xfId="0" applyNumberFormat="1" applyFont="1" applyFill="1" applyBorder="1" applyAlignment="1">
      <alignment horizontal="right" vertical="top"/>
    </xf>
    <xf numFmtId="165" fontId="3" fillId="6" borderId="32" xfId="0" applyNumberFormat="1" applyFont="1" applyFill="1" applyBorder="1" applyAlignment="1">
      <alignment vertical="top"/>
    </xf>
    <xf numFmtId="3" fontId="3" fillId="6" borderId="32" xfId="1" applyNumberFormat="1" applyFont="1" applyFill="1" applyBorder="1" applyAlignment="1">
      <alignment horizontal="center" vertical="top" wrapText="1"/>
    </xf>
    <xf numFmtId="1" fontId="3" fillId="6" borderId="31" xfId="0" applyNumberFormat="1" applyFont="1" applyFill="1" applyBorder="1" applyAlignment="1">
      <alignment horizontal="center" vertical="top" wrapText="1"/>
    </xf>
    <xf numFmtId="1" fontId="3" fillId="6" borderId="48" xfId="0" applyNumberFormat="1" applyFont="1" applyFill="1" applyBorder="1" applyAlignment="1">
      <alignment horizontal="center" vertical="top" wrapText="1"/>
    </xf>
    <xf numFmtId="3" fontId="3" fillId="0" borderId="31" xfId="0" applyNumberFormat="1" applyFont="1" applyFill="1" applyBorder="1" applyAlignment="1">
      <alignment horizontal="center" vertical="top" wrapText="1"/>
    </xf>
    <xf numFmtId="3" fontId="3" fillId="6" borderId="105" xfId="0" applyNumberFormat="1" applyFont="1" applyFill="1" applyBorder="1" applyAlignment="1">
      <alignment horizontal="center" vertical="top"/>
    </xf>
    <xf numFmtId="3" fontId="3" fillId="6" borderId="94" xfId="0" applyNumberFormat="1" applyFont="1" applyFill="1" applyBorder="1" applyAlignment="1">
      <alignment horizontal="center" vertical="top"/>
    </xf>
    <xf numFmtId="3" fontId="3" fillId="6" borderId="0" xfId="0" applyNumberFormat="1" applyFont="1" applyFill="1" applyBorder="1" applyAlignment="1">
      <alignment horizontal="center" vertical="top"/>
    </xf>
    <xf numFmtId="0" fontId="3" fillId="6" borderId="93" xfId="0" applyNumberFormat="1" applyFont="1" applyFill="1" applyBorder="1" applyAlignment="1">
      <alignment horizontal="center" vertical="top"/>
    </xf>
    <xf numFmtId="0" fontId="3" fillId="6" borderId="92" xfId="0" applyNumberFormat="1" applyFont="1" applyFill="1" applyBorder="1" applyAlignment="1">
      <alignment horizontal="center" vertical="top"/>
    </xf>
    <xf numFmtId="0" fontId="3" fillId="6" borderId="51" xfId="0" applyFont="1" applyFill="1" applyBorder="1" applyAlignment="1">
      <alignment horizontal="center" vertical="top"/>
    </xf>
    <xf numFmtId="0" fontId="3" fillId="6" borderId="49" xfId="0" applyFont="1" applyFill="1" applyBorder="1" applyAlignment="1">
      <alignment horizontal="center" vertical="center" textRotation="90" wrapText="1"/>
    </xf>
    <xf numFmtId="49" fontId="5" fillId="6" borderId="48" xfId="0" applyNumberFormat="1" applyFont="1" applyFill="1" applyBorder="1" applyAlignment="1">
      <alignment horizontal="center" vertical="top" wrapText="1"/>
    </xf>
    <xf numFmtId="0" fontId="3" fillId="6" borderId="90" xfId="0" applyFont="1" applyFill="1" applyBorder="1" applyAlignment="1">
      <alignment vertical="top" wrapText="1"/>
    </xf>
    <xf numFmtId="0" fontId="3" fillId="6" borderId="75" xfId="1" applyFont="1" applyFill="1" applyBorder="1" applyAlignment="1">
      <alignment vertical="top" wrapText="1"/>
    </xf>
    <xf numFmtId="0" fontId="5" fillId="6" borderId="20" xfId="0" applyFont="1" applyFill="1" applyBorder="1" applyAlignment="1">
      <alignment horizontal="center" vertical="center"/>
    </xf>
    <xf numFmtId="1" fontId="3" fillId="6" borderId="108" xfId="0" applyNumberFormat="1" applyFont="1" applyFill="1" applyBorder="1" applyAlignment="1">
      <alignment horizontal="center" vertical="top" wrapText="1"/>
    </xf>
    <xf numFmtId="1" fontId="3" fillId="6" borderId="86" xfId="0" applyNumberFormat="1" applyFont="1" applyFill="1" applyBorder="1" applyAlignment="1">
      <alignment horizontal="center" vertical="top" wrapText="1"/>
    </xf>
    <xf numFmtId="4" fontId="3" fillId="2" borderId="0" xfId="0" applyNumberFormat="1" applyFont="1" applyFill="1" applyBorder="1" applyAlignment="1">
      <alignment horizontal="center" vertical="top"/>
    </xf>
    <xf numFmtId="49" fontId="3" fillId="0" borderId="0" xfId="0" applyNumberFormat="1" applyFont="1" applyFill="1" applyAlignment="1">
      <alignment vertical="top"/>
    </xf>
    <xf numFmtId="49" fontId="5" fillId="0" borderId="45" xfId="0" applyNumberFormat="1" applyFont="1" applyFill="1" applyBorder="1" applyAlignment="1">
      <alignment horizontal="center" vertical="top"/>
    </xf>
    <xf numFmtId="0" fontId="0" fillId="0" borderId="0" xfId="0" applyFill="1" applyAlignment="1">
      <alignment horizontal="left" vertical="top" wrapText="1"/>
    </xf>
    <xf numFmtId="0" fontId="21" fillId="6" borderId="11" xfId="0" applyFont="1" applyFill="1" applyBorder="1" applyAlignment="1">
      <alignment vertical="top"/>
    </xf>
    <xf numFmtId="3" fontId="3" fillId="6" borderId="85" xfId="1" applyNumberFormat="1" applyFont="1" applyFill="1" applyBorder="1" applyAlignment="1">
      <alignment horizontal="center" vertical="top"/>
    </xf>
    <xf numFmtId="0" fontId="19" fillId="6" borderId="16" xfId="0" applyFont="1" applyFill="1" applyBorder="1" applyAlignment="1">
      <alignment horizontal="left" vertical="top" wrapText="1"/>
    </xf>
    <xf numFmtId="0" fontId="3" fillId="6" borderId="38" xfId="1" applyFont="1" applyFill="1" applyBorder="1" applyAlignment="1">
      <alignment vertical="top" wrapText="1"/>
    </xf>
    <xf numFmtId="0" fontId="3" fillId="12" borderId="16" xfId="0" applyFont="1" applyFill="1" applyBorder="1" applyAlignment="1">
      <alignment horizontal="center" vertical="top" wrapText="1"/>
    </xf>
    <xf numFmtId="0" fontId="7" fillId="6" borderId="24" xfId="0" applyFont="1" applyFill="1" applyBorder="1" applyAlignment="1"/>
    <xf numFmtId="0" fontId="2" fillId="0" borderId="24" xfId="0" applyFont="1" applyFill="1" applyBorder="1" applyAlignment="1">
      <alignment horizontal="center" vertical="center" textRotation="90" wrapText="1"/>
    </xf>
    <xf numFmtId="0" fontId="3" fillId="6" borderId="26" xfId="0" applyFont="1" applyFill="1" applyBorder="1" applyAlignment="1">
      <alignment horizontal="center" vertical="center" textRotation="90" wrapText="1"/>
    </xf>
    <xf numFmtId="0" fontId="3" fillId="6" borderId="39" xfId="0" applyFont="1" applyFill="1" applyBorder="1" applyAlignment="1">
      <alignment vertical="center" wrapText="1"/>
    </xf>
    <xf numFmtId="165" fontId="3" fillId="6" borderId="47" xfId="0" applyNumberFormat="1" applyFont="1" applyFill="1" applyBorder="1" applyAlignment="1">
      <alignment horizontal="right" vertical="center"/>
    </xf>
    <xf numFmtId="0" fontId="3" fillId="6" borderId="105" xfId="0" applyFont="1" applyFill="1" applyBorder="1" applyAlignment="1">
      <alignment horizontal="center" vertical="center"/>
    </xf>
    <xf numFmtId="0" fontId="3" fillId="0" borderId="16" xfId="0" applyFont="1" applyBorder="1" applyAlignment="1">
      <alignment vertical="top"/>
    </xf>
    <xf numFmtId="0" fontId="3" fillId="0" borderId="18" xfId="0" applyFont="1" applyBorder="1" applyAlignment="1">
      <alignment vertical="top"/>
    </xf>
    <xf numFmtId="165" fontId="3" fillId="6" borderId="47" xfId="0" applyNumberFormat="1" applyFont="1" applyFill="1" applyBorder="1" applyAlignment="1">
      <alignment vertical="top"/>
    </xf>
    <xf numFmtId="165" fontId="3" fillId="6" borderId="31" xfId="0" applyNumberFormat="1" applyFont="1" applyFill="1" applyBorder="1" applyAlignment="1">
      <alignment vertical="top"/>
    </xf>
    <xf numFmtId="3" fontId="5" fillId="6" borderId="16" xfId="0" applyNumberFormat="1" applyFont="1" applyFill="1" applyBorder="1" applyAlignment="1">
      <alignment vertical="top"/>
    </xf>
    <xf numFmtId="0" fontId="3" fillId="6" borderId="37" xfId="0" applyFont="1" applyFill="1" applyBorder="1" applyAlignment="1">
      <alignment vertical="top" wrapText="1"/>
    </xf>
    <xf numFmtId="0" fontId="3" fillId="6" borderId="49" xfId="0" applyFont="1" applyFill="1" applyBorder="1" applyAlignment="1">
      <alignment vertical="center" wrapText="1"/>
    </xf>
    <xf numFmtId="0" fontId="3" fillId="6" borderId="37" xfId="0" applyFont="1" applyFill="1" applyBorder="1" applyAlignment="1">
      <alignment vertical="center" wrapText="1"/>
    </xf>
    <xf numFmtId="0" fontId="3" fillId="6" borderId="15" xfId="0" applyFont="1" applyFill="1" applyBorder="1" applyAlignment="1">
      <alignment horizontal="left" vertical="top" wrapText="1"/>
    </xf>
    <xf numFmtId="3" fontId="11" fillId="6" borderId="63" xfId="0" applyNumberFormat="1" applyFont="1" applyFill="1" applyBorder="1" applyAlignment="1">
      <alignment horizontal="center" vertical="top"/>
    </xf>
    <xf numFmtId="165" fontId="11" fillId="6" borderId="22" xfId="0" applyNumberFormat="1" applyFont="1" applyFill="1" applyBorder="1" applyAlignment="1">
      <alignment horizontal="center" vertical="top"/>
    </xf>
    <xf numFmtId="0" fontId="3" fillId="6" borderId="78" xfId="0" applyNumberFormat="1" applyFont="1" applyFill="1" applyBorder="1" applyAlignment="1">
      <alignment horizontal="center" vertical="top" wrapText="1"/>
    </xf>
    <xf numFmtId="4" fontId="3" fillId="2" borderId="18" xfId="0" applyNumberFormat="1" applyFont="1" applyFill="1" applyBorder="1" applyAlignment="1">
      <alignment horizontal="center" vertical="top"/>
    </xf>
    <xf numFmtId="165" fontId="3" fillId="2" borderId="72" xfId="0" applyNumberFormat="1" applyFont="1" applyFill="1" applyBorder="1" applyAlignment="1">
      <alignment horizontal="center" vertical="top"/>
    </xf>
    <xf numFmtId="0" fontId="3" fillId="6" borderId="57" xfId="0" applyFont="1" applyFill="1" applyBorder="1" applyAlignment="1">
      <alignment horizontal="left" vertical="top" wrapText="1"/>
    </xf>
    <xf numFmtId="0" fontId="3" fillId="6" borderId="24" xfId="0" applyFont="1" applyFill="1" applyBorder="1" applyAlignment="1">
      <alignment horizontal="center" vertical="center" textRotation="90" wrapText="1"/>
    </xf>
    <xf numFmtId="0" fontId="3" fillId="6" borderId="33" xfId="0" applyFont="1" applyFill="1" applyBorder="1" applyAlignment="1">
      <alignment vertical="top" wrapText="1"/>
    </xf>
    <xf numFmtId="3" fontId="3" fillId="6" borderId="57" xfId="0" applyNumberFormat="1" applyFont="1" applyFill="1" applyBorder="1" applyAlignment="1">
      <alignment horizontal="center" vertical="top" wrapText="1"/>
    </xf>
    <xf numFmtId="3" fontId="3" fillId="6" borderId="25" xfId="0" applyNumberFormat="1" applyFont="1" applyFill="1" applyBorder="1" applyAlignment="1">
      <alignment horizontal="center" vertical="top" wrapText="1"/>
    </xf>
    <xf numFmtId="165" fontId="5" fillId="4" borderId="7" xfId="0" applyNumberFormat="1" applyFont="1" applyFill="1" applyBorder="1" applyAlignment="1">
      <alignment horizontal="center" vertical="top"/>
    </xf>
    <xf numFmtId="0" fontId="3" fillId="8" borderId="33" xfId="0" applyFont="1" applyFill="1" applyBorder="1" applyAlignment="1">
      <alignment horizontal="left" vertical="top" wrapText="1"/>
    </xf>
    <xf numFmtId="165" fontId="5" fillId="5" borderId="60" xfId="0" applyNumberFormat="1" applyFont="1" applyFill="1" applyBorder="1" applyAlignment="1">
      <alignment horizontal="center" vertical="top"/>
    </xf>
    <xf numFmtId="165" fontId="3" fillId="0" borderId="63" xfId="0" applyNumberFormat="1" applyFont="1" applyBorder="1" applyAlignment="1">
      <alignment horizontal="center" vertical="top"/>
    </xf>
    <xf numFmtId="49" fontId="5" fillId="6" borderId="51" xfId="0" applyNumberFormat="1" applyFont="1" applyFill="1" applyBorder="1" applyAlignment="1">
      <alignment horizontal="center" vertical="top"/>
    </xf>
    <xf numFmtId="0" fontId="16" fillId="6" borderId="76" xfId="0" applyNumberFormat="1" applyFont="1" applyFill="1" applyBorder="1" applyAlignment="1">
      <alignment horizontal="center" vertical="top" wrapText="1"/>
    </xf>
    <xf numFmtId="0" fontId="3" fillId="6" borderId="48" xfId="0" applyFont="1" applyFill="1" applyBorder="1" applyAlignment="1">
      <alignment horizontal="center" vertical="top"/>
    </xf>
    <xf numFmtId="0" fontId="3" fillId="6" borderId="30" xfId="0" applyFont="1" applyFill="1" applyBorder="1" applyAlignment="1">
      <alignment horizontal="center" vertical="top"/>
    </xf>
    <xf numFmtId="165" fontId="16" fillId="6" borderId="47" xfId="0" applyNumberFormat="1" applyFont="1" applyFill="1" applyBorder="1" applyAlignment="1">
      <alignment horizontal="center" vertical="top"/>
    </xf>
    <xf numFmtId="0" fontId="16" fillId="6" borderId="85" xfId="0" applyNumberFormat="1" applyFont="1" applyFill="1" applyBorder="1" applyAlignment="1">
      <alignment horizontal="center" vertical="top" wrapText="1"/>
    </xf>
    <xf numFmtId="0" fontId="3" fillId="6" borderId="63" xfId="0" applyFont="1" applyFill="1" applyBorder="1" applyAlignment="1">
      <alignment horizontal="center" vertical="top" wrapText="1"/>
    </xf>
    <xf numFmtId="0" fontId="3" fillId="6" borderId="112" xfId="0" applyNumberFormat="1" applyFont="1" applyFill="1" applyBorder="1" applyAlignment="1">
      <alignment horizontal="center" vertical="top" wrapText="1"/>
    </xf>
    <xf numFmtId="0" fontId="3" fillId="6" borderId="113" xfId="0" applyNumberFormat="1" applyFont="1" applyFill="1" applyBorder="1" applyAlignment="1">
      <alignment horizontal="center" vertical="top" wrapText="1"/>
    </xf>
    <xf numFmtId="0" fontId="3" fillId="6" borderId="38" xfId="0" applyFont="1" applyFill="1" applyBorder="1" applyAlignment="1">
      <alignment horizontal="center" vertical="top" wrapText="1"/>
    </xf>
    <xf numFmtId="165" fontId="16" fillId="6" borderId="22" xfId="0" applyNumberFormat="1" applyFont="1" applyFill="1" applyBorder="1" applyAlignment="1">
      <alignment horizontal="center" vertical="top"/>
    </xf>
    <xf numFmtId="0" fontId="3" fillId="6" borderId="69" xfId="0" applyFont="1" applyFill="1" applyBorder="1" applyAlignment="1">
      <alignment horizontal="center" vertical="top" wrapText="1"/>
    </xf>
    <xf numFmtId="165" fontId="5" fillId="8" borderId="34" xfId="0" applyNumberFormat="1" applyFont="1" applyFill="1" applyBorder="1" applyAlignment="1">
      <alignment horizontal="center" vertical="top"/>
    </xf>
    <xf numFmtId="165" fontId="5" fillId="8" borderId="24" xfId="0" applyNumberFormat="1" applyFont="1" applyFill="1" applyBorder="1" applyAlignment="1">
      <alignment horizontal="center" vertical="top"/>
    </xf>
    <xf numFmtId="0" fontId="3" fillId="6" borderId="85" xfId="0" applyNumberFormat="1" applyFont="1" applyFill="1" applyBorder="1" applyAlignment="1">
      <alignment horizontal="center" vertical="top" wrapText="1"/>
    </xf>
    <xf numFmtId="0" fontId="3" fillId="6" borderId="19" xfId="0" applyFont="1" applyFill="1" applyBorder="1" applyAlignment="1">
      <alignment vertical="top" wrapText="1"/>
    </xf>
    <xf numFmtId="49" fontId="3" fillId="6" borderId="32" xfId="0" applyNumberFormat="1" applyFont="1" applyFill="1" applyBorder="1" applyAlignment="1">
      <alignment horizontal="center" vertical="top" wrapText="1"/>
    </xf>
    <xf numFmtId="49" fontId="5" fillId="6" borderId="20" xfId="0" applyNumberFormat="1" applyFont="1" applyFill="1" applyBorder="1" applyAlignment="1">
      <alignment horizontal="center" vertical="top"/>
    </xf>
    <xf numFmtId="49" fontId="5" fillId="6" borderId="32" xfId="0" applyNumberFormat="1" applyFont="1" applyFill="1" applyBorder="1" applyAlignment="1">
      <alignment horizontal="center" vertical="top"/>
    </xf>
    <xf numFmtId="49" fontId="3" fillId="6" borderId="9" xfId="0" applyNumberFormat="1" applyFont="1" applyFill="1" applyBorder="1" applyAlignment="1">
      <alignment horizontal="center" vertical="center" wrapText="1"/>
    </xf>
    <xf numFmtId="49" fontId="5" fillId="10" borderId="10" xfId="0" applyNumberFormat="1" applyFont="1" applyFill="1" applyBorder="1" applyAlignment="1">
      <alignment horizontal="center" vertical="top"/>
    </xf>
    <xf numFmtId="49" fontId="5" fillId="3" borderId="16" xfId="0" applyNumberFormat="1" applyFont="1" applyFill="1" applyBorder="1" applyAlignment="1">
      <alignment horizontal="center" vertical="top"/>
    </xf>
    <xf numFmtId="0" fontId="3" fillId="6" borderId="37" xfId="0" applyFont="1" applyFill="1" applyBorder="1" applyAlignment="1">
      <alignment horizontal="center" vertical="center" textRotation="90" wrapText="1"/>
    </xf>
    <xf numFmtId="49" fontId="5" fillId="6" borderId="18" xfId="0" applyNumberFormat="1" applyFont="1" applyFill="1" applyBorder="1" applyAlignment="1">
      <alignment horizontal="center" vertical="top"/>
    </xf>
    <xf numFmtId="49" fontId="5" fillId="8" borderId="16"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3" fillId="6" borderId="97" xfId="0" applyFont="1" applyFill="1" applyBorder="1" applyAlignment="1">
      <alignment horizontal="center" vertical="top" wrapText="1"/>
    </xf>
    <xf numFmtId="0" fontId="3" fillId="6" borderId="6" xfId="0" applyFont="1" applyFill="1" applyBorder="1" applyAlignment="1">
      <alignment horizontal="center" vertical="center" wrapText="1"/>
    </xf>
    <xf numFmtId="49" fontId="3" fillId="6" borderId="22" xfId="0" applyNumberFormat="1" applyFont="1" applyFill="1" applyBorder="1" applyAlignment="1">
      <alignment horizontal="center" vertical="top" wrapText="1"/>
    </xf>
    <xf numFmtId="49" fontId="5" fillId="10" borderId="11" xfId="0" applyNumberFormat="1" applyFont="1" applyFill="1" applyBorder="1" applyAlignment="1">
      <alignment horizontal="center" vertical="top"/>
    </xf>
    <xf numFmtId="0" fontId="3" fillId="6" borderId="0" xfId="0" applyFont="1" applyFill="1" applyBorder="1" applyAlignment="1">
      <alignment vertical="top"/>
    </xf>
    <xf numFmtId="1" fontId="3" fillId="0" borderId="76" xfId="0" applyNumberFormat="1" applyFont="1" applyFill="1" applyBorder="1" applyAlignment="1">
      <alignment horizontal="center" vertical="top" wrapText="1"/>
    </xf>
    <xf numFmtId="165" fontId="16" fillId="6" borderId="63" xfId="0" applyNumberFormat="1" applyFont="1" applyFill="1" applyBorder="1" applyAlignment="1">
      <alignment horizontal="center" vertical="top"/>
    </xf>
    <xf numFmtId="0" fontId="3" fillId="6" borderId="89" xfId="0" applyFont="1" applyFill="1" applyBorder="1" applyAlignment="1">
      <alignment vertical="top"/>
    </xf>
    <xf numFmtId="0" fontId="3" fillId="0" borderId="37" xfId="0" applyFont="1" applyBorder="1" applyAlignment="1">
      <alignment horizontal="center" vertical="center" textRotation="90"/>
    </xf>
    <xf numFmtId="0" fontId="26" fillId="6" borderId="38" xfId="0" applyFont="1" applyFill="1" applyBorder="1" applyAlignment="1">
      <alignment horizontal="left" vertical="top" wrapText="1"/>
    </xf>
    <xf numFmtId="165" fontId="16" fillId="6" borderId="53" xfId="0" applyNumberFormat="1" applyFont="1" applyFill="1" applyBorder="1" applyAlignment="1">
      <alignment horizontal="center" vertical="top"/>
    </xf>
    <xf numFmtId="0" fontId="3" fillId="6" borderId="47" xfId="0" applyFont="1" applyFill="1" applyBorder="1" applyAlignment="1">
      <alignment vertical="top" wrapText="1"/>
    </xf>
    <xf numFmtId="0" fontId="3" fillId="6" borderId="32" xfId="0" applyFont="1" applyFill="1" applyBorder="1" applyAlignment="1">
      <alignment horizontal="center" vertical="top"/>
    </xf>
    <xf numFmtId="0" fontId="3" fillId="6" borderId="47" xfId="0" applyFont="1" applyFill="1" applyBorder="1" applyAlignment="1">
      <alignment horizontal="center" vertical="top"/>
    </xf>
    <xf numFmtId="0" fontId="3" fillId="6" borderId="31" xfId="0" applyFont="1" applyFill="1" applyBorder="1" applyAlignment="1">
      <alignment horizontal="center" vertical="top"/>
    </xf>
    <xf numFmtId="0" fontId="3" fillId="6" borderId="20" xfId="0" applyFont="1" applyFill="1" applyBorder="1" applyAlignment="1">
      <alignment horizontal="center" vertical="top"/>
    </xf>
    <xf numFmtId="0" fontId="3" fillId="6" borderId="40" xfId="0" applyFont="1" applyFill="1" applyBorder="1" applyAlignment="1">
      <alignment horizontal="center" vertical="top"/>
    </xf>
    <xf numFmtId="0" fontId="3" fillId="6" borderId="1" xfId="0" applyFont="1" applyFill="1" applyBorder="1" applyAlignment="1">
      <alignment horizontal="center" vertical="top"/>
    </xf>
    <xf numFmtId="0" fontId="3" fillId="6" borderId="0" xfId="0" applyFont="1" applyFill="1" applyBorder="1" applyAlignment="1">
      <alignment horizontal="center" vertical="top"/>
    </xf>
    <xf numFmtId="0" fontId="3" fillId="6" borderId="18" xfId="0" applyFont="1" applyFill="1" applyBorder="1" applyAlignment="1">
      <alignment horizontal="center" vertical="top"/>
    </xf>
    <xf numFmtId="165" fontId="3" fillId="6" borderId="38" xfId="0" applyNumberFormat="1" applyFont="1" applyFill="1" applyBorder="1" applyAlignment="1">
      <alignment horizontal="center" vertical="center"/>
    </xf>
    <xf numFmtId="165" fontId="3" fillId="6" borderId="53" xfId="0" applyNumberFormat="1" applyFont="1" applyFill="1" applyBorder="1" applyAlignment="1">
      <alignment horizontal="center" vertical="center"/>
    </xf>
    <xf numFmtId="165" fontId="3" fillId="6" borderId="63" xfId="0" applyNumberFormat="1" applyFont="1" applyFill="1" applyBorder="1" applyAlignment="1">
      <alignment horizontal="center" vertical="center"/>
    </xf>
    <xf numFmtId="165" fontId="3" fillId="2" borderId="18" xfId="0" applyNumberFormat="1" applyFont="1" applyFill="1" applyBorder="1" applyAlignment="1">
      <alignment horizontal="center" vertical="top"/>
    </xf>
    <xf numFmtId="3" fontId="3" fillId="6" borderId="47" xfId="0" applyNumberFormat="1" applyFont="1" applyFill="1" applyBorder="1" applyAlignment="1">
      <alignment horizontal="center" vertical="top"/>
    </xf>
    <xf numFmtId="0" fontId="0" fillId="0" borderId="24" xfId="0" applyBorder="1" applyAlignment="1">
      <alignment horizontal="left" vertical="top" wrapText="1"/>
    </xf>
    <xf numFmtId="0" fontId="24" fillId="6" borderId="67" xfId="0" applyFont="1" applyFill="1" applyBorder="1" applyAlignment="1">
      <alignment horizontal="center" vertical="center" textRotation="90" wrapText="1"/>
    </xf>
    <xf numFmtId="49" fontId="5" fillId="6" borderId="25" xfId="0" applyNumberFormat="1" applyFont="1" applyFill="1" applyBorder="1" applyAlignment="1">
      <alignment horizontal="center" vertical="top"/>
    </xf>
    <xf numFmtId="165" fontId="3" fillId="0" borderId="53" xfId="0" applyNumberFormat="1" applyFont="1" applyFill="1" applyBorder="1" applyAlignment="1">
      <alignment horizontal="center" vertical="top"/>
    </xf>
    <xf numFmtId="0" fontId="3" fillId="6" borderId="20"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165" fontId="3" fillId="6" borderId="30" xfId="0" applyNumberFormat="1" applyFont="1" applyFill="1" applyBorder="1" applyAlignment="1">
      <alignment horizontal="center" vertical="top" wrapText="1"/>
    </xf>
    <xf numFmtId="165" fontId="3" fillId="0" borderId="9" xfId="0" applyNumberFormat="1" applyFont="1" applyFill="1" applyBorder="1" applyAlignment="1">
      <alignment horizontal="center" vertical="top" wrapText="1"/>
    </xf>
    <xf numFmtId="0" fontId="3" fillId="6" borderId="67" xfId="0" applyFont="1" applyFill="1" applyBorder="1" applyAlignment="1">
      <alignment vertical="top" wrapText="1"/>
    </xf>
    <xf numFmtId="0" fontId="3" fillId="0" borderId="12" xfId="0" applyFont="1" applyFill="1" applyBorder="1" applyAlignment="1">
      <alignment horizontal="left" vertical="top" wrapText="1"/>
    </xf>
    <xf numFmtId="165" fontId="3" fillId="2" borderId="69" xfId="0" applyNumberFormat="1" applyFont="1" applyFill="1" applyBorder="1" applyAlignment="1">
      <alignment horizontal="center" vertical="top"/>
    </xf>
    <xf numFmtId="165" fontId="3" fillId="2" borderId="63" xfId="0" applyNumberFormat="1" applyFont="1" applyFill="1" applyBorder="1" applyAlignment="1">
      <alignment horizontal="right" vertical="top"/>
    </xf>
    <xf numFmtId="3" fontId="9" fillId="0" borderId="63" xfId="1" applyNumberFormat="1" applyFont="1" applyBorder="1" applyAlignment="1">
      <alignment horizontal="center" vertical="top"/>
    </xf>
    <xf numFmtId="165" fontId="3" fillId="0" borderId="63" xfId="1" applyNumberFormat="1" applyFont="1" applyFill="1" applyBorder="1" applyAlignment="1">
      <alignment horizontal="center" vertical="top"/>
    </xf>
    <xf numFmtId="0" fontId="2" fillId="6" borderId="24" xfId="0" applyFont="1" applyFill="1" applyBorder="1" applyAlignment="1">
      <alignment horizontal="center" vertical="center" textRotation="90" wrapText="1"/>
    </xf>
    <xf numFmtId="0" fontId="3" fillId="6" borderId="93" xfId="0" applyNumberFormat="1" applyFont="1" applyFill="1" applyBorder="1" applyAlignment="1">
      <alignment horizontal="center" vertical="top" wrapText="1"/>
    </xf>
    <xf numFmtId="0" fontId="3" fillId="6" borderId="100" xfId="0" applyNumberFormat="1" applyFont="1" applyFill="1" applyBorder="1" applyAlignment="1">
      <alignment horizontal="center" vertical="top" wrapText="1"/>
    </xf>
    <xf numFmtId="0" fontId="3" fillId="6" borderId="94" xfId="0" applyNumberFormat="1" applyFont="1" applyFill="1" applyBorder="1" applyAlignment="1">
      <alignment horizontal="center" vertical="top" wrapText="1"/>
    </xf>
    <xf numFmtId="0" fontId="3" fillId="6" borderId="32" xfId="0" applyFont="1" applyFill="1" applyBorder="1" applyAlignment="1">
      <alignment vertical="top"/>
    </xf>
    <xf numFmtId="165" fontId="3" fillId="8" borderId="68" xfId="0" applyNumberFormat="1" applyFont="1" applyFill="1" applyBorder="1" applyAlignment="1">
      <alignment horizontal="center" vertical="top" wrapText="1"/>
    </xf>
    <xf numFmtId="49" fontId="5" fillId="6" borderId="18" xfId="0" applyNumberFormat="1" applyFont="1" applyFill="1" applyBorder="1" applyAlignment="1">
      <alignment horizontal="center" vertical="top"/>
    </xf>
    <xf numFmtId="0" fontId="3" fillId="6" borderId="20" xfId="0" applyFont="1" applyFill="1" applyBorder="1" applyAlignment="1">
      <alignment horizontal="left" vertical="top" wrapText="1"/>
    </xf>
    <xf numFmtId="0" fontId="3" fillId="6" borderId="16" xfId="0" applyFont="1" applyFill="1" applyBorder="1" applyAlignment="1">
      <alignment horizontal="left" vertical="top" wrapText="1"/>
    </xf>
    <xf numFmtId="49" fontId="5" fillId="6" borderId="16" xfId="0" applyNumberFormat="1" applyFont="1" applyFill="1" applyBorder="1" applyAlignment="1">
      <alignment horizontal="center" vertical="top"/>
    </xf>
    <xf numFmtId="0" fontId="3" fillId="6" borderId="20" xfId="0" applyFont="1" applyFill="1" applyBorder="1" applyAlignment="1">
      <alignment horizontal="center" vertical="center" textRotation="90" wrapText="1"/>
    </xf>
    <xf numFmtId="0" fontId="3" fillId="6" borderId="16" xfId="0" applyFont="1" applyFill="1" applyBorder="1" applyAlignment="1">
      <alignment horizontal="center" vertical="center" textRotation="90" wrapText="1"/>
    </xf>
    <xf numFmtId="0" fontId="3" fillId="6" borderId="32" xfId="0" applyFont="1" applyFill="1" applyBorder="1" applyAlignment="1">
      <alignment horizontal="center" vertical="center" textRotation="90" wrapText="1"/>
    </xf>
    <xf numFmtId="49" fontId="5" fillId="10" borderId="10" xfId="0" applyNumberFormat="1" applyFont="1" applyFill="1" applyBorder="1" applyAlignment="1">
      <alignment horizontal="center" vertical="top"/>
    </xf>
    <xf numFmtId="49" fontId="5" fillId="3" borderId="16" xfId="0" applyNumberFormat="1" applyFont="1" applyFill="1" applyBorder="1" applyAlignment="1">
      <alignment horizontal="center" vertical="top"/>
    </xf>
    <xf numFmtId="0" fontId="3" fillId="6" borderId="32" xfId="0" applyFont="1" applyFill="1" applyBorder="1" applyAlignment="1">
      <alignment horizontal="left" vertical="top" wrapText="1"/>
    </xf>
    <xf numFmtId="49" fontId="5" fillId="6" borderId="18" xfId="0" applyNumberFormat="1" applyFont="1" applyFill="1" applyBorder="1" applyAlignment="1">
      <alignment horizontal="center" vertical="top" wrapText="1"/>
    </xf>
    <xf numFmtId="0" fontId="3" fillId="6" borderId="30" xfId="0" applyFont="1" applyFill="1" applyBorder="1" applyAlignment="1">
      <alignment horizontal="left" vertical="top" wrapText="1"/>
    </xf>
    <xf numFmtId="0" fontId="3" fillId="6" borderId="10" xfId="0" applyFont="1" applyFill="1" applyBorder="1" applyAlignment="1">
      <alignment vertical="top" wrapText="1"/>
    </xf>
    <xf numFmtId="49" fontId="5" fillId="6" borderId="31"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0" fontId="3" fillId="6" borderId="48" xfId="0" applyFont="1" applyFill="1" applyBorder="1" applyAlignment="1">
      <alignment horizontal="left" vertical="top" wrapText="1"/>
    </xf>
    <xf numFmtId="0" fontId="3" fillId="6" borderId="9"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10" xfId="1" applyFont="1" applyFill="1" applyBorder="1" applyAlignment="1">
      <alignment vertical="top" wrapText="1"/>
    </xf>
    <xf numFmtId="0" fontId="3" fillId="6" borderId="37" xfId="0" applyFont="1" applyFill="1" applyBorder="1" applyAlignment="1">
      <alignment horizontal="center" vertical="center" textRotation="90" wrapText="1"/>
    </xf>
    <xf numFmtId="0" fontId="3" fillId="6" borderId="19" xfId="0" applyFont="1" applyFill="1" applyBorder="1" applyAlignment="1">
      <alignment horizontal="center" vertical="center" textRotation="90" wrapText="1"/>
    </xf>
    <xf numFmtId="49" fontId="5" fillId="10" borderId="8" xfId="0" applyNumberFormat="1" applyFont="1" applyFill="1" applyBorder="1" applyAlignment="1">
      <alignment horizontal="center" vertical="top"/>
    </xf>
    <xf numFmtId="49" fontId="5" fillId="3" borderId="45" xfId="0" applyNumberFormat="1" applyFont="1" applyFill="1" applyBorder="1" applyAlignment="1">
      <alignment horizontal="center" vertical="top"/>
    </xf>
    <xf numFmtId="49" fontId="5" fillId="6" borderId="27" xfId="0" applyNumberFormat="1" applyFont="1" applyFill="1" applyBorder="1" applyAlignment="1">
      <alignment horizontal="center" vertical="top"/>
    </xf>
    <xf numFmtId="0" fontId="3" fillId="6" borderId="43" xfId="0" applyFont="1" applyFill="1" applyBorder="1" applyAlignment="1">
      <alignment horizontal="left" vertical="top" wrapText="1"/>
    </xf>
    <xf numFmtId="49" fontId="5" fillId="10" borderId="11" xfId="0" applyNumberFormat="1" applyFont="1" applyFill="1" applyBorder="1" applyAlignment="1">
      <alignment horizontal="center" vertical="top"/>
    </xf>
    <xf numFmtId="49" fontId="5" fillId="3" borderId="57"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49" fontId="5" fillId="6" borderId="24" xfId="0" applyNumberFormat="1" applyFont="1" applyFill="1" applyBorder="1" applyAlignment="1">
      <alignment horizontal="center" vertical="top"/>
    </xf>
    <xf numFmtId="0" fontId="5" fillId="6" borderId="16" xfId="0" applyFont="1" applyFill="1" applyBorder="1" applyAlignment="1">
      <alignment horizontal="left" vertical="top" wrapText="1"/>
    </xf>
    <xf numFmtId="49" fontId="5" fillId="6" borderId="16" xfId="0" applyNumberFormat="1" applyFont="1" applyFill="1" applyBorder="1" applyAlignment="1">
      <alignment horizontal="center" vertical="top" wrapText="1"/>
    </xf>
    <xf numFmtId="0" fontId="3" fillId="6" borderId="10" xfId="0" applyFont="1" applyFill="1" applyBorder="1" applyAlignment="1">
      <alignment horizontal="left" vertical="top" wrapText="1"/>
    </xf>
    <xf numFmtId="0" fontId="3" fillId="6" borderId="29" xfId="0" applyFont="1" applyFill="1" applyBorder="1" applyAlignment="1">
      <alignment horizontal="left" vertical="top" wrapText="1"/>
    </xf>
    <xf numFmtId="0" fontId="3" fillId="6" borderId="16" xfId="0" applyFont="1" applyFill="1" applyBorder="1" applyAlignment="1">
      <alignment vertical="top" wrapText="1"/>
    </xf>
    <xf numFmtId="0" fontId="7" fillId="6" borderId="16" xfId="0" applyFont="1" applyFill="1" applyBorder="1" applyAlignment="1">
      <alignment vertical="top" wrapText="1"/>
    </xf>
    <xf numFmtId="165" fontId="5" fillId="8" borderId="68" xfId="0" applyNumberFormat="1" applyFont="1" applyFill="1" applyBorder="1" applyAlignment="1">
      <alignment horizontal="center" vertical="top" wrapText="1"/>
    </xf>
    <xf numFmtId="165" fontId="3" fillId="6" borderId="68" xfId="0" applyNumberFormat="1" applyFont="1" applyFill="1" applyBorder="1" applyAlignment="1">
      <alignment horizontal="center" vertical="top" wrapText="1"/>
    </xf>
    <xf numFmtId="165" fontId="3" fillId="0" borderId="68" xfId="0" applyNumberFormat="1" applyFont="1" applyBorder="1" applyAlignment="1">
      <alignment horizontal="center" vertical="top"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49" fontId="5" fillId="0" borderId="0" xfId="0" applyNumberFormat="1" applyFont="1" applyFill="1" applyBorder="1" applyAlignment="1">
      <alignment horizontal="center" vertical="top" wrapText="1"/>
    </xf>
    <xf numFmtId="165" fontId="5" fillId="4" borderId="70" xfId="0" applyNumberFormat="1" applyFont="1" applyFill="1" applyBorder="1" applyAlignment="1">
      <alignment horizontal="center" vertical="top" wrapText="1"/>
    </xf>
    <xf numFmtId="165" fontId="3" fillId="8" borderId="68" xfId="0" applyNumberFormat="1" applyFont="1" applyFill="1" applyBorder="1" applyAlignment="1">
      <alignment horizontal="center" vertical="top" wrapText="1"/>
    </xf>
    <xf numFmtId="165" fontId="5" fillId="5" borderId="33" xfId="0" applyNumberFormat="1" applyFont="1" applyFill="1" applyBorder="1" applyAlignment="1">
      <alignment horizontal="center" vertical="top" wrapText="1"/>
    </xf>
    <xf numFmtId="165" fontId="5" fillId="4" borderId="68" xfId="0" applyNumberFormat="1" applyFont="1" applyFill="1" applyBorder="1" applyAlignment="1">
      <alignment horizontal="center" vertical="top" wrapText="1"/>
    </xf>
    <xf numFmtId="0" fontId="3" fillId="6" borderId="43" xfId="1" applyFont="1" applyFill="1" applyBorder="1" applyAlignment="1">
      <alignment vertical="top" wrapText="1"/>
    </xf>
    <xf numFmtId="0" fontId="0" fillId="0" borderId="0" xfId="0" applyAlignment="1">
      <alignment vertical="top" wrapText="1"/>
    </xf>
    <xf numFmtId="49" fontId="5" fillId="6" borderId="48" xfId="0" applyNumberFormat="1" applyFont="1" applyFill="1" applyBorder="1" applyAlignment="1">
      <alignment horizontal="center" vertical="top"/>
    </xf>
    <xf numFmtId="0" fontId="3" fillId="0" borderId="10" xfId="0" applyFont="1" applyFill="1" applyBorder="1" applyAlignment="1">
      <alignment horizontal="left" vertical="top" wrapText="1"/>
    </xf>
    <xf numFmtId="0" fontId="5" fillId="6" borderId="26" xfId="0" applyFont="1" applyFill="1" applyBorder="1" applyAlignment="1">
      <alignment vertical="top" wrapText="1"/>
    </xf>
    <xf numFmtId="0" fontId="5" fillId="6" borderId="16" xfId="0" applyFont="1" applyFill="1" applyBorder="1" applyAlignment="1">
      <alignment horizontal="center" vertical="top" wrapText="1"/>
    </xf>
    <xf numFmtId="0" fontId="5" fillId="0" borderId="0" xfId="0" applyNumberFormat="1" applyFont="1" applyAlignment="1">
      <alignment horizontal="center" vertical="top"/>
    </xf>
    <xf numFmtId="3" fontId="3" fillId="0" borderId="0" xfId="0" applyNumberFormat="1" applyFont="1" applyAlignment="1">
      <alignment horizontal="left" vertical="top" wrapText="1"/>
    </xf>
    <xf numFmtId="165" fontId="3" fillId="0" borderId="68" xfId="0" applyNumberFormat="1" applyFont="1" applyBorder="1" applyAlignment="1">
      <alignment horizontal="center" vertical="top" wrapText="1"/>
    </xf>
    <xf numFmtId="165" fontId="3" fillId="8" borderId="68" xfId="0" applyNumberFormat="1" applyFont="1" applyFill="1" applyBorder="1" applyAlignment="1">
      <alignment horizontal="center" vertical="top" wrapText="1"/>
    </xf>
    <xf numFmtId="165" fontId="5" fillId="8" borderId="68" xfId="0" applyNumberFormat="1" applyFont="1" applyFill="1" applyBorder="1" applyAlignment="1">
      <alignment horizontal="center" vertical="top" wrapText="1"/>
    </xf>
    <xf numFmtId="0" fontId="3" fillId="6" borderId="10" xfId="0" applyFont="1" applyFill="1" applyBorder="1" applyAlignment="1">
      <alignment vertical="top" wrapText="1"/>
    </xf>
    <xf numFmtId="0" fontId="3" fillId="6" borderId="43" xfId="0" applyFont="1" applyFill="1" applyBorder="1" applyAlignment="1">
      <alignment horizontal="left" vertical="top" wrapText="1"/>
    </xf>
    <xf numFmtId="0" fontId="3" fillId="6" borderId="29" xfId="0" applyFont="1" applyFill="1" applyBorder="1" applyAlignment="1">
      <alignment horizontal="left" vertical="top" wrapText="1"/>
    </xf>
    <xf numFmtId="49" fontId="5" fillId="6" borderId="18"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3" fillId="6" borderId="43" xfId="0" applyFont="1" applyFill="1" applyBorder="1" applyAlignment="1">
      <alignment vertical="top" wrapText="1"/>
    </xf>
    <xf numFmtId="0" fontId="3" fillId="6" borderId="48" xfId="0" applyFont="1" applyFill="1" applyBorder="1" applyAlignment="1">
      <alignment horizontal="left" vertical="top" wrapText="1"/>
    </xf>
    <xf numFmtId="49" fontId="5" fillId="6" borderId="31" xfId="0" applyNumberFormat="1" applyFont="1" applyFill="1" applyBorder="1" applyAlignment="1">
      <alignment horizontal="center" vertical="top"/>
    </xf>
    <xf numFmtId="0" fontId="3" fillId="6" borderId="37" xfId="0" applyFont="1" applyFill="1" applyBorder="1" applyAlignment="1">
      <alignment horizontal="center" vertical="center" textRotation="90" wrapText="1"/>
    </xf>
    <xf numFmtId="49" fontId="5" fillId="6" borderId="48" xfId="0" applyNumberFormat="1" applyFont="1" applyFill="1" applyBorder="1" applyAlignment="1">
      <alignment horizontal="center" vertical="top"/>
    </xf>
    <xf numFmtId="165" fontId="3" fillId="6" borderId="63" xfId="0" applyNumberFormat="1" applyFont="1" applyFill="1" applyBorder="1" applyAlignment="1">
      <alignment horizontal="center" vertical="top" wrapText="1"/>
    </xf>
    <xf numFmtId="165" fontId="3" fillId="0" borderId="53" xfId="1" applyNumberFormat="1" applyFont="1" applyFill="1" applyBorder="1" applyAlignment="1">
      <alignment horizontal="center" vertical="top"/>
    </xf>
    <xf numFmtId="165" fontId="3" fillId="2" borderId="38" xfId="0" applyNumberFormat="1" applyFont="1" applyFill="1" applyBorder="1" applyAlignment="1">
      <alignment horizontal="right" vertical="top"/>
    </xf>
    <xf numFmtId="3" fontId="27" fillId="0" borderId="27" xfId="0" applyNumberFormat="1" applyFont="1" applyBorder="1" applyAlignment="1">
      <alignment vertical="top"/>
    </xf>
    <xf numFmtId="3" fontId="27" fillId="6" borderId="18" xfId="0" applyNumberFormat="1" applyFont="1" applyFill="1" applyBorder="1" applyAlignment="1">
      <alignment horizontal="center" vertical="top"/>
    </xf>
    <xf numFmtId="0" fontId="3" fillId="0" borderId="66" xfId="0" applyFont="1" applyBorder="1" applyAlignment="1">
      <alignment horizontal="center" vertical="center" textRotation="90" wrapText="1"/>
    </xf>
    <xf numFmtId="3" fontId="27" fillId="0" borderId="25" xfId="0" applyNumberFormat="1" applyFont="1" applyBorder="1" applyAlignment="1">
      <alignment vertical="top"/>
    </xf>
    <xf numFmtId="3" fontId="3" fillId="6" borderId="0" xfId="1" applyNumberFormat="1" applyFont="1" applyFill="1" applyBorder="1" applyAlignment="1">
      <alignment horizontal="center" vertical="top"/>
    </xf>
    <xf numFmtId="1" fontId="3" fillId="6" borderId="0" xfId="1" applyNumberFormat="1" applyFont="1" applyFill="1" applyBorder="1" applyAlignment="1">
      <alignment horizontal="center" vertical="top" wrapText="1"/>
    </xf>
    <xf numFmtId="0" fontId="3" fillId="12" borderId="0" xfId="0" applyFont="1" applyFill="1" applyBorder="1" applyAlignment="1">
      <alignment horizontal="center" vertical="top" wrapText="1"/>
    </xf>
    <xf numFmtId="3" fontId="3" fillId="0" borderId="40" xfId="0" applyNumberFormat="1" applyFont="1" applyFill="1" applyBorder="1" applyAlignment="1">
      <alignment horizontal="center" vertical="top" wrapText="1"/>
    </xf>
    <xf numFmtId="3" fontId="3" fillId="0" borderId="104" xfId="0" applyNumberFormat="1" applyFont="1" applyFill="1" applyBorder="1" applyAlignment="1">
      <alignment horizontal="center" vertical="top" wrapText="1"/>
    </xf>
    <xf numFmtId="3" fontId="3" fillId="6" borderId="47" xfId="0" applyNumberFormat="1" applyFont="1" applyFill="1" applyBorder="1" applyAlignment="1">
      <alignment horizontal="center" vertical="top" wrapText="1"/>
    </xf>
    <xf numFmtId="3" fontId="3" fillId="6" borderId="40" xfId="0" applyNumberFormat="1" applyFont="1" applyFill="1" applyBorder="1" applyAlignment="1">
      <alignment horizontal="center" vertical="top"/>
    </xf>
    <xf numFmtId="3" fontId="3" fillId="6" borderId="28" xfId="0" applyNumberFormat="1" applyFont="1" applyFill="1" applyBorder="1" applyAlignment="1">
      <alignment horizontal="center" vertical="top" wrapText="1"/>
    </xf>
    <xf numFmtId="165" fontId="3" fillId="6" borderId="47" xfId="0" applyNumberFormat="1" applyFont="1" applyFill="1" applyBorder="1" applyAlignment="1">
      <alignment horizontal="center" vertical="top" wrapText="1"/>
    </xf>
    <xf numFmtId="1" fontId="3" fillId="0" borderId="104" xfId="0" applyNumberFormat="1" applyFont="1" applyFill="1" applyBorder="1" applyAlignment="1">
      <alignment horizontal="center" vertical="top" wrapText="1"/>
    </xf>
    <xf numFmtId="165" fontId="3" fillId="6" borderId="39" xfId="0" applyNumberFormat="1" applyFont="1" applyFill="1" applyBorder="1" applyAlignment="1">
      <alignment horizontal="center" vertical="top" wrapText="1"/>
    </xf>
    <xf numFmtId="165" fontId="3" fillId="0" borderId="47" xfId="0" applyNumberFormat="1" applyFont="1" applyFill="1" applyBorder="1" applyAlignment="1">
      <alignment horizontal="center" vertical="top" wrapText="1"/>
    </xf>
    <xf numFmtId="3" fontId="3" fillId="6" borderId="109" xfId="1" applyNumberFormat="1" applyFont="1" applyFill="1" applyBorder="1" applyAlignment="1">
      <alignment horizontal="center" vertical="top"/>
    </xf>
    <xf numFmtId="3" fontId="3" fillId="6" borderId="102" xfId="1" applyNumberFormat="1" applyFont="1" applyFill="1" applyBorder="1" applyAlignment="1">
      <alignment horizontal="center" vertical="top"/>
    </xf>
    <xf numFmtId="3" fontId="3" fillId="6" borderId="105" xfId="1" applyNumberFormat="1" applyFont="1" applyFill="1" applyBorder="1" applyAlignment="1">
      <alignment horizontal="center" vertical="top"/>
    </xf>
    <xf numFmtId="3" fontId="3" fillId="6" borderId="104" xfId="1" applyNumberFormat="1" applyFont="1" applyFill="1" applyBorder="1" applyAlignment="1">
      <alignment horizontal="center" vertical="top"/>
    </xf>
    <xf numFmtId="3" fontId="3" fillId="6" borderId="108" xfId="1" applyNumberFormat="1" applyFont="1" applyFill="1" applyBorder="1" applyAlignment="1">
      <alignment horizontal="center" vertical="top"/>
    </xf>
    <xf numFmtId="3" fontId="3" fillId="6" borderId="102" xfId="1" applyNumberFormat="1" applyFont="1" applyFill="1" applyBorder="1" applyAlignment="1">
      <alignment horizontal="center" vertical="top" wrapText="1"/>
    </xf>
    <xf numFmtId="3" fontId="3" fillId="6" borderId="104" xfId="1" applyNumberFormat="1" applyFont="1" applyFill="1" applyBorder="1" applyAlignment="1">
      <alignment horizontal="center" vertical="top" wrapText="1"/>
    </xf>
    <xf numFmtId="1" fontId="3" fillId="6" borderId="104" xfId="0" applyNumberFormat="1" applyFont="1" applyFill="1" applyBorder="1" applyAlignment="1">
      <alignment horizontal="center" vertical="top" wrapText="1"/>
    </xf>
    <xf numFmtId="1" fontId="3" fillId="6" borderId="102" xfId="0" applyNumberFormat="1" applyFont="1" applyFill="1" applyBorder="1" applyAlignment="1">
      <alignment horizontal="center" vertical="top" wrapText="1"/>
    </xf>
    <xf numFmtId="3" fontId="21" fillId="6" borderId="47" xfId="1" applyNumberFormat="1" applyFont="1" applyFill="1" applyBorder="1" applyAlignment="1">
      <alignment horizontal="center" vertical="top" wrapText="1"/>
    </xf>
    <xf numFmtId="3" fontId="3" fillId="6" borderId="40" xfId="0" applyNumberFormat="1" applyFont="1" applyFill="1" applyBorder="1" applyAlignment="1">
      <alignment horizontal="center" vertical="top" wrapText="1"/>
    </xf>
    <xf numFmtId="164" fontId="2" fillId="6" borderId="40" xfId="0" applyNumberFormat="1" applyFont="1" applyFill="1" applyBorder="1" applyAlignment="1">
      <alignment horizontal="center" vertical="center" wrapText="1"/>
    </xf>
    <xf numFmtId="3" fontId="5" fillId="6" borderId="45" xfId="0" applyNumberFormat="1" applyFont="1" applyFill="1" applyBorder="1" applyAlignment="1">
      <alignment horizontal="center" vertical="top" wrapText="1"/>
    </xf>
    <xf numFmtId="0" fontId="22" fillId="0" borderId="0" xfId="0" applyFont="1" applyFill="1"/>
    <xf numFmtId="0" fontId="4" fillId="0" borderId="0" xfId="0" applyFont="1" applyAlignment="1">
      <alignment horizontal="left" vertical="top" wrapText="1"/>
    </xf>
    <xf numFmtId="0" fontId="0" fillId="0" borderId="0" xfId="0" applyAlignment="1">
      <alignment horizontal="left" vertical="top"/>
    </xf>
    <xf numFmtId="0" fontId="5" fillId="0" borderId="0" xfId="0" applyFont="1" applyBorder="1" applyAlignment="1">
      <alignment horizontal="right" vertical="top"/>
    </xf>
    <xf numFmtId="4" fontId="3" fillId="2" borderId="46" xfId="0" applyNumberFormat="1" applyFont="1" applyFill="1" applyBorder="1" applyAlignment="1">
      <alignment horizontal="center" vertical="top"/>
    </xf>
    <xf numFmtId="3" fontId="3" fillId="0" borderId="100" xfId="0" applyNumberFormat="1" applyFont="1" applyFill="1" applyBorder="1" applyAlignment="1">
      <alignment horizontal="center" vertical="top" wrapText="1"/>
    </xf>
    <xf numFmtId="3" fontId="3" fillId="0" borderId="96" xfId="0" applyNumberFormat="1" applyFont="1" applyFill="1" applyBorder="1" applyAlignment="1">
      <alignment horizontal="center" vertical="top" wrapText="1"/>
    </xf>
    <xf numFmtId="49" fontId="3" fillId="6" borderId="100" xfId="0" applyNumberFormat="1" applyFont="1" applyFill="1" applyBorder="1" applyAlignment="1">
      <alignment horizontal="center" vertical="top" wrapText="1"/>
    </xf>
    <xf numFmtId="1" fontId="3" fillId="6" borderId="88" xfId="0" applyNumberFormat="1" applyFont="1" applyFill="1" applyBorder="1" applyAlignment="1">
      <alignment horizontal="center" vertical="top" wrapText="1"/>
    </xf>
    <xf numFmtId="3" fontId="3" fillId="0" borderId="47" xfId="0" applyNumberFormat="1" applyFont="1" applyFill="1" applyBorder="1" applyAlignment="1">
      <alignment horizontal="center" vertical="top"/>
    </xf>
    <xf numFmtId="3" fontId="3" fillId="2" borderId="48" xfId="0" applyNumberFormat="1" applyFont="1" applyFill="1" applyBorder="1" applyAlignment="1">
      <alignment horizontal="center" vertical="top"/>
    </xf>
    <xf numFmtId="3" fontId="3" fillId="0" borderId="30" xfId="0" applyNumberFormat="1" applyFont="1" applyFill="1" applyBorder="1" applyAlignment="1">
      <alignment horizontal="center" vertical="top"/>
    </xf>
    <xf numFmtId="3" fontId="3" fillId="2" borderId="40" xfId="0" applyNumberFormat="1" applyFont="1" applyFill="1" applyBorder="1" applyAlignment="1">
      <alignment horizontal="center" vertical="top"/>
    </xf>
    <xf numFmtId="165" fontId="3" fillId="6" borderId="18" xfId="0" applyNumberFormat="1" applyFont="1" applyFill="1" applyBorder="1" applyAlignment="1">
      <alignment horizontal="center" vertical="top" wrapText="1"/>
    </xf>
    <xf numFmtId="3" fontId="3" fillId="6" borderId="18" xfId="1" applyNumberFormat="1" applyFont="1" applyFill="1" applyBorder="1" applyAlignment="1">
      <alignment horizontal="center" vertical="top"/>
    </xf>
    <xf numFmtId="1" fontId="3" fillId="6" borderId="18" xfId="1" applyNumberFormat="1" applyFont="1" applyFill="1" applyBorder="1" applyAlignment="1">
      <alignment horizontal="center" vertical="top" wrapText="1"/>
    </xf>
    <xf numFmtId="0" fontId="3" fillId="12" borderId="18" xfId="0" applyFont="1" applyFill="1" applyBorder="1" applyAlignment="1">
      <alignment horizontal="center" vertical="top" wrapText="1"/>
    </xf>
    <xf numFmtId="165" fontId="3" fillId="0" borderId="38" xfId="0" applyNumberFormat="1" applyFont="1" applyFill="1" applyBorder="1" applyAlignment="1">
      <alignment horizontal="center" vertical="top"/>
    </xf>
    <xf numFmtId="165" fontId="3" fillId="0" borderId="16" xfId="0" applyNumberFormat="1" applyFont="1" applyFill="1" applyBorder="1" applyAlignment="1">
      <alignment horizontal="center" vertical="top"/>
    </xf>
    <xf numFmtId="165" fontId="16" fillId="6" borderId="32" xfId="0" applyNumberFormat="1" applyFont="1" applyFill="1" applyBorder="1" applyAlignment="1">
      <alignment horizontal="center" vertical="top"/>
    </xf>
    <xf numFmtId="0" fontId="3" fillId="6" borderId="63" xfId="0" applyFont="1" applyFill="1" applyBorder="1" applyAlignment="1">
      <alignment horizontal="center" vertical="top"/>
    </xf>
    <xf numFmtId="165" fontId="3" fillId="6" borderId="16" xfId="0" applyNumberFormat="1" applyFont="1" applyFill="1" applyBorder="1" applyAlignment="1">
      <alignment horizontal="right" vertical="top"/>
    </xf>
    <xf numFmtId="165" fontId="3" fillId="6" borderId="16" xfId="0" applyNumberFormat="1" applyFont="1" applyFill="1" applyBorder="1" applyAlignment="1">
      <alignment horizontal="center" vertical="top"/>
    </xf>
    <xf numFmtId="0" fontId="3" fillId="6" borderId="37" xfId="0" applyFont="1" applyFill="1" applyBorder="1" applyAlignment="1">
      <alignment horizontal="left" vertical="top" wrapText="1"/>
    </xf>
    <xf numFmtId="0" fontId="3" fillId="6" borderId="28" xfId="0" applyFont="1" applyFill="1" applyBorder="1" applyAlignment="1">
      <alignment vertical="top" wrapText="1"/>
    </xf>
    <xf numFmtId="165" fontId="3" fillId="6" borderId="38" xfId="0" applyNumberFormat="1" applyFont="1" applyFill="1" applyBorder="1" applyAlignment="1">
      <alignment horizontal="center" vertical="top"/>
    </xf>
    <xf numFmtId="0" fontId="3" fillId="6" borderId="38" xfId="0" applyFont="1" applyFill="1" applyBorder="1" applyAlignment="1">
      <alignment horizontal="center" vertical="top"/>
    </xf>
    <xf numFmtId="0" fontId="3" fillId="6" borderId="51" xfId="0" applyFont="1" applyFill="1" applyBorder="1" applyAlignment="1">
      <alignment horizontal="center" vertical="top" wrapText="1"/>
    </xf>
    <xf numFmtId="165" fontId="5" fillId="8" borderId="116" xfId="0" applyNumberFormat="1" applyFont="1" applyFill="1" applyBorder="1" applyAlignment="1">
      <alignment horizontal="center" vertical="top"/>
    </xf>
    <xf numFmtId="0" fontId="26" fillId="0" borderId="43" xfId="0" applyFont="1" applyFill="1" applyBorder="1" applyAlignment="1">
      <alignment horizontal="left" vertical="top" wrapText="1"/>
    </xf>
    <xf numFmtId="0" fontId="3" fillId="0" borderId="84" xfId="0" applyFont="1" applyFill="1" applyBorder="1" applyAlignment="1">
      <alignment horizontal="left" vertical="top" wrapText="1"/>
    </xf>
    <xf numFmtId="0" fontId="3" fillId="6" borderId="89" xfId="1" applyFont="1" applyFill="1" applyBorder="1" applyAlignment="1">
      <alignment vertical="top" wrapText="1"/>
    </xf>
    <xf numFmtId="0" fontId="3" fillId="6" borderId="49" xfId="0" applyFont="1" applyFill="1" applyBorder="1" applyAlignment="1">
      <alignment horizontal="center" vertical="center" textRotation="90" wrapText="1"/>
    </xf>
    <xf numFmtId="0" fontId="3" fillId="6" borderId="18" xfId="0" applyNumberFormat="1" applyFont="1" applyFill="1" applyBorder="1" applyAlignment="1">
      <alignment horizontal="center" vertical="top" wrapText="1"/>
    </xf>
    <xf numFmtId="3" fontId="3" fillId="0" borderId="18" xfId="0" applyNumberFormat="1" applyFont="1" applyFill="1" applyBorder="1" applyAlignment="1">
      <alignment horizontal="center" vertical="top"/>
    </xf>
    <xf numFmtId="1" fontId="3" fillId="0" borderId="18" xfId="0" applyNumberFormat="1" applyFont="1" applyFill="1" applyBorder="1" applyAlignment="1">
      <alignment horizontal="center" vertical="top" wrapText="1"/>
    </xf>
    <xf numFmtId="3" fontId="3" fillId="6" borderId="1" xfId="1" applyNumberFormat="1" applyFont="1" applyFill="1" applyBorder="1" applyAlignment="1">
      <alignment horizontal="center" vertical="top"/>
    </xf>
    <xf numFmtId="3" fontId="3" fillId="6" borderId="18" xfId="1" applyNumberFormat="1" applyFont="1" applyFill="1" applyBorder="1" applyAlignment="1">
      <alignment horizontal="center" vertical="top" wrapText="1"/>
    </xf>
    <xf numFmtId="3" fontId="3" fillId="6" borderId="79" xfId="0" applyNumberFormat="1" applyFont="1" applyFill="1" applyBorder="1" applyAlignment="1">
      <alignment horizontal="center" vertical="top" wrapText="1"/>
    </xf>
    <xf numFmtId="165" fontId="16" fillId="6" borderId="31" xfId="0" applyNumberFormat="1" applyFont="1" applyFill="1" applyBorder="1" applyAlignment="1">
      <alignment horizontal="center" vertical="top"/>
    </xf>
    <xf numFmtId="0" fontId="3" fillId="6" borderId="30" xfId="0" applyFont="1" applyFill="1" applyBorder="1" applyAlignment="1">
      <alignment horizontal="center" vertical="center"/>
    </xf>
    <xf numFmtId="0" fontId="3" fillId="6" borderId="48" xfId="0" applyFont="1" applyFill="1" applyBorder="1" applyAlignment="1">
      <alignment horizontal="center" vertical="center"/>
    </xf>
    <xf numFmtId="0" fontId="3" fillId="0" borderId="46" xfId="0" applyFont="1" applyFill="1" applyBorder="1" applyAlignment="1">
      <alignment horizontal="center" vertical="top"/>
    </xf>
    <xf numFmtId="0" fontId="3" fillId="6" borderId="77" xfId="0" applyFont="1" applyFill="1" applyBorder="1" applyAlignment="1">
      <alignment horizontal="center" vertical="center"/>
    </xf>
    <xf numFmtId="0" fontId="3" fillId="6" borderId="96" xfId="0" applyFont="1" applyFill="1" applyBorder="1" applyAlignment="1">
      <alignment horizontal="center" vertical="center"/>
    </xf>
    <xf numFmtId="165" fontId="3" fillId="6" borderId="63" xfId="0" applyNumberFormat="1" applyFont="1" applyFill="1" applyBorder="1" applyAlignment="1">
      <alignment horizontal="right" vertical="center"/>
    </xf>
    <xf numFmtId="165" fontId="3" fillId="0" borderId="55" xfId="0" applyNumberFormat="1" applyFont="1" applyFill="1" applyBorder="1" applyAlignment="1">
      <alignment horizontal="center" vertical="center"/>
    </xf>
    <xf numFmtId="165" fontId="3" fillId="6" borderId="53" xfId="0" applyNumberFormat="1" applyFont="1" applyFill="1" applyBorder="1" applyAlignment="1">
      <alignment horizontal="right" vertical="center"/>
    </xf>
    <xf numFmtId="165" fontId="3" fillId="0" borderId="50" xfId="0" applyNumberFormat="1" applyFont="1" applyFill="1" applyBorder="1" applyAlignment="1">
      <alignment horizontal="center" vertical="center"/>
    </xf>
    <xf numFmtId="165" fontId="3" fillId="6" borderId="32" xfId="0" applyNumberFormat="1" applyFont="1" applyFill="1" applyBorder="1" applyAlignment="1">
      <alignment horizontal="right" vertical="center"/>
    </xf>
    <xf numFmtId="165" fontId="3" fillId="6" borderId="31" xfId="0" applyNumberFormat="1" applyFont="1" applyFill="1" applyBorder="1" applyAlignment="1">
      <alignment horizontal="center" vertical="center"/>
    </xf>
    <xf numFmtId="165" fontId="3" fillId="0" borderId="47" xfId="0" applyNumberFormat="1" applyFont="1" applyFill="1" applyBorder="1" applyAlignment="1">
      <alignment horizontal="center" vertical="top"/>
    </xf>
    <xf numFmtId="165" fontId="3" fillId="2" borderId="39" xfId="0" applyNumberFormat="1" applyFont="1" applyFill="1" applyBorder="1" applyAlignment="1">
      <alignment horizontal="center" vertical="top"/>
    </xf>
    <xf numFmtId="165" fontId="3" fillId="2" borderId="0" xfId="0" applyNumberFormat="1" applyFont="1" applyFill="1" applyBorder="1" applyAlignment="1">
      <alignment horizontal="center" vertical="top"/>
    </xf>
    <xf numFmtId="165" fontId="3" fillId="2" borderId="47" xfId="0" applyNumberFormat="1" applyFont="1" applyFill="1" applyBorder="1" applyAlignment="1">
      <alignment horizontal="right" vertical="top"/>
    </xf>
    <xf numFmtId="165" fontId="3" fillId="0" borderId="47" xfId="1" applyNumberFormat="1" applyFont="1" applyFill="1" applyBorder="1" applyAlignment="1">
      <alignment horizontal="center" vertical="top"/>
    </xf>
    <xf numFmtId="165" fontId="3" fillId="2" borderId="0" xfId="0" applyNumberFormat="1" applyFont="1" applyFill="1" applyBorder="1" applyAlignment="1">
      <alignment horizontal="right" vertical="top"/>
    </xf>
    <xf numFmtId="165" fontId="3" fillId="2" borderId="26" xfId="0" applyNumberFormat="1" applyFont="1" applyFill="1" applyBorder="1" applyAlignment="1">
      <alignment horizontal="center" vertical="top"/>
    </xf>
    <xf numFmtId="165" fontId="3" fillId="2" borderId="16" xfId="0" applyNumberFormat="1" applyFont="1" applyFill="1" applyBorder="1" applyAlignment="1">
      <alignment horizontal="center" vertical="top"/>
    </xf>
    <xf numFmtId="165" fontId="3" fillId="2" borderId="32" xfId="0" applyNumberFormat="1" applyFont="1" applyFill="1" applyBorder="1" applyAlignment="1">
      <alignment horizontal="right" vertical="top"/>
    </xf>
    <xf numFmtId="165" fontId="3" fillId="0" borderId="32" xfId="1" applyNumberFormat="1" applyFont="1" applyFill="1" applyBorder="1" applyAlignment="1">
      <alignment horizontal="center" vertical="top"/>
    </xf>
    <xf numFmtId="165" fontId="3" fillId="2" borderId="16" xfId="0" applyNumberFormat="1" applyFont="1" applyFill="1" applyBorder="1" applyAlignment="1">
      <alignment horizontal="right" vertical="top"/>
    </xf>
    <xf numFmtId="165" fontId="3" fillId="0" borderId="32" xfId="0" applyNumberFormat="1" applyFont="1" applyFill="1" applyBorder="1" applyAlignment="1">
      <alignment horizontal="center" vertical="top"/>
    </xf>
    <xf numFmtId="165" fontId="3" fillId="0" borderId="63" xfId="0" applyNumberFormat="1" applyFont="1" applyFill="1" applyBorder="1" applyAlignment="1">
      <alignment horizontal="center" vertical="top"/>
    </xf>
    <xf numFmtId="165" fontId="3" fillId="6" borderId="48" xfId="0" applyNumberFormat="1" applyFont="1" applyFill="1" applyBorder="1" applyAlignment="1">
      <alignment vertical="top"/>
    </xf>
    <xf numFmtId="165" fontId="3" fillId="6" borderId="30" xfId="0" applyNumberFormat="1" applyFont="1" applyFill="1" applyBorder="1" applyAlignment="1">
      <alignment vertical="top"/>
    </xf>
    <xf numFmtId="0" fontId="3" fillId="0" borderId="48" xfId="0" applyFont="1" applyBorder="1" applyAlignment="1">
      <alignment vertical="top"/>
    </xf>
    <xf numFmtId="0" fontId="3" fillId="6" borderId="48" xfId="0" applyFont="1" applyFill="1" applyBorder="1" applyAlignment="1">
      <alignment vertical="top"/>
    </xf>
    <xf numFmtId="3" fontId="3" fillId="6" borderId="77" xfId="0" applyNumberFormat="1" applyFont="1" applyFill="1" applyBorder="1" applyAlignment="1">
      <alignment horizontal="center" vertical="top"/>
    </xf>
    <xf numFmtId="3" fontId="3" fillId="6" borderId="100" xfId="0" applyNumberFormat="1" applyFont="1" applyFill="1" applyBorder="1" applyAlignment="1">
      <alignment horizontal="center" vertical="top"/>
    </xf>
    <xf numFmtId="3" fontId="3" fillId="6" borderId="88" xfId="0" applyNumberFormat="1" applyFont="1" applyFill="1" applyBorder="1" applyAlignment="1">
      <alignment horizontal="center" vertical="top"/>
    </xf>
    <xf numFmtId="1" fontId="3" fillId="6" borderId="40" xfId="0" applyNumberFormat="1" applyFont="1" applyFill="1" applyBorder="1" applyAlignment="1">
      <alignment horizontal="center" vertical="top" wrapText="1"/>
    </xf>
    <xf numFmtId="3" fontId="3" fillId="0" borderId="39" xfId="0" applyNumberFormat="1" applyFont="1" applyFill="1" applyBorder="1" applyAlignment="1">
      <alignment horizontal="center" vertical="top"/>
    </xf>
    <xf numFmtId="3" fontId="3" fillId="0" borderId="41"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3" fontId="3" fillId="6" borderId="45" xfId="0" applyNumberFormat="1" applyFont="1" applyFill="1" applyBorder="1" applyAlignment="1">
      <alignment horizontal="center" vertical="top"/>
    </xf>
    <xf numFmtId="3" fontId="3" fillId="6" borderId="57" xfId="0" applyNumberFormat="1" applyFont="1" applyFill="1" applyBorder="1" applyAlignment="1">
      <alignment horizontal="center" vertical="top"/>
    </xf>
    <xf numFmtId="165" fontId="11" fillId="6" borderId="63" xfId="0" applyNumberFormat="1" applyFont="1" applyFill="1" applyBorder="1" applyAlignment="1">
      <alignment horizontal="center" vertical="top"/>
    </xf>
    <xf numFmtId="165" fontId="11" fillId="6" borderId="31" xfId="0" applyNumberFormat="1" applyFont="1" applyFill="1" applyBorder="1" applyAlignment="1">
      <alignment horizontal="center" vertical="top"/>
    </xf>
    <xf numFmtId="165" fontId="11" fillId="6" borderId="52" xfId="0" applyNumberFormat="1" applyFont="1" applyFill="1" applyBorder="1" applyAlignment="1">
      <alignment horizontal="center" vertical="top"/>
    </xf>
    <xf numFmtId="165" fontId="11" fillId="6" borderId="53" xfId="0" applyNumberFormat="1" applyFont="1" applyFill="1" applyBorder="1" applyAlignment="1">
      <alignment horizontal="center" vertical="top"/>
    </xf>
    <xf numFmtId="165" fontId="20" fillId="8" borderId="34" xfId="0" applyNumberFormat="1" applyFont="1" applyFill="1" applyBorder="1" applyAlignment="1">
      <alignment horizontal="center" vertical="top"/>
    </xf>
    <xf numFmtId="165" fontId="20" fillId="8" borderId="28" xfId="0" applyNumberFormat="1" applyFont="1" applyFill="1" applyBorder="1" applyAlignment="1">
      <alignment horizontal="center" vertical="top"/>
    </xf>
    <xf numFmtId="165" fontId="11" fillId="6" borderId="32" xfId="0" applyNumberFormat="1" applyFont="1" applyFill="1" applyBorder="1" applyAlignment="1">
      <alignment horizontal="center" vertical="top"/>
    </xf>
    <xf numFmtId="165" fontId="5" fillId="10" borderId="5" xfId="0" applyNumberFormat="1" applyFont="1" applyFill="1" applyBorder="1" applyAlignment="1">
      <alignment horizontal="center" vertical="top"/>
    </xf>
    <xf numFmtId="165" fontId="5" fillId="4" borderId="5" xfId="0" applyNumberFormat="1" applyFont="1" applyFill="1" applyBorder="1" applyAlignment="1">
      <alignment horizontal="center" vertical="top"/>
    </xf>
    <xf numFmtId="0" fontId="3" fillId="0" borderId="117" xfId="0" applyFont="1" applyBorder="1" applyAlignment="1">
      <alignment vertical="top" wrapText="1"/>
    </xf>
    <xf numFmtId="0" fontId="21" fillId="6" borderId="28" xfId="0" applyFont="1" applyFill="1" applyBorder="1" applyAlignment="1">
      <alignment vertical="top" wrapText="1"/>
    </xf>
    <xf numFmtId="0" fontId="3" fillId="6" borderId="39" xfId="0" applyFont="1" applyFill="1" applyBorder="1" applyAlignment="1">
      <alignment vertical="top" wrapText="1"/>
    </xf>
    <xf numFmtId="3" fontId="3" fillId="6" borderId="89" xfId="0" applyNumberFormat="1" applyFont="1" applyFill="1" applyBorder="1" applyAlignment="1">
      <alignment vertical="top" wrapText="1"/>
    </xf>
    <xf numFmtId="165" fontId="5" fillId="4" borderId="70" xfId="0" applyNumberFormat="1" applyFont="1" applyFill="1" applyBorder="1" applyAlignment="1">
      <alignment horizontal="center" vertical="top"/>
    </xf>
    <xf numFmtId="165" fontId="3" fillId="8" borderId="63" xfId="0" applyNumberFormat="1" applyFont="1" applyFill="1" applyBorder="1" applyAlignment="1">
      <alignment horizontal="center" vertical="top"/>
    </xf>
    <xf numFmtId="165" fontId="5" fillId="4" borderId="63" xfId="0" applyNumberFormat="1" applyFont="1" applyFill="1" applyBorder="1" applyAlignment="1">
      <alignment horizontal="center" vertical="top"/>
    </xf>
    <xf numFmtId="165" fontId="5" fillId="5" borderId="33" xfId="0" applyNumberFormat="1" applyFont="1" applyFill="1" applyBorder="1" applyAlignment="1">
      <alignment horizontal="center" vertical="top"/>
    </xf>
    <xf numFmtId="165" fontId="5" fillId="8" borderId="41" xfId="0" applyNumberFormat="1" applyFont="1" applyFill="1" applyBorder="1" applyAlignment="1">
      <alignment horizontal="center" vertical="top" wrapText="1"/>
    </xf>
    <xf numFmtId="165" fontId="3" fillId="0" borderId="47" xfId="0" applyNumberFormat="1" applyFont="1" applyBorder="1" applyAlignment="1">
      <alignment horizontal="center" vertical="top" wrapText="1"/>
    </xf>
    <xf numFmtId="165" fontId="3" fillId="8" borderId="47" xfId="0" applyNumberFormat="1" applyFont="1" applyFill="1" applyBorder="1" applyAlignment="1">
      <alignment horizontal="center" vertical="top" wrapText="1"/>
    </xf>
    <xf numFmtId="165" fontId="5" fillId="4" borderId="59" xfId="0" applyNumberFormat="1" applyFont="1" applyFill="1" applyBorder="1" applyAlignment="1">
      <alignment horizontal="center" vertical="top"/>
    </xf>
    <xf numFmtId="165" fontId="5" fillId="8" borderId="42" xfId="0" applyNumberFormat="1" applyFont="1" applyFill="1" applyBorder="1" applyAlignment="1">
      <alignment horizontal="center" vertical="top" wrapText="1"/>
    </xf>
    <xf numFmtId="165" fontId="3" fillId="0" borderId="53" xfId="0" applyNumberFormat="1" applyFont="1" applyBorder="1" applyAlignment="1">
      <alignment horizontal="center" vertical="top"/>
    </xf>
    <xf numFmtId="165" fontId="3" fillId="8" borderId="53" xfId="0" applyNumberFormat="1" applyFont="1" applyFill="1" applyBorder="1" applyAlignment="1">
      <alignment horizontal="center" vertical="top"/>
    </xf>
    <xf numFmtId="165" fontId="5" fillId="5" borderId="34" xfId="0" applyNumberFormat="1" applyFont="1" applyFill="1" applyBorder="1" applyAlignment="1">
      <alignment horizontal="center" vertical="top"/>
    </xf>
    <xf numFmtId="165" fontId="5" fillId="4" borderId="13" xfId="0" applyNumberFormat="1" applyFont="1" applyFill="1" applyBorder="1" applyAlignment="1">
      <alignment horizontal="center" vertical="top" wrapText="1"/>
    </xf>
    <xf numFmtId="165" fontId="5" fillId="8" borderId="2" xfId="0" applyNumberFormat="1" applyFont="1" applyFill="1" applyBorder="1" applyAlignment="1">
      <alignment horizontal="center" vertical="top" wrapText="1"/>
    </xf>
    <xf numFmtId="165" fontId="3" fillId="6" borderId="2" xfId="0" applyNumberFormat="1" applyFont="1" applyFill="1" applyBorder="1" applyAlignment="1">
      <alignment horizontal="center" vertical="top" wrapText="1"/>
    </xf>
    <xf numFmtId="165" fontId="3" fillId="0" borderId="2" xfId="0" applyNumberFormat="1" applyFont="1" applyBorder="1" applyAlignment="1">
      <alignment horizontal="center" vertical="top" wrapText="1"/>
    </xf>
    <xf numFmtId="165" fontId="3" fillId="8" borderId="2" xfId="0" applyNumberFormat="1" applyFont="1" applyFill="1" applyBorder="1" applyAlignment="1">
      <alignment horizontal="center" vertical="top" wrapText="1"/>
    </xf>
    <xf numFmtId="165" fontId="5" fillId="4" borderId="2" xfId="0" applyNumberFormat="1" applyFont="1" applyFill="1" applyBorder="1" applyAlignment="1">
      <alignment horizontal="center" vertical="top" wrapText="1"/>
    </xf>
    <xf numFmtId="165" fontId="5" fillId="5" borderId="24" xfId="0" applyNumberFormat="1" applyFont="1" applyFill="1" applyBorder="1" applyAlignment="1">
      <alignment horizontal="center" vertical="top" wrapText="1"/>
    </xf>
    <xf numFmtId="165" fontId="5" fillId="4" borderId="13" xfId="0" applyNumberFormat="1" applyFont="1" applyFill="1" applyBorder="1" applyAlignment="1">
      <alignment horizontal="center" vertical="top"/>
    </xf>
    <xf numFmtId="165" fontId="3" fillId="0" borderId="32" xfId="0" applyNumberFormat="1" applyFont="1" applyBorder="1" applyAlignment="1">
      <alignment horizontal="center" vertical="top"/>
    </xf>
    <xf numFmtId="165" fontId="3" fillId="8" borderId="32" xfId="0" applyNumberFormat="1" applyFont="1" applyFill="1" applyBorder="1" applyAlignment="1">
      <alignment horizontal="center" vertical="top"/>
    </xf>
    <xf numFmtId="165" fontId="5" fillId="4" borderId="32" xfId="0" applyNumberFormat="1" applyFont="1" applyFill="1" applyBorder="1" applyAlignment="1">
      <alignment horizontal="center" vertical="top"/>
    </xf>
    <xf numFmtId="165" fontId="5" fillId="5" borderId="24" xfId="0" applyNumberFormat="1" applyFont="1" applyFill="1" applyBorder="1" applyAlignment="1">
      <alignment horizontal="center" vertical="top"/>
    </xf>
    <xf numFmtId="0" fontId="27" fillId="6" borderId="69"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69" xfId="0" applyFont="1" applyFill="1" applyBorder="1" applyAlignment="1">
      <alignment horizontal="center" vertical="center" wrapText="1"/>
    </xf>
    <xf numFmtId="0" fontId="3" fillId="6" borderId="13" xfId="0" applyFont="1" applyFill="1" applyBorder="1" applyAlignment="1">
      <alignment horizontal="center" vertical="center" wrapText="1"/>
    </xf>
    <xf numFmtId="165" fontId="3" fillId="6" borderId="16" xfId="0" applyNumberFormat="1" applyFont="1" applyFill="1" applyBorder="1" applyAlignment="1">
      <alignment horizontal="center" vertical="top"/>
    </xf>
    <xf numFmtId="165" fontId="3" fillId="6" borderId="32" xfId="0" applyNumberFormat="1" applyFont="1" applyFill="1" applyBorder="1" applyAlignment="1">
      <alignment horizontal="center" vertical="top"/>
    </xf>
    <xf numFmtId="0" fontId="3" fillId="6" borderId="37" xfId="0" applyFont="1" applyFill="1" applyBorder="1" applyAlignment="1">
      <alignment vertical="top" wrapText="1"/>
    </xf>
    <xf numFmtId="0" fontId="3" fillId="6" borderId="37" xfId="1" applyFont="1" applyFill="1" applyBorder="1" applyAlignment="1">
      <alignment vertical="top" wrapText="1"/>
    </xf>
    <xf numFmtId="165" fontId="3" fillId="6" borderId="38" xfId="0" applyNumberFormat="1" applyFont="1" applyFill="1" applyBorder="1" applyAlignment="1">
      <alignment horizontal="center" vertical="top"/>
    </xf>
    <xf numFmtId="165" fontId="3" fillId="6" borderId="63" xfId="0" applyNumberFormat="1" applyFont="1" applyFill="1" applyBorder="1" applyAlignment="1">
      <alignment horizontal="center" vertical="top"/>
    </xf>
    <xf numFmtId="0" fontId="3" fillId="6" borderId="99" xfId="0" applyFont="1" applyFill="1" applyBorder="1" applyAlignment="1">
      <alignment vertical="top" wrapText="1"/>
    </xf>
    <xf numFmtId="0" fontId="3" fillId="6" borderId="65" xfId="0" applyFont="1" applyFill="1" applyBorder="1" applyAlignment="1">
      <alignment vertical="top" wrapText="1"/>
    </xf>
    <xf numFmtId="0" fontId="3" fillId="0" borderId="19" xfId="0" applyFont="1" applyFill="1" applyBorder="1" applyAlignment="1">
      <alignment vertical="top" wrapText="1"/>
    </xf>
    <xf numFmtId="0" fontId="3" fillId="6" borderId="115" xfId="1" applyFont="1" applyFill="1" applyBorder="1" applyAlignment="1">
      <alignment vertical="top" wrapText="1"/>
    </xf>
    <xf numFmtId="0" fontId="3" fillId="6" borderId="99" xfId="1" applyFont="1" applyFill="1" applyBorder="1" applyAlignment="1">
      <alignment vertical="top" wrapText="1"/>
    </xf>
    <xf numFmtId="0" fontId="3" fillId="6" borderId="37" xfId="1" applyFont="1" applyFill="1" applyBorder="1" applyAlignment="1">
      <alignment horizontal="left" vertical="top" wrapText="1"/>
    </xf>
    <xf numFmtId="0" fontId="3" fillId="0" borderId="99" xfId="1" applyFont="1" applyFill="1" applyBorder="1" applyAlignment="1">
      <alignment vertical="top" wrapText="1"/>
    </xf>
    <xf numFmtId="165" fontId="3" fillId="6" borderId="38" xfId="0" applyNumberFormat="1" applyFont="1" applyFill="1" applyBorder="1" applyAlignment="1">
      <alignment horizontal="right" vertical="top"/>
    </xf>
    <xf numFmtId="165" fontId="16" fillId="6" borderId="39" xfId="0" applyNumberFormat="1" applyFont="1" applyFill="1" applyBorder="1" applyAlignment="1">
      <alignment horizontal="center" vertical="top"/>
    </xf>
    <xf numFmtId="165" fontId="16" fillId="6" borderId="16" xfId="0" applyNumberFormat="1" applyFont="1" applyFill="1" applyBorder="1" applyAlignment="1">
      <alignment horizontal="center" vertical="top"/>
    </xf>
    <xf numFmtId="165" fontId="16" fillId="6" borderId="0" xfId="0" applyNumberFormat="1" applyFont="1" applyFill="1" applyBorder="1" applyAlignment="1">
      <alignment horizontal="center" vertical="top"/>
    </xf>
    <xf numFmtId="49" fontId="5" fillId="6" borderId="18" xfId="0" applyNumberFormat="1" applyFont="1" applyFill="1" applyBorder="1" applyAlignment="1">
      <alignment horizontal="center" vertical="top"/>
    </xf>
    <xf numFmtId="0" fontId="3" fillId="6" borderId="10" xfId="0" applyFont="1" applyFill="1" applyBorder="1" applyAlignment="1">
      <alignment vertical="top" wrapText="1"/>
    </xf>
    <xf numFmtId="49" fontId="5" fillId="10" borderId="10" xfId="0" applyNumberFormat="1" applyFont="1" applyFill="1" applyBorder="1" applyAlignment="1">
      <alignment horizontal="center" vertical="top"/>
    </xf>
    <xf numFmtId="49" fontId="5" fillId="3" borderId="16"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3" fillId="0" borderId="10" xfId="0" applyFont="1" applyFill="1" applyBorder="1" applyAlignment="1">
      <alignment horizontal="left" vertical="top" wrapText="1"/>
    </xf>
    <xf numFmtId="49" fontId="5" fillId="6" borderId="48" xfId="0" applyNumberFormat="1" applyFont="1" applyFill="1" applyBorder="1" applyAlignment="1">
      <alignment horizontal="center" vertical="top"/>
    </xf>
    <xf numFmtId="0" fontId="3" fillId="6" borderId="16" xfId="0" applyFont="1" applyFill="1" applyBorder="1" applyAlignment="1">
      <alignment horizontal="center" vertical="center" textRotation="90" wrapText="1"/>
    </xf>
    <xf numFmtId="0" fontId="3" fillId="6" borderId="20" xfId="0" applyFont="1" applyFill="1" applyBorder="1" applyAlignment="1">
      <alignment horizontal="center" vertical="center" textRotation="90" wrapText="1"/>
    </xf>
    <xf numFmtId="0" fontId="3" fillId="6" borderId="32" xfId="0" applyFont="1" applyFill="1" applyBorder="1" applyAlignment="1">
      <alignment horizontal="center" vertical="center" textRotation="90" wrapText="1"/>
    </xf>
    <xf numFmtId="49" fontId="5" fillId="6" borderId="31" xfId="0" applyNumberFormat="1" applyFont="1" applyFill="1" applyBorder="1" applyAlignment="1">
      <alignment horizontal="center" vertical="top"/>
    </xf>
    <xf numFmtId="3" fontId="3" fillId="6" borderId="18"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wrapText="1"/>
    </xf>
    <xf numFmtId="165" fontId="3" fillId="6" borderId="38" xfId="0" applyNumberFormat="1" applyFont="1" applyFill="1" applyBorder="1" applyAlignment="1">
      <alignment horizontal="center" vertical="top"/>
    </xf>
    <xf numFmtId="165" fontId="3" fillId="6" borderId="63" xfId="0" applyNumberFormat="1" applyFont="1" applyFill="1" applyBorder="1" applyAlignment="1">
      <alignment horizontal="center" vertical="top"/>
    </xf>
    <xf numFmtId="0" fontId="3" fillId="6" borderId="49" xfId="0" applyFont="1" applyFill="1" applyBorder="1" applyAlignment="1">
      <alignment horizontal="left" vertical="top" wrapText="1"/>
    </xf>
    <xf numFmtId="0" fontId="3" fillId="6" borderId="19" xfId="0" applyFont="1" applyFill="1" applyBorder="1" applyAlignment="1">
      <alignment horizontal="left" vertical="top" wrapText="1"/>
    </xf>
    <xf numFmtId="165" fontId="3" fillId="6" borderId="16" xfId="0" applyNumberFormat="1" applyFont="1" applyFill="1" applyBorder="1" applyAlignment="1">
      <alignment horizontal="center" vertical="top"/>
    </xf>
    <xf numFmtId="165" fontId="3" fillId="6" borderId="32" xfId="0" applyNumberFormat="1" applyFont="1" applyFill="1" applyBorder="1" applyAlignment="1">
      <alignment horizontal="center" vertical="top"/>
    </xf>
    <xf numFmtId="0" fontId="3" fillId="6" borderId="99" xfId="0" applyFont="1" applyFill="1" applyBorder="1" applyAlignment="1">
      <alignment vertical="top" wrapText="1"/>
    </xf>
    <xf numFmtId="0" fontId="3" fillId="6" borderId="10" xfId="0" applyFont="1" applyFill="1" applyBorder="1" applyAlignment="1">
      <alignment horizontal="left" vertical="top" wrapText="1"/>
    </xf>
    <xf numFmtId="0" fontId="3" fillId="6" borderId="9" xfId="0" applyFont="1" applyFill="1" applyBorder="1" applyAlignment="1">
      <alignment horizontal="center" vertical="top" wrapText="1"/>
    </xf>
    <xf numFmtId="0" fontId="3" fillId="6" borderId="6" xfId="0" applyFont="1" applyFill="1" applyBorder="1" applyAlignment="1">
      <alignment horizontal="center" vertical="top" wrapText="1"/>
    </xf>
    <xf numFmtId="165" fontId="3" fillId="6" borderId="16" xfId="1" applyNumberFormat="1" applyFont="1" applyFill="1" applyBorder="1" applyAlignment="1">
      <alignment horizontal="center" vertical="top" wrapText="1"/>
    </xf>
    <xf numFmtId="165" fontId="3" fillId="6" borderId="0" xfId="1" applyNumberFormat="1" applyFont="1" applyFill="1" applyBorder="1" applyAlignment="1">
      <alignment horizontal="center" vertical="top" wrapText="1"/>
    </xf>
    <xf numFmtId="3" fontId="3" fillId="6" borderId="96" xfId="0" applyNumberFormat="1" applyFont="1" applyFill="1" applyBorder="1" applyAlignment="1">
      <alignment horizontal="center" vertical="top" wrapText="1"/>
    </xf>
    <xf numFmtId="0" fontId="3" fillId="6" borderId="111" xfId="0" applyFont="1" applyFill="1" applyBorder="1" applyAlignment="1">
      <alignment vertical="top" wrapText="1"/>
    </xf>
    <xf numFmtId="165" fontId="28" fillId="8" borderId="24" xfId="0" applyNumberFormat="1" applyFont="1" applyFill="1" applyBorder="1" applyAlignment="1">
      <alignment horizontal="center" vertical="top"/>
    </xf>
    <xf numFmtId="49" fontId="5" fillId="10" borderId="10"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3" fillId="6" borderId="16" xfId="0" applyFont="1" applyFill="1" applyBorder="1" applyAlignment="1">
      <alignment horizontal="center" vertical="center" textRotation="90" wrapText="1"/>
    </xf>
    <xf numFmtId="49" fontId="5" fillId="3" borderId="16" xfId="0" applyNumberFormat="1" applyFont="1" applyFill="1" applyBorder="1" applyAlignment="1">
      <alignment horizontal="center" vertical="top"/>
    </xf>
    <xf numFmtId="49" fontId="5" fillId="6" borderId="18" xfId="0" applyNumberFormat="1" applyFont="1" applyFill="1" applyBorder="1" applyAlignment="1">
      <alignment horizontal="center" vertical="top"/>
    </xf>
    <xf numFmtId="0" fontId="3" fillId="6" borderId="48" xfId="0" applyFont="1" applyFill="1" applyBorder="1" applyAlignment="1">
      <alignment horizontal="left" vertical="top" wrapText="1"/>
    </xf>
    <xf numFmtId="165" fontId="3" fillId="6" borderId="32" xfId="0" applyNumberFormat="1" applyFont="1" applyFill="1" applyBorder="1" applyAlignment="1">
      <alignment horizontal="center" vertical="top"/>
    </xf>
    <xf numFmtId="165" fontId="3" fillId="6" borderId="63" xfId="0" applyNumberFormat="1" applyFont="1" applyFill="1" applyBorder="1" applyAlignment="1">
      <alignment horizontal="center" vertical="top"/>
    </xf>
    <xf numFmtId="3" fontId="3" fillId="6" borderId="18" xfId="0" applyNumberFormat="1" applyFont="1" applyFill="1" applyBorder="1" applyAlignment="1">
      <alignment horizontal="center" vertical="top" wrapText="1"/>
    </xf>
    <xf numFmtId="164" fontId="2" fillId="6" borderId="18" xfId="0" applyNumberFormat="1" applyFont="1" applyFill="1" applyBorder="1" applyAlignment="1">
      <alignment horizontal="center" vertical="center" wrapText="1"/>
    </xf>
    <xf numFmtId="3" fontId="3" fillId="6" borderId="76" xfId="0" applyNumberFormat="1" applyFont="1" applyFill="1" applyBorder="1" applyAlignment="1">
      <alignment horizontal="center" vertical="top" wrapText="1"/>
    </xf>
    <xf numFmtId="49" fontId="29" fillId="6" borderId="76" xfId="0" applyNumberFormat="1" applyFont="1" applyFill="1" applyBorder="1" applyAlignment="1">
      <alignment horizontal="center" vertical="center"/>
    </xf>
    <xf numFmtId="165" fontId="3" fillId="6" borderId="16" xfId="0" applyNumberFormat="1" applyFont="1" applyFill="1" applyBorder="1" applyAlignment="1">
      <alignment horizontal="center" vertical="top"/>
    </xf>
    <xf numFmtId="165" fontId="3" fillId="6" borderId="32" xfId="0" applyNumberFormat="1" applyFont="1" applyFill="1" applyBorder="1" applyAlignment="1">
      <alignment horizontal="center" vertical="top"/>
    </xf>
    <xf numFmtId="165" fontId="3" fillId="6" borderId="38" xfId="0" applyNumberFormat="1" applyFont="1" applyFill="1" applyBorder="1" applyAlignment="1">
      <alignment horizontal="center" vertical="top"/>
    </xf>
    <xf numFmtId="165" fontId="3" fillId="6" borderId="63" xfId="0" applyNumberFormat="1" applyFont="1" applyFill="1" applyBorder="1" applyAlignment="1">
      <alignment horizontal="center" vertical="top"/>
    </xf>
    <xf numFmtId="0" fontId="3" fillId="6" borderId="9" xfId="0" applyFont="1" applyFill="1" applyBorder="1" applyAlignment="1">
      <alignment horizontal="center" vertical="top" wrapText="1"/>
    </xf>
    <xf numFmtId="3" fontId="3" fillId="6" borderId="18" xfId="0" applyNumberFormat="1" applyFont="1" applyFill="1" applyBorder="1" applyAlignment="1">
      <alignment horizontal="left" vertical="top" wrapText="1"/>
    </xf>
    <xf numFmtId="3" fontId="16" fillId="6" borderId="32" xfId="0" applyNumberFormat="1" applyFont="1" applyFill="1" applyBorder="1" applyAlignment="1">
      <alignment horizontal="center" vertical="top" wrapText="1"/>
    </xf>
    <xf numFmtId="0" fontId="0" fillId="0" borderId="0" xfId="0" applyAlignment="1">
      <alignment vertical="top"/>
    </xf>
    <xf numFmtId="0" fontId="3" fillId="6" borderId="29" xfId="0" applyFont="1" applyFill="1" applyBorder="1" applyAlignment="1">
      <alignment horizontal="left" vertical="top" wrapText="1"/>
    </xf>
    <xf numFmtId="49" fontId="5" fillId="10" borderId="10"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0" fontId="3" fillId="6" borderId="37" xfId="0" applyFont="1" applyFill="1" applyBorder="1" applyAlignment="1">
      <alignment horizontal="center" vertical="center" textRotation="90" wrapText="1"/>
    </xf>
    <xf numFmtId="49" fontId="5" fillId="6" borderId="48" xfId="0" applyNumberFormat="1" applyFont="1" applyFill="1" applyBorder="1" applyAlignment="1">
      <alignment horizontal="center" vertical="top"/>
    </xf>
    <xf numFmtId="0" fontId="3" fillId="6" borderId="43" xfId="0" applyFont="1" applyFill="1" applyBorder="1" applyAlignment="1">
      <alignment vertical="top" wrapText="1"/>
    </xf>
    <xf numFmtId="3" fontId="3" fillId="6" borderId="0" xfId="0" applyNumberFormat="1" applyFont="1" applyFill="1" applyBorder="1" applyAlignment="1">
      <alignment horizontal="center" vertical="top" wrapText="1"/>
    </xf>
    <xf numFmtId="165" fontId="3" fillId="6" borderId="38" xfId="0" applyNumberFormat="1" applyFont="1" applyFill="1" applyBorder="1" applyAlignment="1">
      <alignment horizontal="center" vertical="top"/>
    </xf>
    <xf numFmtId="165" fontId="3" fillId="6" borderId="16" xfId="0" applyNumberFormat="1" applyFont="1" applyFill="1" applyBorder="1" applyAlignment="1">
      <alignment horizontal="center" vertical="top"/>
    </xf>
    <xf numFmtId="0" fontId="3" fillId="6" borderId="9" xfId="0" applyFont="1" applyFill="1" applyBorder="1" applyAlignment="1">
      <alignment horizontal="center" vertical="top" wrapText="1"/>
    </xf>
    <xf numFmtId="3" fontId="3" fillId="2" borderId="49" xfId="0" applyNumberFormat="1" applyFont="1" applyFill="1" applyBorder="1" applyAlignment="1">
      <alignment horizontal="center" vertical="top"/>
    </xf>
    <xf numFmtId="3" fontId="3" fillId="2" borderId="32" xfId="0" applyNumberFormat="1" applyFont="1" applyFill="1" applyBorder="1" applyAlignment="1">
      <alignment horizontal="center" vertical="top"/>
    </xf>
    <xf numFmtId="3" fontId="3" fillId="2" borderId="19" xfId="0" applyNumberFormat="1" applyFont="1" applyFill="1" applyBorder="1" applyAlignment="1">
      <alignment horizontal="center" vertical="top"/>
    </xf>
    <xf numFmtId="0" fontId="16" fillId="6" borderId="76" xfId="0" applyFont="1" applyFill="1" applyBorder="1" applyAlignment="1">
      <alignment horizontal="center" vertical="center"/>
    </xf>
    <xf numFmtId="0" fontId="3" fillId="6" borderId="83" xfId="1" applyFont="1" applyFill="1" applyBorder="1" applyAlignment="1">
      <alignment vertical="top" wrapText="1"/>
    </xf>
    <xf numFmtId="3" fontId="3" fillId="6" borderId="87" xfId="0" applyNumberFormat="1" applyFont="1" applyFill="1" applyBorder="1" applyAlignment="1">
      <alignment horizontal="center" vertical="top" wrapText="1"/>
    </xf>
    <xf numFmtId="3" fontId="16" fillId="6" borderId="16" xfId="0" applyNumberFormat="1" applyFont="1" applyFill="1" applyBorder="1" applyAlignment="1">
      <alignment horizontal="center" vertical="top" wrapText="1"/>
    </xf>
    <xf numFmtId="165" fontId="16" fillId="6" borderId="16" xfId="0" applyNumberFormat="1" applyFont="1" applyFill="1" applyBorder="1" applyAlignment="1">
      <alignment horizontal="center" vertical="top" wrapText="1"/>
    </xf>
    <xf numFmtId="165" fontId="16" fillId="6" borderId="0" xfId="0" applyNumberFormat="1" applyFont="1" applyFill="1" applyBorder="1" applyAlignment="1">
      <alignment horizontal="center" vertical="top" wrapText="1"/>
    </xf>
    <xf numFmtId="0" fontId="16" fillId="6" borderId="9" xfId="0" applyFont="1" applyFill="1" applyBorder="1" applyAlignment="1">
      <alignment horizontal="center" vertical="top" wrapText="1"/>
    </xf>
    <xf numFmtId="0" fontId="16" fillId="6" borderId="22" xfId="0" applyFont="1" applyFill="1" applyBorder="1" applyAlignment="1">
      <alignment horizontal="center" vertical="top" wrapText="1"/>
    </xf>
    <xf numFmtId="0" fontId="3" fillId="6" borderId="29" xfId="0" applyFont="1" applyFill="1" applyBorder="1" applyAlignment="1">
      <alignment horizontal="left" vertical="top" wrapText="1"/>
    </xf>
    <xf numFmtId="49" fontId="5" fillId="6" borderId="18" xfId="0" applyNumberFormat="1" applyFont="1" applyFill="1" applyBorder="1" applyAlignment="1">
      <alignment horizontal="center" vertical="top"/>
    </xf>
    <xf numFmtId="49" fontId="3" fillId="6" borderId="32" xfId="0" applyNumberFormat="1" applyFont="1" applyFill="1" applyBorder="1" applyAlignment="1">
      <alignment horizontal="center" vertical="top"/>
    </xf>
    <xf numFmtId="0" fontId="16" fillId="0" borderId="0" xfId="0" applyFont="1" applyFill="1" applyBorder="1" applyAlignment="1">
      <alignment horizontal="left" vertical="top" wrapText="1"/>
    </xf>
    <xf numFmtId="0" fontId="3" fillId="0" borderId="0" xfId="1" applyFont="1" applyBorder="1" applyAlignment="1">
      <alignment horizontal="left" vertical="top"/>
    </xf>
    <xf numFmtId="3" fontId="3" fillId="6" borderId="17" xfId="0" applyNumberFormat="1" applyFont="1" applyFill="1" applyBorder="1" applyAlignment="1">
      <alignment horizontal="left" vertical="top" wrapText="1"/>
    </xf>
    <xf numFmtId="0" fontId="0" fillId="6" borderId="18" xfId="0" applyFill="1" applyBorder="1" applyAlignment="1">
      <alignment horizontal="left" vertical="top" wrapText="1"/>
    </xf>
    <xf numFmtId="49" fontId="5" fillId="0" borderId="0" xfId="0" applyNumberFormat="1" applyFont="1" applyFill="1" applyBorder="1" applyAlignment="1">
      <alignment horizontal="center" vertical="top" wrapText="1"/>
    </xf>
    <xf numFmtId="0" fontId="3" fillId="0" borderId="89" xfId="0" applyFont="1" applyFill="1" applyBorder="1" applyAlignment="1">
      <alignment horizontal="left" vertical="top" wrapText="1"/>
    </xf>
    <xf numFmtId="165" fontId="3" fillId="8" borderId="68" xfId="0" applyNumberFormat="1" applyFont="1" applyFill="1" applyBorder="1" applyAlignment="1">
      <alignment horizontal="center" vertical="top" wrapText="1"/>
    </xf>
    <xf numFmtId="165" fontId="3" fillId="0" borderId="68" xfId="0" applyNumberFormat="1" applyFont="1" applyBorder="1" applyAlignment="1">
      <alignment horizontal="center" vertical="top"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165" fontId="5" fillId="5" borderId="33" xfId="0" applyNumberFormat="1" applyFont="1" applyFill="1" applyBorder="1" applyAlignment="1">
      <alignment horizontal="center" vertical="top" wrapText="1"/>
    </xf>
    <xf numFmtId="3" fontId="5" fillId="0" borderId="70" xfId="0" applyNumberFormat="1" applyFont="1" applyBorder="1" applyAlignment="1">
      <alignment horizontal="center" vertical="center" wrapText="1"/>
    </xf>
    <xf numFmtId="165" fontId="5" fillId="8" borderId="68" xfId="0" applyNumberFormat="1" applyFont="1" applyFill="1" applyBorder="1" applyAlignment="1">
      <alignment horizontal="center" vertical="top" wrapText="1"/>
    </xf>
    <xf numFmtId="165" fontId="3" fillId="6" borderId="68" xfId="0" applyNumberFormat="1" applyFont="1" applyFill="1" applyBorder="1" applyAlignment="1">
      <alignment horizontal="center" vertical="top" wrapText="1"/>
    </xf>
    <xf numFmtId="165" fontId="5" fillId="4" borderId="70" xfId="0" applyNumberFormat="1" applyFont="1" applyFill="1" applyBorder="1" applyAlignment="1">
      <alignment horizontal="center" vertical="top" wrapText="1"/>
    </xf>
    <xf numFmtId="165" fontId="5" fillId="4" borderId="68" xfId="0" applyNumberFormat="1" applyFont="1" applyFill="1" applyBorder="1" applyAlignment="1">
      <alignment horizontal="center" vertical="top" wrapText="1"/>
    </xf>
    <xf numFmtId="165" fontId="3" fillId="0" borderId="22" xfId="0" applyNumberFormat="1" applyFont="1" applyFill="1" applyBorder="1" applyAlignment="1">
      <alignment horizontal="center" vertical="top"/>
    </xf>
    <xf numFmtId="3" fontId="3" fillId="6" borderId="40" xfId="1" applyNumberFormat="1" applyFont="1" applyFill="1" applyBorder="1" applyAlignment="1">
      <alignment horizontal="center" vertical="top"/>
    </xf>
    <xf numFmtId="0" fontId="3" fillId="6" borderId="47" xfId="0" applyFont="1" applyFill="1" applyBorder="1" applyAlignment="1">
      <alignment vertical="top"/>
    </xf>
    <xf numFmtId="165" fontId="3" fillId="0" borderId="64" xfId="0" applyNumberFormat="1" applyFont="1" applyFill="1" applyBorder="1" applyAlignment="1">
      <alignment horizontal="center" vertical="top" wrapText="1"/>
    </xf>
    <xf numFmtId="3" fontId="3" fillId="6" borderId="41" xfId="1" applyNumberFormat="1" applyFont="1" applyFill="1" applyBorder="1" applyAlignment="1">
      <alignment horizontal="center" vertical="top"/>
    </xf>
    <xf numFmtId="3" fontId="3" fillId="6" borderId="47" xfId="1" applyNumberFormat="1" applyFont="1" applyFill="1" applyBorder="1" applyAlignment="1">
      <alignment horizontal="center" vertical="top"/>
    </xf>
    <xf numFmtId="3" fontId="3" fillId="6" borderId="0" xfId="1" applyNumberFormat="1" applyFont="1" applyFill="1" applyBorder="1" applyAlignment="1">
      <alignment horizontal="center" vertical="top" wrapText="1"/>
    </xf>
    <xf numFmtId="3" fontId="3" fillId="6" borderId="0" xfId="0" applyNumberFormat="1" applyFont="1" applyFill="1" applyBorder="1" applyAlignment="1">
      <alignment horizontal="center" wrapText="1"/>
    </xf>
    <xf numFmtId="0" fontId="3" fillId="12" borderId="47" xfId="0" applyFont="1" applyFill="1" applyBorder="1" applyAlignment="1">
      <alignment horizontal="center" vertical="top" wrapText="1"/>
    </xf>
    <xf numFmtId="0" fontId="3" fillId="6" borderId="30" xfId="0" applyNumberFormat="1" applyFont="1" applyFill="1" applyBorder="1" applyAlignment="1">
      <alignment horizontal="center" vertical="top"/>
    </xf>
    <xf numFmtId="0" fontId="3" fillId="6" borderId="31" xfId="0" applyFont="1" applyFill="1" applyBorder="1" applyAlignment="1">
      <alignment vertical="top"/>
    </xf>
    <xf numFmtId="165" fontId="3" fillId="0" borderId="114" xfId="0" applyNumberFormat="1" applyFont="1" applyFill="1" applyBorder="1" applyAlignment="1">
      <alignment horizontal="center" vertical="top" wrapText="1"/>
    </xf>
    <xf numFmtId="1" fontId="3" fillId="0" borderId="82" xfId="0" applyNumberFormat="1" applyFont="1" applyFill="1" applyBorder="1" applyAlignment="1">
      <alignment horizontal="center" vertical="top" wrapText="1"/>
    </xf>
    <xf numFmtId="3" fontId="3" fillId="6" borderId="17" xfId="1" applyNumberFormat="1" applyFont="1" applyFill="1" applyBorder="1" applyAlignment="1">
      <alignment horizontal="center" vertical="top"/>
    </xf>
    <xf numFmtId="3" fontId="3" fillId="6" borderId="72" xfId="1" applyNumberFormat="1" applyFont="1" applyFill="1" applyBorder="1" applyAlignment="1">
      <alignment horizontal="center" vertical="top"/>
    </xf>
    <xf numFmtId="3" fontId="3" fillId="6" borderId="82" xfId="1" applyNumberFormat="1" applyFont="1" applyFill="1" applyBorder="1" applyAlignment="1">
      <alignment horizontal="center" vertical="top"/>
    </xf>
    <xf numFmtId="3" fontId="3" fillId="6" borderId="73" xfId="1" applyNumberFormat="1" applyFont="1" applyFill="1" applyBorder="1" applyAlignment="1">
      <alignment horizontal="center" vertical="top"/>
    </xf>
    <xf numFmtId="3" fontId="3" fillId="6" borderId="31" xfId="1" applyNumberFormat="1" applyFont="1" applyFill="1" applyBorder="1" applyAlignment="1">
      <alignment horizontal="center" vertical="top"/>
    </xf>
    <xf numFmtId="3" fontId="3" fillId="6" borderId="94" xfId="1" applyNumberFormat="1" applyFont="1" applyFill="1" applyBorder="1" applyAlignment="1">
      <alignment horizontal="center" vertical="top"/>
    </xf>
    <xf numFmtId="3" fontId="3" fillId="6" borderId="73" xfId="1" applyNumberFormat="1" applyFont="1" applyFill="1" applyBorder="1" applyAlignment="1">
      <alignment horizontal="center" vertical="top" wrapText="1"/>
    </xf>
    <xf numFmtId="1" fontId="3" fillId="6" borderId="82" xfId="0" applyNumberFormat="1" applyFont="1" applyFill="1" applyBorder="1" applyAlignment="1">
      <alignment horizontal="center" vertical="top" wrapText="1"/>
    </xf>
    <xf numFmtId="3" fontId="3" fillId="6" borderId="73" xfId="0" applyNumberFormat="1" applyFont="1" applyFill="1" applyBorder="1" applyAlignment="1">
      <alignment horizontal="center" vertical="top" wrapText="1"/>
    </xf>
    <xf numFmtId="3" fontId="3" fillId="6" borderId="18" xfId="0" applyNumberFormat="1" applyFont="1" applyFill="1" applyBorder="1" applyAlignment="1">
      <alignment horizontal="center" wrapText="1"/>
    </xf>
    <xf numFmtId="164" fontId="2" fillId="6" borderId="1" xfId="0" applyNumberFormat="1" applyFont="1" applyFill="1" applyBorder="1" applyAlignment="1">
      <alignment horizontal="center" vertical="center" wrapText="1"/>
    </xf>
    <xf numFmtId="3" fontId="3" fillId="6" borderId="27" xfId="0" applyNumberFormat="1" applyFont="1" applyFill="1" applyBorder="1" applyAlignment="1">
      <alignment horizontal="center" vertical="top" wrapText="1"/>
    </xf>
    <xf numFmtId="0" fontId="3" fillId="12" borderId="31" xfId="0" applyFont="1" applyFill="1" applyBorder="1" applyAlignment="1">
      <alignment horizontal="center" vertical="top" wrapText="1"/>
    </xf>
    <xf numFmtId="0" fontId="3" fillId="3" borderId="118" xfId="0" applyFont="1" applyFill="1" applyBorder="1" applyAlignment="1">
      <alignment horizontal="center" vertical="top" wrapText="1"/>
    </xf>
    <xf numFmtId="3" fontId="3" fillId="8" borderId="119" xfId="0" applyNumberFormat="1" applyFont="1" applyFill="1" applyBorder="1" applyAlignment="1">
      <alignment horizontal="center" vertical="top"/>
    </xf>
    <xf numFmtId="0" fontId="3" fillId="6" borderId="105" xfId="0" applyNumberFormat="1" applyFont="1" applyFill="1" applyBorder="1" applyAlignment="1">
      <alignment horizontal="center" vertical="top" wrapText="1"/>
    </xf>
    <xf numFmtId="3" fontId="3" fillId="6" borderId="82" xfId="0" applyNumberFormat="1" applyFont="1" applyFill="1" applyBorder="1" applyAlignment="1">
      <alignment horizontal="center" vertical="top" wrapText="1"/>
    </xf>
    <xf numFmtId="3" fontId="3" fillId="6" borderId="100" xfId="0" applyNumberFormat="1" applyFont="1" applyFill="1" applyBorder="1" applyAlignment="1">
      <alignment horizontal="center" vertical="top" wrapText="1"/>
    </xf>
    <xf numFmtId="3" fontId="3" fillId="6" borderId="94" xfId="0" applyNumberFormat="1" applyFont="1" applyFill="1" applyBorder="1" applyAlignment="1">
      <alignment horizontal="center" vertical="top" wrapText="1"/>
    </xf>
    <xf numFmtId="0" fontId="9" fillId="0" borderId="64" xfId="0" applyFont="1" applyFill="1" applyBorder="1" applyAlignment="1">
      <alignment vertical="top" wrapText="1"/>
    </xf>
    <xf numFmtId="0" fontId="3" fillId="6" borderId="40" xfId="0" applyFont="1" applyFill="1" applyBorder="1" applyAlignment="1">
      <alignment horizontal="left" vertical="top" wrapText="1"/>
    </xf>
    <xf numFmtId="0" fontId="3" fillId="6" borderId="120" xfId="0" applyFont="1" applyFill="1" applyBorder="1" applyAlignment="1">
      <alignment vertical="top" wrapText="1"/>
    </xf>
    <xf numFmtId="165" fontId="3" fillId="6" borderId="63" xfId="1" applyNumberFormat="1" applyFont="1" applyFill="1" applyBorder="1" applyAlignment="1">
      <alignment horizontal="center" vertical="top"/>
    </xf>
    <xf numFmtId="0" fontId="3" fillId="6" borderId="46" xfId="0" applyFont="1" applyFill="1" applyBorder="1" applyAlignment="1">
      <alignment horizontal="center" vertical="top"/>
    </xf>
    <xf numFmtId="0" fontId="3" fillId="6" borderId="88" xfId="0" applyFont="1" applyFill="1" applyBorder="1" applyAlignment="1">
      <alignment horizontal="center" vertical="center"/>
    </xf>
    <xf numFmtId="0" fontId="3" fillId="0" borderId="46" xfId="0" applyFont="1" applyBorder="1" applyAlignment="1">
      <alignment vertical="top"/>
    </xf>
    <xf numFmtId="49" fontId="5" fillId="8" borderId="28" xfId="0" applyNumberFormat="1" applyFont="1" applyFill="1" applyBorder="1" applyAlignment="1">
      <alignment horizontal="center" vertical="top" wrapText="1"/>
    </xf>
    <xf numFmtId="0" fontId="7" fillId="6" borderId="31" xfId="0" applyFont="1" applyFill="1" applyBorder="1" applyAlignment="1">
      <alignment horizontal="center" vertical="center" wrapText="1"/>
    </xf>
    <xf numFmtId="3" fontId="3" fillId="2" borderId="7" xfId="0" applyNumberFormat="1" applyFont="1" applyFill="1" applyBorder="1" applyAlignment="1">
      <alignment horizontal="right" vertical="top"/>
    </xf>
    <xf numFmtId="3" fontId="3" fillId="6" borderId="30" xfId="0" applyNumberFormat="1" applyFont="1" applyFill="1" applyBorder="1" applyAlignment="1">
      <alignment vertical="top" wrapText="1"/>
    </xf>
    <xf numFmtId="49" fontId="5" fillId="6" borderId="32" xfId="0" applyNumberFormat="1" applyFont="1" applyFill="1" applyBorder="1" applyAlignment="1">
      <alignment horizontal="center" vertical="center"/>
    </xf>
    <xf numFmtId="3" fontId="15" fillId="0" borderId="30" xfId="0" applyNumberFormat="1" applyFont="1" applyBorder="1" applyAlignment="1">
      <alignment horizontal="center" vertical="top"/>
    </xf>
    <xf numFmtId="0" fontId="5" fillId="6" borderId="19" xfId="0" applyFont="1" applyFill="1" applyBorder="1" applyAlignment="1">
      <alignment horizontal="center" vertical="top" wrapText="1"/>
    </xf>
    <xf numFmtId="165" fontId="3" fillId="0" borderId="0" xfId="0" applyNumberFormat="1" applyFont="1" applyFill="1" applyBorder="1" applyAlignment="1">
      <alignment horizontal="center" vertical="top" wrapText="1"/>
    </xf>
    <xf numFmtId="165" fontId="3" fillId="13" borderId="53" xfId="0" applyNumberFormat="1" applyFont="1" applyFill="1" applyBorder="1" applyAlignment="1">
      <alignment horizontal="center" vertical="top"/>
    </xf>
    <xf numFmtId="165" fontId="5" fillId="13" borderId="32" xfId="0" applyNumberFormat="1" applyFont="1" applyFill="1" applyBorder="1" applyAlignment="1">
      <alignment horizontal="center" vertical="top"/>
    </xf>
    <xf numFmtId="49" fontId="5" fillId="6" borderId="31" xfId="0" applyNumberFormat="1" applyFont="1" applyFill="1" applyBorder="1" applyAlignment="1">
      <alignment horizontal="center" vertical="top"/>
    </xf>
    <xf numFmtId="0" fontId="30" fillId="6" borderId="2" xfId="0" applyFont="1" applyFill="1" applyBorder="1" applyAlignment="1">
      <alignment horizontal="left" vertical="top" wrapText="1"/>
    </xf>
    <xf numFmtId="0" fontId="31" fillId="6" borderId="16" xfId="0" applyFont="1" applyFill="1" applyBorder="1" applyAlignment="1">
      <alignment horizontal="center" vertical="center" textRotation="90" wrapText="1"/>
    </xf>
    <xf numFmtId="49" fontId="30" fillId="6" borderId="18" xfId="0" applyNumberFormat="1" applyFont="1" applyFill="1" applyBorder="1" applyAlignment="1">
      <alignment horizontal="center" vertical="top"/>
    </xf>
    <xf numFmtId="0" fontId="31" fillId="6" borderId="21" xfId="0" applyFont="1" applyFill="1" applyBorder="1" applyAlignment="1">
      <alignment horizontal="center" vertical="top"/>
    </xf>
    <xf numFmtId="165" fontId="31" fillId="6" borderId="68" xfId="0" applyNumberFormat="1" applyFont="1" applyFill="1" applyBorder="1" applyAlignment="1">
      <alignment horizontal="center" vertical="top"/>
    </xf>
    <xf numFmtId="165" fontId="31" fillId="6" borderId="42" xfId="0" applyNumberFormat="1" applyFont="1" applyFill="1" applyBorder="1" applyAlignment="1">
      <alignment horizontal="center" vertical="top"/>
    </xf>
    <xf numFmtId="0" fontId="31" fillId="6" borderId="2" xfId="0" applyFont="1" applyFill="1" applyBorder="1" applyAlignment="1">
      <alignment vertical="top" wrapText="1"/>
    </xf>
    <xf numFmtId="3" fontId="31" fillId="6" borderId="2" xfId="1" applyNumberFormat="1" applyFont="1" applyFill="1" applyBorder="1" applyAlignment="1">
      <alignment horizontal="center" vertical="top"/>
    </xf>
    <xf numFmtId="0" fontId="31" fillId="6" borderId="16" xfId="0" applyFont="1" applyFill="1" applyBorder="1" applyAlignment="1">
      <alignment horizontal="left" vertical="top" wrapText="1"/>
    </xf>
    <xf numFmtId="0" fontId="31" fillId="6" borderId="9" xfId="0" applyFont="1" applyFill="1" applyBorder="1" applyAlignment="1">
      <alignment horizontal="center" vertical="top"/>
    </xf>
    <xf numFmtId="165" fontId="31" fillId="6" borderId="38" xfId="0" applyNumberFormat="1" applyFont="1" applyFill="1" applyBorder="1" applyAlignment="1">
      <alignment horizontal="center" vertical="top"/>
    </xf>
    <xf numFmtId="165" fontId="31" fillId="6" borderId="9" xfId="0" applyNumberFormat="1" applyFont="1" applyFill="1" applyBorder="1" applyAlignment="1">
      <alignment horizontal="center" vertical="top"/>
    </xf>
    <xf numFmtId="165" fontId="31" fillId="6" borderId="51" xfId="0" applyNumberFormat="1" applyFont="1" applyFill="1" applyBorder="1" applyAlignment="1">
      <alignment horizontal="center" vertical="top"/>
    </xf>
    <xf numFmtId="3" fontId="31" fillId="6" borderId="16" xfId="1" applyNumberFormat="1" applyFont="1" applyFill="1" applyBorder="1" applyAlignment="1">
      <alignment horizontal="center" vertical="top"/>
    </xf>
    <xf numFmtId="3" fontId="3" fillId="6" borderId="36" xfId="0" applyNumberFormat="1" applyFont="1" applyFill="1" applyBorder="1" applyAlignment="1">
      <alignment horizontal="center" vertical="top" wrapText="1"/>
    </xf>
    <xf numFmtId="165" fontId="16" fillId="6" borderId="51" xfId="0" applyNumberFormat="1" applyFont="1" applyFill="1" applyBorder="1" applyAlignment="1">
      <alignment horizontal="center" vertical="top"/>
    </xf>
    <xf numFmtId="165" fontId="5" fillId="14" borderId="33" xfId="0" applyNumberFormat="1" applyFont="1" applyFill="1" applyBorder="1" applyAlignment="1">
      <alignment horizontal="center" vertical="top"/>
    </xf>
    <xf numFmtId="165" fontId="5" fillId="14" borderId="24" xfId="0" applyNumberFormat="1" applyFont="1" applyFill="1" applyBorder="1" applyAlignment="1">
      <alignment horizontal="center" vertical="top"/>
    </xf>
    <xf numFmtId="165" fontId="5" fillId="14" borderId="34" xfId="0" applyNumberFormat="1" applyFont="1" applyFill="1" applyBorder="1" applyAlignment="1">
      <alignment horizontal="center" vertical="top"/>
    </xf>
    <xf numFmtId="0" fontId="3" fillId="6" borderId="27" xfId="0" applyNumberFormat="1" applyFont="1" applyFill="1" applyBorder="1" applyAlignment="1">
      <alignment horizontal="center" vertical="top" wrapText="1"/>
    </xf>
    <xf numFmtId="3" fontId="3" fillId="6" borderId="18" xfId="0" applyNumberFormat="1" applyFont="1" applyFill="1" applyBorder="1" applyAlignment="1">
      <alignment vertical="top" wrapText="1"/>
    </xf>
    <xf numFmtId="3" fontId="3" fillId="6" borderId="85" xfId="0" applyNumberFormat="1" applyFont="1" applyFill="1" applyBorder="1" applyAlignment="1">
      <alignment horizontal="center" vertical="top" wrapText="1"/>
    </xf>
    <xf numFmtId="3" fontId="3" fillId="6" borderId="92" xfId="0" applyNumberFormat="1" applyFont="1" applyFill="1" applyBorder="1" applyAlignment="1">
      <alignment horizontal="center" vertical="top"/>
    </xf>
    <xf numFmtId="3" fontId="3" fillId="6" borderId="0" xfId="0" applyNumberFormat="1" applyFont="1" applyFill="1" applyBorder="1" applyAlignment="1">
      <alignment horizontal="center" vertical="top" wrapText="1"/>
    </xf>
    <xf numFmtId="0" fontId="3" fillId="6" borderId="29" xfId="0" applyFont="1" applyFill="1" applyBorder="1" applyAlignment="1">
      <alignment horizontal="left" vertical="top" wrapText="1"/>
    </xf>
    <xf numFmtId="49" fontId="5" fillId="6" borderId="18" xfId="0" applyNumberFormat="1" applyFont="1" applyFill="1" applyBorder="1" applyAlignment="1">
      <alignment horizontal="center" vertical="top"/>
    </xf>
    <xf numFmtId="49" fontId="5" fillId="6" borderId="48" xfId="0" applyNumberFormat="1" applyFont="1" applyFill="1" applyBorder="1" applyAlignment="1">
      <alignment horizontal="center" vertical="top"/>
    </xf>
    <xf numFmtId="0" fontId="3" fillId="6" borderId="10" xfId="0" applyFont="1" applyFill="1" applyBorder="1" applyAlignment="1">
      <alignment horizontal="left" vertical="top" wrapText="1"/>
    </xf>
    <xf numFmtId="165" fontId="3" fillId="6" borderId="38" xfId="0" applyNumberFormat="1" applyFont="1" applyFill="1" applyBorder="1" applyAlignment="1">
      <alignment horizontal="center" vertical="top"/>
    </xf>
    <xf numFmtId="3" fontId="3" fillId="6" borderId="0" xfId="0" applyNumberFormat="1" applyFont="1" applyFill="1" applyBorder="1" applyAlignment="1">
      <alignment horizontal="center" vertical="top" wrapText="1"/>
    </xf>
    <xf numFmtId="165" fontId="3" fillId="6" borderId="16" xfId="0" applyNumberFormat="1" applyFont="1" applyFill="1" applyBorder="1" applyAlignment="1">
      <alignment horizontal="center" vertical="top"/>
    </xf>
    <xf numFmtId="0" fontId="3" fillId="6" borderId="9" xfId="0" applyFont="1" applyFill="1" applyBorder="1" applyAlignment="1">
      <alignment horizontal="center" vertical="top" wrapText="1"/>
    </xf>
    <xf numFmtId="0" fontId="3" fillId="6" borderId="6" xfId="0" applyFont="1" applyFill="1" applyBorder="1" applyAlignment="1">
      <alignment horizontal="center" vertical="top" wrapText="1"/>
    </xf>
    <xf numFmtId="49" fontId="32" fillId="6" borderId="76" xfId="1" applyNumberFormat="1" applyFont="1" applyFill="1" applyBorder="1" applyAlignment="1">
      <alignment horizontal="center" vertical="top"/>
    </xf>
    <xf numFmtId="0" fontId="3" fillId="6" borderId="79" xfId="0" applyFont="1" applyFill="1" applyBorder="1" applyAlignment="1">
      <alignment horizontal="center" vertical="top"/>
    </xf>
    <xf numFmtId="165" fontId="3" fillId="6" borderId="99" xfId="0" applyNumberFormat="1" applyFont="1" applyFill="1" applyBorder="1" applyAlignment="1">
      <alignment horizontal="center" vertical="top"/>
    </xf>
    <xf numFmtId="165" fontId="3" fillId="6" borderId="102" xfId="0" applyNumberFormat="1" applyFont="1" applyFill="1" applyBorder="1" applyAlignment="1">
      <alignment horizontal="center" vertical="top"/>
    </xf>
    <xf numFmtId="165" fontId="3" fillId="6" borderId="92" xfId="0" applyNumberFormat="1" applyFont="1" applyFill="1" applyBorder="1" applyAlignment="1">
      <alignment horizontal="center" vertical="top"/>
    </xf>
    <xf numFmtId="49" fontId="29" fillId="6" borderId="16" xfId="0" applyNumberFormat="1" applyFont="1" applyFill="1" applyBorder="1" applyAlignment="1">
      <alignment horizontal="center" vertical="top" wrapText="1"/>
    </xf>
    <xf numFmtId="0" fontId="5" fillId="2" borderId="20" xfId="0" applyFont="1" applyFill="1" applyBorder="1" applyAlignment="1">
      <alignment horizontal="center" vertical="top" wrapText="1"/>
    </xf>
    <xf numFmtId="3" fontId="3" fillId="6" borderId="93" xfId="0" applyNumberFormat="1" applyFont="1" applyFill="1" applyBorder="1" applyAlignment="1">
      <alignment horizontal="center" vertical="top"/>
    </xf>
    <xf numFmtId="3" fontId="3" fillId="6" borderId="102" xfId="0" applyNumberFormat="1" applyFont="1" applyFill="1" applyBorder="1" applyAlignment="1">
      <alignment horizontal="center" vertical="top"/>
    </xf>
    <xf numFmtId="3" fontId="3" fillId="6" borderId="96" xfId="0" applyNumberFormat="1" applyFont="1" applyFill="1" applyBorder="1" applyAlignment="1">
      <alignment horizontal="center" vertical="top"/>
    </xf>
    <xf numFmtId="3" fontId="3" fillId="6" borderId="73" xfId="0" applyNumberFormat="1" applyFont="1" applyFill="1" applyBorder="1" applyAlignment="1">
      <alignment horizontal="center" vertical="top"/>
    </xf>
    <xf numFmtId="0" fontId="23" fillId="0" borderId="0" xfId="0" applyFont="1" applyAlignment="1">
      <alignment horizontal="right" wrapText="1"/>
    </xf>
    <xf numFmtId="0" fontId="0" fillId="0" borderId="0" xfId="0" applyFont="1" applyAlignment="1">
      <alignment horizontal="right"/>
    </xf>
    <xf numFmtId="3" fontId="3" fillId="0" borderId="0" xfId="0" applyNumberFormat="1" applyFont="1" applyFill="1" applyBorder="1" applyAlignment="1">
      <alignment horizontal="left" vertical="top" wrapText="1"/>
    </xf>
    <xf numFmtId="49" fontId="21" fillId="6" borderId="16" xfId="0" applyNumberFormat="1" applyFont="1" applyFill="1" applyBorder="1" applyAlignment="1">
      <alignment horizontal="center" vertical="top" wrapText="1"/>
    </xf>
    <xf numFmtId="165" fontId="5" fillId="4" borderId="114" xfId="0" applyNumberFormat="1" applyFont="1" applyFill="1" applyBorder="1" applyAlignment="1">
      <alignment horizontal="center" vertical="top"/>
    </xf>
    <xf numFmtId="165" fontId="5" fillId="8" borderId="17" xfId="0" applyNumberFormat="1" applyFont="1" applyFill="1" applyBorder="1" applyAlignment="1">
      <alignment horizontal="center" vertical="top" wrapText="1"/>
    </xf>
    <xf numFmtId="0" fontId="3" fillId="6" borderId="21" xfId="0" applyFont="1" applyFill="1" applyBorder="1" applyAlignment="1">
      <alignment horizontal="center" vertical="top" wrapText="1"/>
    </xf>
    <xf numFmtId="0" fontId="3" fillId="6" borderId="16" xfId="0" applyFont="1" applyFill="1" applyBorder="1" applyAlignment="1">
      <alignment horizontal="center" vertical="center" textRotation="90" wrapText="1"/>
    </xf>
    <xf numFmtId="0" fontId="3" fillId="6" borderId="48" xfId="0" applyFont="1" applyFill="1" applyBorder="1" applyAlignment="1">
      <alignment horizontal="left" vertical="top" wrapText="1"/>
    </xf>
    <xf numFmtId="0" fontId="3" fillId="6" borderId="9" xfId="0" applyFont="1" applyFill="1" applyBorder="1" applyAlignment="1">
      <alignment horizontal="center" vertical="top" wrapText="1"/>
    </xf>
    <xf numFmtId="0" fontId="3" fillId="6" borderId="82" xfId="0" applyFont="1" applyFill="1" applyBorder="1" applyAlignment="1">
      <alignment horizontal="left" vertical="top" wrapText="1"/>
    </xf>
    <xf numFmtId="0" fontId="3" fillId="6" borderId="73" xfId="0" applyFont="1" applyFill="1" applyBorder="1" applyAlignment="1">
      <alignment horizontal="left" vertical="top" wrapText="1"/>
    </xf>
    <xf numFmtId="1" fontId="16" fillId="6" borderId="16" xfId="1" applyNumberFormat="1" applyFont="1" applyFill="1" applyBorder="1" applyAlignment="1">
      <alignment horizontal="center" vertical="top" wrapText="1"/>
    </xf>
    <xf numFmtId="3" fontId="3" fillId="6" borderId="86" xfId="0" applyNumberFormat="1" applyFont="1" applyFill="1" applyBorder="1" applyAlignment="1">
      <alignment horizontal="left" vertical="top" wrapText="1"/>
    </xf>
    <xf numFmtId="0" fontId="3" fillId="6" borderId="89" xfId="0" applyFont="1" applyFill="1" applyBorder="1" applyAlignment="1">
      <alignment vertical="top" wrapText="1"/>
    </xf>
    <xf numFmtId="0" fontId="3" fillId="6" borderId="90" xfId="0" applyFont="1" applyFill="1" applyBorder="1" applyAlignment="1">
      <alignment horizontal="left" vertical="top" wrapText="1"/>
    </xf>
    <xf numFmtId="0" fontId="3" fillId="6" borderId="37" xfId="0" applyFont="1" applyFill="1" applyBorder="1" applyAlignment="1">
      <alignment vertical="top" wrapText="1"/>
    </xf>
    <xf numFmtId="0" fontId="3" fillId="6" borderId="107" xfId="0" applyFont="1" applyFill="1" applyBorder="1" applyAlignment="1">
      <alignment vertical="top" wrapText="1"/>
    </xf>
    <xf numFmtId="165" fontId="3" fillId="6" borderId="16" xfId="0" applyNumberFormat="1" applyFont="1" applyFill="1" applyBorder="1" applyAlignment="1">
      <alignment horizontal="center" vertical="top"/>
    </xf>
    <xf numFmtId="0" fontId="3" fillId="6" borderId="99" xfId="0" applyFont="1" applyFill="1" applyBorder="1" applyAlignment="1">
      <alignment vertical="top" wrapText="1"/>
    </xf>
    <xf numFmtId="0" fontId="3" fillId="6" borderId="9" xfId="0" applyFont="1" applyFill="1" applyBorder="1" applyAlignment="1">
      <alignment horizontal="center" vertical="top" wrapText="1"/>
    </xf>
    <xf numFmtId="0" fontId="3" fillId="6" borderId="6" xfId="0" applyFont="1" applyFill="1" applyBorder="1" applyAlignment="1">
      <alignment horizontal="center" vertical="top" wrapText="1"/>
    </xf>
    <xf numFmtId="165" fontId="3" fillId="6" borderId="104" xfId="0" applyNumberFormat="1" applyFont="1" applyFill="1" applyBorder="1" applyAlignment="1">
      <alignment horizontal="center" vertical="top"/>
    </xf>
    <xf numFmtId="165" fontId="16" fillId="6" borderId="76" xfId="0" applyNumberFormat="1" applyFont="1" applyFill="1" applyBorder="1" applyAlignment="1">
      <alignment horizontal="center" vertical="top"/>
    </xf>
    <xf numFmtId="165" fontId="16" fillId="6" borderId="104" xfId="0" applyNumberFormat="1" applyFont="1" applyFill="1" applyBorder="1" applyAlignment="1">
      <alignment horizontal="center" vertical="top"/>
    </xf>
    <xf numFmtId="165" fontId="3" fillId="6" borderId="76" xfId="0" applyNumberFormat="1" applyFont="1" applyFill="1" applyBorder="1" applyAlignment="1">
      <alignment horizontal="center" vertical="top"/>
    </xf>
    <xf numFmtId="0" fontId="16" fillId="6" borderId="63" xfId="0" applyFont="1" applyFill="1" applyBorder="1" applyAlignment="1">
      <alignment vertical="top" wrapText="1"/>
    </xf>
    <xf numFmtId="165" fontId="3" fillId="6" borderId="38" xfId="0" applyNumberFormat="1" applyFont="1" applyFill="1" applyBorder="1" applyAlignment="1">
      <alignment horizontal="center" vertical="top"/>
    </xf>
    <xf numFmtId="165" fontId="3" fillId="6" borderId="16" xfId="0" applyNumberFormat="1" applyFont="1" applyFill="1" applyBorder="1" applyAlignment="1">
      <alignment horizontal="center" vertical="top"/>
    </xf>
    <xf numFmtId="0" fontId="3" fillId="6" borderId="99" xfId="1" applyFont="1" applyFill="1" applyBorder="1" applyAlignment="1">
      <alignment horizontal="left" vertical="top" wrapText="1"/>
    </xf>
    <xf numFmtId="165" fontId="3" fillId="6" borderId="102" xfId="1" applyNumberFormat="1" applyFont="1" applyFill="1" applyBorder="1" applyAlignment="1">
      <alignment horizontal="center" vertical="center"/>
    </xf>
    <xf numFmtId="165" fontId="3" fillId="6" borderId="92" xfId="1" applyNumberFormat="1" applyFont="1" applyFill="1" applyBorder="1" applyAlignment="1">
      <alignment horizontal="center" vertical="center"/>
    </xf>
    <xf numFmtId="165" fontId="3" fillId="6" borderId="38" xfId="0" applyNumberFormat="1" applyFont="1" applyFill="1" applyBorder="1" applyAlignment="1">
      <alignment horizontal="center" vertical="top"/>
    </xf>
    <xf numFmtId="165" fontId="3" fillId="6" borderId="16" xfId="0" applyNumberFormat="1" applyFont="1" applyFill="1" applyBorder="1" applyAlignment="1">
      <alignment horizontal="center" vertical="top"/>
    </xf>
    <xf numFmtId="3" fontId="3" fillId="2" borderId="18" xfId="0" applyNumberFormat="1" applyFont="1" applyFill="1" applyBorder="1" applyAlignment="1">
      <alignment horizontal="left" vertical="top" wrapText="1"/>
    </xf>
    <xf numFmtId="3" fontId="3" fillId="2" borderId="31" xfId="0" applyNumberFormat="1" applyFont="1" applyFill="1" applyBorder="1" applyAlignment="1">
      <alignment horizontal="left" vertical="top" wrapText="1"/>
    </xf>
    <xf numFmtId="49" fontId="5" fillId="10" borderId="10"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3" fillId="6" borderId="16" xfId="0" applyFont="1" applyFill="1" applyBorder="1" applyAlignment="1">
      <alignment horizontal="center" vertical="center" textRotation="90" wrapText="1"/>
    </xf>
    <xf numFmtId="49" fontId="5" fillId="6" borderId="18" xfId="0" applyNumberFormat="1" applyFont="1" applyFill="1" applyBorder="1" applyAlignment="1">
      <alignment horizontal="center" vertical="top"/>
    </xf>
    <xf numFmtId="0" fontId="3" fillId="6" borderId="48" xfId="0" applyFont="1" applyFill="1" applyBorder="1" applyAlignment="1">
      <alignment horizontal="left" vertical="top" wrapText="1"/>
    </xf>
    <xf numFmtId="3" fontId="3" fillId="6" borderId="18" xfId="0" applyNumberFormat="1" applyFont="1" applyFill="1" applyBorder="1" applyAlignment="1">
      <alignment horizontal="left" vertical="top" wrapText="1"/>
    </xf>
    <xf numFmtId="165" fontId="3" fillId="6" borderId="16" xfId="0" applyNumberFormat="1" applyFont="1" applyFill="1" applyBorder="1" applyAlignment="1">
      <alignment horizontal="center" vertical="top"/>
    </xf>
    <xf numFmtId="165" fontId="3" fillId="6" borderId="38" xfId="0" applyNumberFormat="1" applyFont="1" applyFill="1" applyBorder="1" applyAlignment="1">
      <alignment horizontal="center" vertical="top"/>
    </xf>
    <xf numFmtId="3" fontId="3" fillId="6" borderId="31" xfId="0" applyNumberFormat="1" applyFont="1" applyFill="1" applyBorder="1" applyAlignment="1">
      <alignment horizontal="left" vertical="top" wrapText="1"/>
    </xf>
    <xf numFmtId="0" fontId="3" fillId="6" borderId="9" xfId="0" applyFont="1" applyFill="1" applyBorder="1" applyAlignment="1">
      <alignment horizontal="center" vertical="top" wrapText="1"/>
    </xf>
    <xf numFmtId="0" fontId="3" fillId="6" borderId="99" xfId="0" applyFont="1" applyFill="1" applyBorder="1" applyAlignment="1">
      <alignment vertical="top" wrapText="1"/>
    </xf>
    <xf numFmtId="165" fontId="3" fillId="6" borderId="105" xfId="0" applyNumberFormat="1" applyFont="1" applyFill="1" applyBorder="1" applyAlignment="1">
      <alignment horizontal="center" vertical="top"/>
    </xf>
    <xf numFmtId="165" fontId="16" fillId="6" borderId="93" xfId="0" applyNumberFormat="1" applyFont="1" applyFill="1" applyBorder="1" applyAlignment="1">
      <alignment horizontal="center" vertical="top"/>
    </xf>
    <xf numFmtId="165" fontId="16" fillId="6" borderId="105" xfId="0" applyNumberFormat="1" applyFont="1" applyFill="1" applyBorder="1" applyAlignment="1">
      <alignment horizontal="center" vertical="top"/>
    </xf>
    <xf numFmtId="165" fontId="3" fillId="6" borderId="93" xfId="0" applyNumberFormat="1" applyFont="1" applyFill="1" applyBorder="1" applyAlignment="1">
      <alignment horizontal="center" vertical="top"/>
    </xf>
    <xf numFmtId="165" fontId="3" fillId="6" borderId="106" xfId="0" applyNumberFormat="1" applyFont="1" applyFill="1" applyBorder="1" applyAlignment="1">
      <alignment horizontal="center" vertical="top"/>
    </xf>
    <xf numFmtId="165" fontId="3" fillId="6" borderId="16" xfId="0" applyNumberFormat="1" applyFont="1" applyFill="1" applyBorder="1" applyAlignment="1">
      <alignment horizontal="center" vertical="top"/>
    </xf>
    <xf numFmtId="165" fontId="3" fillId="6" borderId="38" xfId="0" applyNumberFormat="1" applyFont="1" applyFill="1" applyBorder="1" applyAlignment="1">
      <alignment horizontal="center" vertical="top"/>
    </xf>
    <xf numFmtId="165" fontId="16" fillId="6" borderId="9" xfId="0" applyNumberFormat="1" applyFont="1" applyFill="1" applyBorder="1" applyAlignment="1">
      <alignment horizontal="center" vertical="top" wrapText="1"/>
    </xf>
    <xf numFmtId="165" fontId="5" fillId="6" borderId="9" xfId="0" applyNumberFormat="1" applyFont="1" applyFill="1" applyBorder="1" applyAlignment="1">
      <alignment horizontal="center" vertical="top"/>
    </xf>
    <xf numFmtId="49" fontId="5" fillId="10" borderId="10" xfId="0" applyNumberFormat="1" applyFont="1" applyFill="1" applyBorder="1" applyAlignment="1">
      <alignment horizontal="center" vertical="top"/>
    </xf>
    <xf numFmtId="49" fontId="5" fillId="6" borderId="18"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3" fillId="6" borderId="30" xfId="0" applyFont="1" applyFill="1" applyBorder="1" applyAlignment="1">
      <alignment horizontal="left" vertical="top" wrapText="1"/>
    </xf>
    <xf numFmtId="0" fontId="3" fillId="6" borderId="32" xfId="0" applyFont="1" applyFill="1" applyBorder="1" applyAlignment="1">
      <alignment horizontal="center" vertical="center" textRotation="90" wrapText="1"/>
    </xf>
    <xf numFmtId="165" fontId="3" fillId="6" borderId="63" xfId="0" applyNumberFormat="1" applyFont="1" applyFill="1" applyBorder="1" applyAlignment="1">
      <alignment horizontal="center" vertical="top"/>
    </xf>
    <xf numFmtId="165" fontId="3" fillId="6" borderId="16" xfId="0" applyNumberFormat="1" applyFont="1" applyFill="1" applyBorder="1" applyAlignment="1">
      <alignment horizontal="center" vertical="top"/>
    </xf>
    <xf numFmtId="165" fontId="3" fillId="6" borderId="32" xfId="0" applyNumberFormat="1" applyFont="1" applyFill="1" applyBorder="1" applyAlignment="1">
      <alignment horizontal="center" vertical="top"/>
    </xf>
    <xf numFmtId="0" fontId="3" fillId="6" borderId="9" xfId="0" applyFont="1" applyFill="1" applyBorder="1" applyAlignment="1">
      <alignment horizontal="center" vertical="top" wrapText="1"/>
    </xf>
    <xf numFmtId="49" fontId="3" fillId="6" borderId="38" xfId="0" applyNumberFormat="1" applyFont="1" applyFill="1" applyBorder="1" applyAlignment="1">
      <alignment horizontal="center" vertical="top" wrapText="1"/>
    </xf>
    <xf numFmtId="0" fontId="3" fillId="6" borderId="37" xfId="0" applyFont="1" applyFill="1" applyBorder="1" applyAlignment="1">
      <alignment horizontal="center" vertical="top" wrapText="1"/>
    </xf>
    <xf numFmtId="0" fontId="16" fillId="6" borderId="32" xfId="0" applyNumberFormat="1" applyFont="1" applyFill="1" applyBorder="1" applyAlignment="1">
      <alignment horizontal="center" vertical="top" wrapText="1"/>
    </xf>
    <xf numFmtId="0" fontId="16" fillId="6" borderId="48" xfId="0" applyNumberFormat="1" applyFont="1" applyFill="1" applyBorder="1" applyAlignment="1">
      <alignment horizontal="center" vertical="top" wrapText="1"/>
    </xf>
    <xf numFmtId="1" fontId="3" fillId="6" borderId="77" xfId="0" applyNumberFormat="1" applyFont="1" applyFill="1" applyBorder="1" applyAlignment="1">
      <alignment horizontal="center" vertical="top" wrapText="1"/>
    </xf>
    <xf numFmtId="0" fontId="3" fillId="6" borderId="63" xfId="0" applyFont="1" applyFill="1" applyBorder="1" applyAlignment="1">
      <alignment vertical="top" wrapText="1"/>
    </xf>
    <xf numFmtId="0" fontId="3" fillId="6" borderId="32" xfId="0" applyNumberFormat="1" applyFont="1" applyFill="1" applyBorder="1" applyAlignment="1">
      <alignment horizontal="center" vertical="top" wrapText="1"/>
    </xf>
    <xf numFmtId="0" fontId="3" fillId="6" borderId="30" xfId="0" applyNumberFormat="1" applyFont="1" applyFill="1" applyBorder="1" applyAlignment="1">
      <alignment horizontal="center" vertical="top" wrapText="1"/>
    </xf>
    <xf numFmtId="0" fontId="7" fillId="0" borderId="9" xfId="0" applyFont="1" applyBorder="1" applyAlignment="1">
      <alignment horizontal="center" vertical="top" wrapText="1"/>
    </xf>
    <xf numFmtId="165" fontId="3" fillId="6" borderId="90" xfId="0" applyNumberFormat="1" applyFont="1" applyFill="1" applyBorder="1" applyAlignment="1">
      <alignment horizontal="center" vertical="top"/>
    </xf>
    <xf numFmtId="0" fontId="5" fillId="2" borderId="48" xfId="0" applyFont="1" applyFill="1" applyBorder="1" applyAlignment="1">
      <alignment horizontal="center" vertical="top" wrapText="1"/>
    </xf>
    <xf numFmtId="0" fontId="5" fillId="2" borderId="30" xfId="0" applyFont="1" applyFill="1" applyBorder="1" applyAlignment="1">
      <alignment horizontal="center" vertical="top" wrapText="1"/>
    </xf>
    <xf numFmtId="0" fontId="3" fillId="2" borderId="44" xfId="0" applyFont="1" applyFill="1" applyBorder="1" applyAlignment="1">
      <alignment horizontal="center" vertical="top" wrapText="1"/>
    </xf>
    <xf numFmtId="3" fontId="3" fillId="0" borderId="22" xfId="0" applyNumberFormat="1" applyFont="1" applyBorder="1" applyAlignment="1">
      <alignment horizontal="center" vertical="top" wrapText="1"/>
    </xf>
    <xf numFmtId="0" fontId="21" fillId="6" borderId="6" xfId="0" applyFont="1" applyFill="1" applyBorder="1" applyAlignment="1">
      <alignment horizontal="center" vertical="top" wrapText="1"/>
    </xf>
    <xf numFmtId="165" fontId="21" fillId="6" borderId="38" xfId="0" applyNumberFormat="1" applyFont="1" applyFill="1" applyBorder="1" applyAlignment="1">
      <alignment horizontal="center" vertical="top" wrapText="1"/>
    </xf>
    <xf numFmtId="165" fontId="21" fillId="6" borderId="9" xfId="0" applyNumberFormat="1" applyFont="1" applyFill="1" applyBorder="1" applyAlignment="1">
      <alignment horizontal="center" vertical="top" wrapText="1"/>
    </xf>
    <xf numFmtId="165" fontId="21" fillId="6" borderId="0" xfId="0" applyNumberFormat="1" applyFont="1" applyFill="1" applyBorder="1" applyAlignment="1">
      <alignment horizontal="center" vertical="top"/>
    </xf>
    <xf numFmtId="165" fontId="21" fillId="6" borderId="9" xfId="0" applyNumberFormat="1" applyFont="1" applyFill="1" applyBorder="1" applyAlignment="1">
      <alignment horizontal="center" vertical="top"/>
    </xf>
    <xf numFmtId="3" fontId="21" fillId="6" borderId="16" xfId="0" applyNumberFormat="1" applyFont="1" applyFill="1" applyBorder="1" applyAlignment="1">
      <alignment horizontal="center" vertical="top" wrapText="1"/>
    </xf>
    <xf numFmtId="0" fontId="21" fillId="6" borderId="22" xfId="0" applyFont="1" applyFill="1" applyBorder="1" applyAlignment="1">
      <alignment horizontal="center" vertical="top" wrapText="1"/>
    </xf>
    <xf numFmtId="165" fontId="21" fillId="6" borderId="47" xfId="0" applyNumberFormat="1" applyFont="1" applyFill="1" applyBorder="1" applyAlignment="1">
      <alignment horizontal="center" vertical="top"/>
    </xf>
    <xf numFmtId="165" fontId="21" fillId="6" borderId="22" xfId="0" applyNumberFormat="1" applyFont="1" applyFill="1" applyBorder="1" applyAlignment="1">
      <alignment horizontal="center" vertical="top"/>
    </xf>
    <xf numFmtId="3" fontId="21" fillId="6" borderId="32" xfId="0" applyNumberFormat="1" applyFont="1" applyFill="1" applyBorder="1" applyAlignment="1">
      <alignment horizontal="center" vertical="top" wrapText="1"/>
    </xf>
    <xf numFmtId="3" fontId="21" fillId="6" borderId="20" xfId="0" applyNumberFormat="1" applyFont="1" applyFill="1" applyBorder="1" applyAlignment="1">
      <alignment horizontal="center" vertical="top" wrapText="1"/>
    </xf>
    <xf numFmtId="49" fontId="35" fillId="6" borderId="0" xfId="0" applyNumberFormat="1" applyFont="1" applyFill="1" applyBorder="1" applyAlignment="1">
      <alignment horizontal="center" vertical="top"/>
    </xf>
    <xf numFmtId="165" fontId="21" fillId="6" borderId="38" xfId="0" applyNumberFormat="1" applyFont="1" applyFill="1" applyBorder="1" applyAlignment="1">
      <alignment horizontal="center" vertical="top"/>
    </xf>
    <xf numFmtId="165" fontId="21" fillId="6" borderId="63" xfId="0" applyNumberFormat="1" applyFont="1" applyFill="1" applyBorder="1" applyAlignment="1">
      <alignment horizontal="center" vertical="top"/>
    </xf>
    <xf numFmtId="0" fontId="39" fillId="12" borderId="20" xfId="0" applyFont="1" applyFill="1" applyBorder="1" applyAlignment="1">
      <alignment horizontal="center" vertical="top" wrapText="1"/>
    </xf>
    <xf numFmtId="0" fontId="3" fillId="6" borderId="89" xfId="0" applyFont="1" applyFill="1" applyBorder="1" applyAlignment="1">
      <alignment horizontal="left" vertical="top" wrapText="1"/>
    </xf>
    <xf numFmtId="0" fontId="7" fillId="6" borderId="32" xfId="0" applyFont="1" applyFill="1" applyBorder="1" applyAlignment="1">
      <alignment horizontal="center" vertical="top" wrapText="1"/>
    </xf>
    <xf numFmtId="3" fontId="3" fillId="6" borderId="93" xfId="0" applyNumberFormat="1" applyFont="1" applyFill="1" applyBorder="1" applyAlignment="1">
      <alignment horizontal="center" vertical="top" wrapText="1"/>
    </xf>
    <xf numFmtId="3" fontId="3" fillId="6" borderId="105" xfId="0" applyNumberFormat="1" applyFont="1" applyFill="1" applyBorder="1" applyAlignment="1">
      <alignment horizontal="center" vertical="top" wrapText="1"/>
    </xf>
    <xf numFmtId="0" fontId="21" fillId="0" borderId="10" xfId="0" applyFont="1" applyFill="1" applyBorder="1" applyAlignment="1">
      <alignment vertical="top" wrapText="1"/>
    </xf>
    <xf numFmtId="49" fontId="21" fillId="6" borderId="92" xfId="0" applyNumberFormat="1" applyFont="1" applyFill="1" applyBorder="1" applyAlignment="1">
      <alignment horizontal="center" vertical="top" wrapText="1"/>
    </xf>
    <xf numFmtId="0" fontId="21" fillId="6" borderId="6" xfId="0" applyFont="1" applyFill="1" applyBorder="1" applyAlignment="1">
      <alignment horizontal="center" vertical="top"/>
    </xf>
    <xf numFmtId="165" fontId="21" fillId="6" borderId="49" xfId="0" applyNumberFormat="1" applyFont="1" applyFill="1" applyBorder="1" applyAlignment="1">
      <alignment horizontal="center" vertical="top"/>
    </xf>
    <xf numFmtId="165" fontId="21" fillId="6" borderId="6" xfId="0" applyNumberFormat="1" applyFont="1" applyFill="1" applyBorder="1" applyAlignment="1">
      <alignment horizontal="center" vertical="top"/>
    </xf>
    <xf numFmtId="165" fontId="21" fillId="6" borderId="40" xfId="0" applyNumberFormat="1" applyFont="1" applyFill="1" applyBorder="1" applyAlignment="1">
      <alignment horizontal="center" vertical="top"/>
    </xf>
    <xf numFmtId="0" fontId="21" fillId="6" borderId="22" xfId="0" applyFont="1" applyFill="1" applyBorder="1" applyAlignment="1">
      <alignment horizontal="center" vertical="top"/>
    </xf>
    <xf numFmtId="165" fontId="21" fillId="6" borderId="19" xfId="0" applyNumberFormat="1" applyFont="1" applyFill="1" applyBorder="1" applyAlignment="1">
      <alignment horizontal="center" vertical="top"/>
    </xf>
    <xf numFmtId="0" fontId="21" fillId="6" borderId="9" xfId="0" applyFont="1" applyFill="1" applyBorder="1" applyAlignment="1">
      <alignment horizontal="center" vertical="top"/>
    </xf>
    <xf numFmtId="3" fontId="21" fillId="6" borderId="20" xfId="1" applyNumberFormat="1" applyFont="1" applyFill="1" applyBorder="1" applyAlignment="1">
      <alignment horizontal="center" vertical="top"/>
    </xf>
    <xf numFmtId="3" fontId="21" fillId="6" borderId="16" xfId="1" applyNumberFormat="1" applyFont="1" applyFill="1" applyBorder="1" applyAlignment="1">
      <alignment horizontal="center" vertical="top"/>
    </xf>
    <xf numFmtId="49" fontId="21" fillId="6" borderId="51" xfId="0" applyNumberFormat="1" applyFont="1" applyFill="1" applyBorder="1" applyAlignment="1">
      <alignment horizontal="center" vertical="center" wrapText="1"/>
    </xf>
    <xf numFmtId="0" fontId="21" fillId="6" borderId="32" xfId="0" applyFont="1" applyFill="1" applyBorder="1" applyAlignment="1">
      <alignment vertical="top"/>
    </xf>
    <xf numFmtId="165" fontId="3" fillId="6" borderId="20" xfId="0" applyNumberFormat="1" applyFont="1" applyFill="1" applyBorder="1" applyAlignment="1">
      <alignment horizontal="center" vertical="top" wrapText="1"/>
    </xf>
    <xf numFmtId="165" fontId="3" fillId="6" borderId="40" xfId="0" applyNumberFormat="1" applyFont="1" applyFill="1" applyBorder="1" applyAlignment="1">
      <alignment horizontal="center" vertical="top" wrapText="1"/>
    </xf>
    <xf numFmtId="0" fontId="3" fillId="6" borderId="102" xfId="0" applyFont="1" applyFill="1" applyBorder="1" applyAlignment="1">
      <alignment vertical="top" wrapText="1"/>
    </xf>
    <xf numFmtId="0" fontId="21" fillId="6" borderId="83" xfId="0" applyFont="1" applyFill="1" applyBorder="1" applyAlignment="1">
      <alignment vertical="top" wrapText="1"/>
    </xf>
    <xf numFmtId="49" fontId="21" fillId="6" borderId="76" xfId="0" applyNumberFormat="1" applyFont="1" applyFill="1" applyBorder="1" applyAlignment="1">
      <alignment horizontal="center" vertical="top" wrapText="1"/>
    </xf>
    <xf numFmtId="0" fontId="21" fillId="6" borderId="0" xfId="0" applyFont="1" applyFill="1" applyBorder="1" applyAlignment="1">
      <alignment vertical="top" wrapText="1"/>
    </xf>
    <xf numFmtId="3" fontId="21" fillId="6" borderId="78" xfId="1" applyNumberFormat="1" applyFont="1" applyFill="1" applyBorder="1" applyAlignment="1">
      <alignment horizontal="center" vertical="top"/>
    </xf>
    <xf numFmtId="3" fontId="3" fillId="6" borderId="86" xfId="1" applyNumberFormat="1" applyFont="1" applyFill="1" applyBorder="1" applyAlignment="1">
      <alignment horizontal="center" vertical="top"/>
    </xf>
    <xf numFmtId="3" fontId="21" fillId="6" borderId="85" xfId="1" applyNumberFormat="1" applyFont="1" applyFill="1" applyBorder="1" applyAlignment="1">
      <alignment horizontal="center" vertical="top"/>
    </xf>
    <xf numFmtId="3" fontId="21" fillId="6" borderId="92" xfId="1" applyNumberFormat="1" applyFont="1" applyFill="1" applyBorder="1" applyAlignment="1">
      <alignment horizontal="center" vertical="top"/>
    </xf>
    <xf numFmtId="3" fontId="3" fillId="0" borderId="32" xfId="1" applyNumberFormat="1" applyFont="1" applyFill="1" applyBorder="1" applyAlignment="1">
      <alignment horizontal="center" vertical="top"/>
    </xf>
    <xf numFmtId="3" fontId="3" fillId="0" borderId="31" xfId="1" applyNumberFormat="1" applyFont="1" applyFill="1" applyBorder="1" applyAlignment="1">
      <alignment horizontal="center" vertical="top"/>
    </xf>
    <xf numFmtId="0" fontId="36" fillId="6" borderId="16" xfId="0" applyFont="1" applyFill="1" applyBorder="1" applyAlignment="1">
      <alignment horizontal="center" vertical="center" textRotation="90" wrapText="1"/>
    </xf>
    <xf numFmtId="165" fontId="21" fillId="6" borderId="55" xfId="0" applyNumberFormat="1" applyFont="1" applyFill="1" applyBorder="1" applyAlignment="1">
      <alignment horizontal="center" vertical="top"/>
    </xf>
    <xf numFmtId="165" fontId="21" fillId="6" borderId="50" xfId="0" applyNumberFormat="1" applyFont="1" applyFill="1" applyBorder="1" applyAlignment="1">
      <alignment horizontal="right" vertical="top"/>
    </xf>
    <xf numFmtId="165" fontId="21" fillId="6" borderId="53" xfId="0" applyNumberFormat="1" applyFont="1" applyFill="1" applyBorder="1" applyAlignment="1">
      <alignment horizontal="right" vertical="top"/>
    </xf>
    <xf numFmtId="3" fontId="21" fillId="6" borderId="32" xfId="1" applyNumberFormat="1" applyFont="1" applyFill="1" applyBorder="1" applyAlignment="1">
      <alignment horizontal="center" vertical="top"/>
    </xf>
    <xf numFmtId="165" fontId="21" fillId="6" borderId="51" xfId="0" applyNumberFormat="1" applyFont="1" applyFill="1" applyBorder="1" applyAlignment="1">
      <alignment horizontal="center" vertical="top"/>
    </xf>
    <xf numFmtId="165" fontId="21" fillId="6" borderId="53" xfId="0" applyNumberFormat="1" applyFont="1" applyFill="1" applyBorder="1" applyAlignment="1">
      <alignment horizontal="center" vertical="top"/>
    </xf>
    <xf numFmtId="0" fontId="3" fillId="6" borderId="75" xfId="0" applyFont="1" applyFill="1" applyBorder="1" applyAlignment="1">
      <alignment vertical="top"/>
    </xf>
    <xf numFmtId="0" fontId="3" fillId="6" borderId="74" xfId="0" applyFont="1" applyFill="1" applyBorder="1" applyAlignment="1">
      <alignment horizontal="center" vertical="top"/>
    </xf>
    <xf numFmtId="165" fontId="3" fillId="6" borderId="81" xfId="0" applyNumberFormat="1" applyFont="1" applyFill="1" applyBorder="1" applyAlignment="1">
      <alignment horizontal="center" vertical="top"/>
    </xf>
    <xf numFmtId="0" fontId="3" fillId="6" borderId="95" xfId="0" applyFont="1" applyFill="1" applyBorder="1" applyAlignment="1">
      <alignment horizontal="center" vertical="top"/>
    </xf>
    <xf numFmtId="49" fontId="41" fillId="6" borderId="18" xfId="0" applyNumberFormat="1" applyFont="1" applyFill="1" applyBorder="1" applyAlignment="1">
      <alignment horizontal="center" vertical="top"/>
    </xf>
    <xf numFmtId="3" fontId="21" fillId="6" borderId="16" xfId="1" applyNumberFormat="1" applyFont="1" applyFill="1" applyBorder="1" applyAlignment="1">
      <alignment horizontal="center" vertical="top" wrapText="1"/>
    </xf>
    <xf numFmtId="0" fontId="21" fillId="6" borderId="38" xfId="1" applyFont="1" applyFill="1" applyBorder="1" applyAlignment="1">
      <alignment vertical="top" wrapText="1"/>
    </xf>
    <xf numFmtId="0" fontId="40" fillId="6" borderId="37" xfId="0" applyFont="1" applyFill="1" applyBorder="1" applyAlignment="1">
      <alignment horizontal="center" vertical="center" textRotation="90" wrapText="1"/>
    </xf>
    <xf numFmtId="1" fontId="3" fillId="6" borderId="47" xfId="0" applyNumberFormat="1" applyFont="1" applyFill="1" applyBorder="1" applyAlignment="1">
      <alignment horizontal="center" vertical="top" wrapText="1"/>
    </xf>
    <xf numFmtId="1" fontId="21" fillId="6" borderId="16" xfId="1" applyNumberFormat="1" applyFont="1" applyFill="1" applyBorder="1" applyAlignment="1">
      <alignment horizontal="center" vertical="top" wrapText="1"/>
    </xf>
    <xf numFmtId="0" fontId="21" fillId="6" borderId="10" xfId="1" applyFont="1" applyFill="1" applyBorder="1" applyAlignment="1">
      <alignment horizontal="left" vertical="top" wrapText="1"/>
    </xf>
    <xf numFmtId="1" fontId="3" fillId="6" borderId="37" xfId="0" applyNumberFormat="1" applyFont="1" applyFill="1" applyBorder="1" applyAlignment="1">
      <alignment horizontal="center" vertical="top" wrapText="1"/>
    </xf>
    <xf numFmtId="165" fontId="3" fillId="6" borderId="83" xfId="1" applyNumberFormat="1" applyFont="1" applyFill="1" applyBorder="1" applyAlignment="1">
      <alignment horizontal="center" vertical="top"/>
    </xf>
    <xf numFmtId="165" fontId="3" fillId="6" borderId="31" xfId="0" applyNumberFormat="1" applyFont="1" applyFill="1" applyBorder="1" applyAlignment="1">
      <alignment horizontal="center" vertical="top" wrapText="1"/>
    </xf>
    <xf numFmtId="0" fontId="21" fillId="6" borderId="63" xfId="0" applyFont="1" applyFill="1" applyBorder="1" applyAlignment="1">
      <alignment horizontal="left" vertical="top" wrapText="1"/>
    </xf>
    <xf numFmtId="0" fontId="21" fillId="6" borderId="47" xfId="0" applyFont="1" applyFill="1" applyBorder="1" applyAlignment="1">
      <alignment horizontal="left" vertical="top" wrapText="1"/>
    </xf>
    <xf numFmtId="1" fontId="21" fillId="6" borderId="32" xfId="0" applyNumberFormat="1" applyFont="1" applyFill="1" applyBorder="1" applyAlignment="1">
      <alignment horizontal="center" vertical="top" wrapText="1"/>
    </xf>
    <xf numFmtId="3" fontId="3" fillId="6" borderId="99" xfId="0" applyNumberFormat="1" applyFont="1" applyFill="1" applyBorder="1" applyAlignment="1">
      <alignment horizontal="center" vertical="top" wrapText="1"/>
    </xf>
    <xf numFmtId="4" fontId="3" fillId="0" borderId="0" xfId="0" applyNumberFormat="1" applyFont="1" applyFill="1" applyAlignment="1">
      <alignment vertical="top"/>
    </xf>
    <xf numFmtId="3" fontId="21" fillId="0" borderId="30" xfId="0" applyNumberFormat="1" applyFont="1" applyFill="1" applyBorder="1" applyAlignment="1">
      <alignment horizontal="center" vertical="top" wrapText="1"/>
    </xf>
    <xf numFmtId="0" fontId="21" fillId="6" borderId="16" xfId="0" applyFont="1" applyFill="1" applyBorder="1" applyAlignment="1">
      <alignment horizontal="center" vertical="center" textRotation="90" wrapText="1"/>
    </xf>
    <xf numFmtId="0" fontId="21" fillId="6" borderId="32" xfId="0" applyFont="1" applyFill="1" applyBorder="1" applyAlignment="1">
      <alignment horizontal="center" vertical="center" textRotation="90" wrapText="1"/>
    </xf>
    <xf numFmtId="0" fontId="21" fillId="6" borderId="16" xfId="0" applyNumberFormat="1" applyFont="1" applyFill="1" applyBorder="1" applyAlignment="1">
      <alignment horizontal="center" vertical="top" wrapText="1"/>
    </xf>
    <xf numFmtId="0" fontId="3" fillId="6" borderId="74" xfId="0" applyFont="1" applyFill="1" applyBorder="1" applyAlignment="1">
      <alignment horizontal="center" vertical="center"/>
    </xf>
    <xf numFmtId="0" fontId="3" fillId="6" borderId="76" xfId="0" applyFont="1" applyFill="1" applyBorder="1" applyAlignment="1">
      <alignment horizontal="center" vertical="top"/>
    </xf>
    <xf numFmtId="0" fontId="3" fillId="6" borderId="104" xfId="0" applyFont="1" applyFill="1" applyBorder="1" applyAlignment="1">
      <alignment horizontal="center" vertical="top"/>
    </xf>
    <xf numFmtId="0" fontId="3" fillId="6" borderId="77" xfId="0" applyFont="1" applyFill="1" applyBorder="1" applyAlignment="1">
      <alignment horizontal="center" vertical="top"/>
    </xf>
    <xf numFmtId="0" fontId="3" fillId="6" borderId="82" xfId="0" applyFont="1" applyFill="1" applyBorder="1" applyAlignment="1">
      <alignment horizontal="center" vertical="top"/>
    </xf>
    <xf numFmtId="0" fontId="21" fillId="6" borderId="92" xfId="0" applyFont="1" applyFill="1" applyBorder="1" applyAlignment="1">
      <alignment horizontal="center" vertical="center"/>
    </xf>
    <xf numFmtId="3" fontId="3" fillId="8" borderId="34" xfId="0" applyNumberFormat="1" applyFont="1" applyFill="1" applyBorder="1" applyAlignment="1">
      <alignment horizontal="center" vertical="top"/>
    </xf>
    <xf numFmtId="3" fontId="3" fillId="6" borderId="69" xfId="0" applyNumberFormat="1" applyFont="1" applyFill="1" applyBorder="1" applyAlignment="1">
      <alignment horizontal="right" vertical="center"/>
    </xf>
    <xf numFmtId="0" fontId="3" fillId="0" borderId="69" xfId="0" applyFont="1" applyBorder="1" applyAlignment="1">
      <alignment vertical="center" wrapText="1"/>
    </xf>
    <xf numFmtId="0" fontId="21" fillId="6" borderId="91" xfId="0" applyFont="1" applyFill="1" applyBorder="1" applyAlignment="1">
      <alignment vertical="center" wrapText="1"/>
    </xf>
    <xf numFmtId="0" fontId="3" fillId="6" borderId="95" xfId="0" applyFont="1" applyFill="1" applyBorder="1" applyAlignment="1">
      <alignment horizontal="center" vertical="center"/>
    </xf>
    <xf numFmtId="0" fontId="3" fillId="6" borderId="83" xfId="0" applyFont="1" applyFill="1" applyBorder="1" applyAlignment="1">
      <alignment vertical="top" wrapText="1"/>
    </xf>
    <xf numFmtId="165" fontId="3" fillId="0" borderId="40" xfId="0" applyNumberFormat="1" applyFont="1" applyFill="1" applyBorder="1" applyAlignment="1">
      <alignment horizontal="center" vertical="top"/>
    </xf>
    <xf numFmtId="165" fontId="3" fillId="0" borderId="55" xfId="0" applyNumberFormat="1" applyFont="1" applyFill="1" applyBorder="1" applyAlignment="1">
      <alignment horizontal="center" vertical="top"/>
    </xf>
    <xf numFmtId="1" fontId="3" fillId="6" borderId="78" xfId="0" applyNumberFormat="1" applyFont="1" applyFill="1" applyBorder="1" applyAlignment="1">
      <alignment horizontal="center" vertical="top" wrapText="1"/>
    </xf>
    <xf numFmtId="0" fontId="3" fillId="6" borderId="48" xfId="0" applyNumberFormat="1" applyFont="1" applyFill="1" applyBorder="1" applyAlignment="1">
      <alignment vertical="top" wrapText="1"/>
    </xf>
    <xf numFmtId="0" fontId="3" fillId="6" borderId="18" xfId="0" applyNumberFormat="1" applyFont="1" applyFill="1" applyBorder="1" applyAlignment="1">
      <alignment vertical="top" wrapText="1"/>
    </xf>
    <xf numFmtId="3" fontId="3" fillId="6" borderId="8" xfId="0" applyNumberFormat="1" applyFont="1" applyFill="1" applyBorder="1" applyAlignment="1">
      <alignment vertical="top" wrapText="1"/>
    </xf>
    <xf numFmtId="0" fontId="21" fillId="0" borderId="10" xfId="0" applyFont="1" applyBorder="1" applyAlignment="1">
      <alignment vertical="top" wrapText="1"/>
    </xf>
    <xf numFmtId="0" fontId="3" fillId="6" borderId="26" xfId="0" applyNumberFormat="1" applyFont="1" applyFill="1" applyBorder="1" applyAlignment="1">
      <alignment horizontal="center" vertical="top" wrapText="1"/>
    </xf>
    <xf numFmtId="0" fontId="3" fillId="6" borderId="45" xfId="0" applyNumberFormat="1" applyFont="1" applyFill="1" applyBorder="1" applyAlignment="1">
      <alignment horizontal="center" vertical="top" wrapText="1"/>
    </xf>
    <xf numFmtId="3" fontId="3" fillId="0" borderId="32" xfId="0" applyNumberFormat="1" applyFont="1" applyFill="1" applyBorder="1" applyAlignment="1">
      <alignment horizontal="center" vertical="top"/>
    </xf>
    <xf numFmtId="3" fontId="3" fillId="0" borderId="16" xfId="0" applyNumberFormat="1" applyFont="1" applyFill="1" applyBorder="1" applyAlignment="1">
      <alignment horizontal="center" vertical="top"/>
    </xf>
    <xf numFmtId="49" fontId="5" fillId="6" borderId="30" xfId="0" applyNumberFormat="1" applyFont="1" applyFill="1" applyBorder="1" applyAlignment="1">
      <alignment horizontal="center" vertical="top"/>
    </xf>
    <xf numFmtId="0" fontId="3" fillId="6" borderId="101" xfId="0" applyFont="1" applyFill="1" applyBorder="1" applyAlignment="1">
      <alignment vertical="top" wrapText="1"/>
    </xf>
    <xf numFmtId="165" fontId="3" fillId="6" borderId="83" xfId="0" applyNumberFormat="1" applyFont="1" applyFill="1" applyBorder="1" applyAlignment="1">
      <alignment vertical="top" wrapText="1"/>
    </xf>
    <xf numFmtId="0" fontId="3" fillId="6" borderId="76" xfId="0" applyFont="1" applyFill="1" applyBorder="1" applyAlignment="1">
      <alignment horizontal="left" vertical="top" wrapText="1"/>
    </xf>
    <xf numFmtId="0" fontId="21" fillId="6" borderId="19" xfId="0" applyFont="1" applyFill="1" applyBorder="1" applyAlignment="1">
      <alignment vertical="top" wrapText="1"/>
    </xf>
    <xf numFmtId="0" fontId="21" fillId="6" borderId="32" xfId="0" applyNumberFormat="1" applyFont="1" applyFill="1" applyBorder="1" applyAlignment="1">
      <alignment horizontal="center" vertical="top" wrapText="1"/>
    </xf>
    <xf numFmtId="0" fontId="21" fillId="0" borderId="32" xfId="0" applyFont="1" applyFill="1" applyBorder="1" applyAlignment="1">
      <alignment horizontal="center" vertical="top"/>
    </xf>
    <xf numFmtId="165" fontId="42" fillId="6" borderId="10" xfId="0" applyNumberFormat="1" applyFont="1" applyFill="1" applyBorder="1" applyAlignment="1">
      <alignment vertical="top" wrapText="1"/>
    </xf>
    <xf numFmtId="3" fontId="3" fillId="6" borderId="46" xfId="1" applyNumberFormat="1" applyFont="1" applyFill="1" applyBorder="1" applyAlignment="1">
      <alignment horizontal="center" vertical="top"/>
    </xf>
    <xf numFmtId="0" fontId="3" fillId="6" borderId="30" xfId="0" applyFont="1" applyFill="1" applyBorder="1" applyAlignment="1">
      <alignment vertical="top"/>
    </xf>
    <xf numFmtId="0" fontId="16" fillId="0" borderId="0" xfId="0" applyFont="1" applyBorder="1" applyAlignment="1">
      <alignment vertical="top"/>
    </xf>
    <xf numFmtId="49" fontId="5" fillId="6" borderId="2" xfId="0" applyNumberFormat="1" applyFont="1" applyFill="1" applyBorder="1" applyAlignment="1">
      <alignment horizontal="center" vertical="top" wrapText="1"/>
    </xf>
    <xf numFmtId="0" fontId="5" fillId="6" borderId="36" xfId="0" applyFont="1" applyFill="1" applyBorder="1" applyAlignment="1">
      <alignment horizontal="center" vertical="top" wrapText="1"/>
    </xf>
    <xf numFmtId="3" fontId="3" fillId="0" borderId="2" xfId="0" applyNumberFormat="1" applyFont="1" applyFill="1" applyBorder="1" applyAlignment="1">
      <alignment horizontal="center" vertical="top"/>
    </xf>
    <xf numFmtId="3" fontId="3" fillId="0" borderId="17" xfId="0" applyNumberFormat="1" applyFont="1" applyFill="1" applyBorder="1" applyAlignment="1">
      <alignment horizontal="center" vertical="top"/>
    </xf>
    <xf numFmtId="165" fontId="3" fillId="6" borderId="55" xfId="1" applyNumberFormat="1" applyFont="1" applyFill="1" applyBorder="1" applyAlignment="1">
      <alignment horizontal="center" vertical="top"/>
    </xf>
    <xf numFmtId="0" fontId="21" fillId="6" borderId="98" xfId="0" applyFont="1" applyFill="1" applyBorder="1" applyAlignment="1">
      <alignment vertical="center" wrapText="1"/>
    </xf>
    <xf numFmtId="0" fontId="21" fillId="6" borderId="85" xfId="0" applyFont="1" applyFill="1" applyBorder="1" applyAlignment="1">
      <alignment horizontal="center" vertical="center"/>
    </xf>
    <xf numFmtId="0" fontId="21" fillId="6" borderId="84" xfId="0" applyFont="1" applyFill="1" applyBorder="1" applyAlignment="1">
      <alignment vertical="top" wrapText="1"/>
    </xf>
    <xf numFmtId="165" fontId="3" fillId="6" borderId="22" xfId="1" applyNumberFormat="1" applyFont="1" applyFill="1" applyBorder="1" applyAlignment="1">
      <alignment horizontal="center" vertical="top"/>
    </xf>
    <xf numFmtId="165" fontId="3" fillId="6" borderId="103" xfId="0" applyNumberFormat="1" applyFont="1" applyFill="1" applyBorder="1" applyAlignment="1">
      <alignment horizontal="center" vertical="top"/>
    </xf>
    <xf numFmtId="3" fontId="21" fillId="6" borderId="82" xfId="1" applyNumberFormat="1" applyFont="1" applyFill="1" applyBorder="1" applyAlignment="1">
      <alignment horizontal="center" vertical="top" wrapText="1"/>
    </xf>
    <xf numFmtId="1" fontId="3" fillId="6" borderId="20" xfId="1" applyNumberFormat="1" applyFont="1" applyFill="1" applyBorder="1" applyAlignment="1">
      <alignment horizontal="center" vertical="top" wrapText="1"/>
    </xf>
    <xf numFmtId="3" fontId="3" fillId="6" borderId="20" xfId="1" applyNumberFormat="1" applyFont="1" applyFill="1" applyBorder="1" applyAlignment="1">
      <alignment horizontal="center" vertical="top" wrapText="1"/>
    </xf>
    <xf numFmtId="3" fontId="3" fillId="6" borderId="40" xfId="1" applyNumberFormat="1" applyFont="1" applyFill="1" applyBorder="1" applyAlignment="1">
      <alignment horizontal="center" vertical="top" wrapText="1"/>
    </xf>
    <xf numFmtId="3" fontId="3" fillId="6" borderId="1" xfId="1" applyNumberFormat="1" applyFont="1" applyFill="1" applyBorder="1" applyAlignment="1">
      <alignment horizontal="center" vertical="top" wrapText="1"/>
    </xf>
    <xf numFmtId="0" fontId="3" fillId="6" borderId="92" xfId="0" applyFont="1" applyFill="1" applyBorder="1" applyAlignment="1">
      <alignment horizontal="left" vertical="top" wrapText="1"/>
    </xf>
    <xf numFmtId="165" fontId="3" fillId="6" borderId="51" xfId="0" applyNumberFormat="1" applyFont="1" applyFill="1" applyBorder="1" applyAlignment="1">
      <alignment horizontal="center" vertical="top"/>
    </xf>
    <xf numFmtId="0" fontId="3" fillId="6" borderId="78" xfId="0" applyFont="1" applyFill="1" applyBorder="1" applyAlignment="1">
      <alignment horizontal="left" vertical="top" wrapText="1"/>
    </xf>
    <xf numFmtId="3" fontId="11" fillId="6" borderId="38" xfId="0" applyNumberFormat="1" applyFont="1" applyFill="1" applyBorder="1" applyAlignment="1">
      <alignment horizontal="center" vertical="top"/>
    </xf>
    <xf numFmtId="165" fontId="11" fillId="6" borderId="9" xfId="0" applyNumberFormat="1" applyFont="1" applyFill="1" applyBorder="1" applyAlignment="1">
      <alignment horizontal="center" vertical="top"/>
    </xf>
    <xf numFmtId="3" fontId="3" fillId="6" borderId="10" xfId="0" applyNumberFormat="1" applyFont="1" applyFill="1" applyBorder="1" applyAlignment="1">
      <alignment vertical="top" wrapText="1"/>
    </xf>
    <xf numFmtId="0" fontId="3" fillId="6" borderId="48" xfId="0" applyNumberFormat="1"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101" xfId="1" applyFont="1" applyFill="1" applyBorder="1" applyAlignment="1">
      <alignment horizontal="left" vertical="top" wrapText="1"/>
    </xf>
    <xf numFmtId="1" fontId="3" fillId="6" borderId="93" xfId="1" applyNumberFormat="1" applyFont="1" applyFill="1" applyBorder="1" applyAlignment="1">
      <alignment horizontal="center" vertical="top" wrapText="1"/>
    </xf>
    <xf numFmtId="3" fontId="3" fillId="6" borderId="105" xfId="1" applyNumberFormat="1" applyFont="1" applyFill="1" applyBorder="1" applyAlignment="1">
      <alignment horizontal="center" vertical="top" wrapText="1"/>
    </xf>
    <xf numFmtId="3" fontId="3" fillId="6" borderId="94" xfId="1" applyNumberFormat="1" applyFont="1" applyFill="1" applyBorder="1" applyAlignment="1">
      <alignment horizontal="center" vertical="top" wrapText="1"/>
    </xf>
    <xf numFmtId="0" fontId="3" fillId="6" borderId="29" xfId="1" applyFont="1" applyFill="1" applyBorder="1" applyAlignment="1">
      <alignment horizontal="left" vertical="top" wrapText="1"/>
    </xf>
    <xf numFmtId="1" fontId="3" fillId="6" borderId="32" xfId="1" applyNumberFormat="1" applyFont="1" applyFill="1" applyBorder="1" applyAlignment="1">
      <alignment horizontal="center" vertical="top" wrapText="1"/>
    </xf>
    <xf numFmtId="3" fontId="3" fillId="6" borderId="31" xfId="1" applyNumberFormat="1" applyFont="1" applyFill="1" applyBorder="1" applyAlignment="1">
      <alignment horizontal="center" vertical="top" wrapText="1"/>
    </xf>
    <xf numFmtId="0" fontId="3" fillId="0" borderId="82" xfId="0" applyFont="1" applyFill="1" applyBorder="1" applyAlignment="1">
      <alignment horizontal="center" vertical="center"/>
    </xf>
    <xf numFmtId="165" fontId="3" fillId="0" borderId="83" xfId="0" applyNumberFormat="1" applyFont="1" applyFill="1" applyBorder="1" applyAlignment="1">
      <alignment horizontal="center" vertical="top"/>
    </xf>
    <xf numFmtId="0" fontId="3" fillId="0" borderId="77" xfId="0" applyFont="1" applyFill="1" applyBorder="1" applyAlignment="1">
      <alignment horizontal="center" vertical="center"/>
    </xf>
    <xf numFmtId="0" fontId="3" fillId="0" borderId="15" xfId="0" applyFont="1" applyFill="1" applyBorder="1" applyAlignment="1">
      <alignment vertical="top" wrapText="1"/>
    </xf>
    <xf numFmtId="165" fontId="5" fillId="4" borderId="21" xfId="0" applyNumberFormat="1" applyFont="1" applyFill="1" applyBorder="1" applyAlignment="1">
      <alignment horizontal="center" vertical="top" wrapText="1"/>
    </xf>
    <xf numFmtId="0" fontId="5" fillId="6" borderId="16" xfId="0" applyFont="1" applyFill="1" applyBorder="1" applyAlignment="1">
      <alignment horizontal="center" vertical="center"/>
    </xf>
    <xf numFmtId="0" fontId="31" fillId="6" borderId="22" xfId="0" applyFont="1" applyFill="1" applyBorder="1" applyAlignment="1">
      <alignment horizontal="center" vertical="top"/>
    </xf>
    <xf numFmtId="165" fontId="31" fillId="6" borderId="63" xfId="0" applyNumberFormat="1" applyFont="1" applyFill="1" applyBorder="1" applyAlignment="1">
      <alignment horizontal="center" vertical="top"/>
    </xf>
    <xf numFmtId="165" fontId="3" fillId="6" borderId="53" xfId="0" applyNumberFormat="1" applyFont="1" applyFill="1" applyBorder="1" applyAlignment="1">
      <alignment horizontal="right" vertical="top"/>
    </xf>
    <xf numFmtId="165" fontId="3" fillId="6" borderId="50" xfId="0" applyNumberFormat="1" applyFont="1" applyFill="1" applyBorder="1" applyAlignment="1">
      <alignment horizontal="right" vertical="top"/>
    </xf>
    <xf numFmtId="0" fontId="3" fillId="6" borderId="74" xfId="0" applyFont="1" applyFill="1" applyBorder="1" applyAlignment="1">
      <alignment horizontal="center" vertical="center" wrapText="1"/>
    </xf>
    <xf numFmtId="0" fontId="3" fillId="0" borderId="75" xfId="0" applyFont="1" applyBorder="1" applyAlignment="1">
      <alignment vertical="top" wrapText="1"/>
    </xf>
    <xf numFmtId="3" fontId="3" fillId="6" borderId="92" xfId="0" applyNumberFormat="1" applyFont="1" applyFill="1" applyBorder="1" applyAlignment="1">
      <alignment horizontal="center" vertical="top" wrapText="1"/>
    </xf>
    <xf numFmtId="0" fontId="21" fillId="6" borderId="90" xfId="0" applyFont="1" applyFill="1" applyBorder="1" applyAlignment="1">
      <alignment vertical="top" wrapText="1"/>
    </xf>
    <xf numFmtId="0" fontId="21" fillId="6" borderId="80" xfId="0" applyFont="1" applyFill="1" applyBorder="1" applyAlignment="1">
      <alignment vertical="top" wrapText="1"/>
    </xf>
    <xf numFmtId="0" fontId="3" fillId="6" borderId="40" xfId="0" applyFont="1" applyFill="1" applyBorder="1" applyAlignment="1">
      <alignment vertical="top" wrapText="1"/>
    </xf>
    <xf numFmtId="0" fontId="21" fillId="6" borderId="38" xfId="0" applyFont="1" applyFill="1" applyBorder="1" applyAlignment="1">
      <alignment vertical="top" wrapText="1"/>
    </xf>
    <xf numFmtId="1" fontId="3" fillId="6" borderId="109" xfId="0" applyNumberFormat="1" applyFont="1" applyFill="1" applyBorder="1" applyAlignment="1">
      <alignment horizontal="center" vertical="top" wrapText="1"/>
    </xf>
    <xf numFmtId="1" fontId="3" fillId="6" borderId="72" xfId="0" applyNumberFormat="1" applyFont="1" applyFill="1" applyBorder="1" applyAlignment="1">
      <alignment horizontal="center" vertical="top" wrapText="1"/>
    </xf>
    <xf numFmtId="0" fontId="3" fillId="0" borderId="32" xfId="0" applyFont="1" applyFill="1" applyBorder="1" applyAlignment="1">
      <alignment horizontal="center" vertical="top" wrapText="1"/>
    </xf>
    <xf numFmtId="49" fontId="5" fillId="0" borderId="0" xfId="0" applyNumberFormat="1" applyFont="1" applyFill="1" applyBorder="1" applyAlignment="1">
      <alignment horizontal="center" vertical="top" wrapText="1"/>
    </xf>
    <xf numFmtId="3" fontId="3" fillId="0" borderId="0" xfId="0" applyNumberFormat="1" applyFont="1" applyAlignment="1">
      <alignment horizontal="left" vertical="top" wrapText="1"/>
    </xf>
    <xf numFmtId="0" fontId="3" fillId="6" borderId="16" xfId="0" applyFont="1" applyFill="1" applyBorder="1" applyAlignment="1">
      <alignment vertical="top" wrapText="1"/>
    </xf>
    <xf numFmtId="0" fontId="3" fillId="6" borderId="43" xfId="0" applyFont="1" applyFill="1" applyBorder="1" applyAlignment="1">
      <alignment horizontal="left" vertical="top" wrapText="1"/>
    </xf>
    <xf numFmtId="0" fontId="3" fillId="6" borderId="10" xfId="0" applyFont="1" applyFill="1" applyBorder="1" applyAlignment="1">
      <alignment vertical="top" wrapText="1"/>
    </xf>
    <xf numFmtId="49" fontId="5" fillId="10" borderId="10" xfId="0" applyNumberFormat="1" applyFont="1" applyFill="1" applyBorder="1" applyAlignment="1">
      <alignment horizontal="center" vertical="top"/>
    </xf>
    <xf numFmtId="49" fontId="5" fillId="3" borderId="16" xfId="0" applyNumberFormat="1" applyFont="1" applyFill="1" applyBorder="1" applyAlignment="1">
      <alignment horizontal="center" vertical="top"/>
    </xf>
    <xf numFmtId="49" fontId="5" fillId="6" borderId="18" xfId="0" applyNumberFormat="1" applyFont="1" applyFill="1" applyBorder="1" applyAlignment="1">
      <alignment horizontal="center" vertical="top"/>
    </xf>
    <xf numFmtId="0" fontId="3" fillId="6" borderId="8" xfId="0" applyFont="1" applyFill="1" applyBorder="1" applyAlignment="1">
      <alignment horizontal="left" vertical="top" wrapText="1"/>
    </xf>
    <xf numFmtId="0" fontId="3" fillId="6" borderId="89" xfId="0" applyFont="1" applyFill="1" applyBorder="1" applyAlignment="1">
      <alignment vertical="top" wrapText="1"/>
    </xf>
    <xf numFmtId="0" fontId="3" fillId="6" borderId="10" xfId="1" applyFont="1" applyFill="1" applyBorder="1" applyAlignment="1">
      <alignment vertical="top" wrapText="1"/>
    </xf>
    <xf numFmtId="49" fontId="5" fillId="10" borderId="8" xfId="0" applyNumberFormat="1" applyFont="1" applyFill="1" applyBorder="1" applyAlignment="1">
      <alignment horizontal="center" vertical="top"/>
    </xf>
    <xf numFmtId="49" fontId="5" fillId="10" borderId="11" xfId="0" applyNumberFormat="1" applyFont="1" applyFill="1" applyBorder="1" applyAlignment="1">
      <alignment horizontal="center" vertical="top"/>
    </xf>
    <xf numFmtId="49" fontId="5" fillId="3" borderId="45"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165" fontId="3" fillId="0" borderId="6" xfId="0" applyNumberFormat="1" applyFont="1" applyFill="1" applyBorder="1" applyAlignment="1">
      <alignment horizontal="center" vertical="top"/>
    </xf>
    <xf numFmtId="165" fontId="3" fillId="0" borderId="9" xfId="0" applyNumberFormat="1" applyFont="1" applyFill="1" applyBorder="1" applyAlignment="1">
      <alignment horizontal="center" vertical="top"/>
    </xf>
    <xf numFmtId="49" fontId="5" fillId="6" borderId="27" xfId="0" applyNumberFormat="1" applyFont="1" applyFill="1" applyBorder="1" applyAlignment="1">
      <alignment horizontal="center" vertical="top"/>
    </xf>
    <xf numFmtId="0" fontId="3" fillId="6" borderId="49" xfId="0" applyFont="1" applyFill="1" applyBorder="1" applyAlignment="1">
      <alignment horizontal="center" vertical="center" textRotation="90" wrapText="1"/>
    </xf>
    <xf numFmtId="0" fontId="3" fillId="6" borderId="37" xfId="0" applyFont="1" applyFill="1" applyBorder="1" applyAlignment="1">
      <alignment horizontal="center" vertical="center" textRotation="90" wrapText="1"/>
    </xf>
    <xf numFmtId="0" fontId="3" fillId="6" borderId="19" xfId="0" applyFont="1" applyFill="1" applyBorder="1" applyAlignment="1">
      <alignment horizontal="center" vertical="center" textRotation="90" wrapText="1"/>
    </xf>
    <xf numFmtId="49" fontId="5" fillId="6" borderId="48" xfId="0" applyNumberFormat="1" applyFont="1" applyFill="1" applyBorder="1" applyAlignment="1">
      <alignment horizontal="center" vertical="top"/>
    </xf>
    <xf numFmtId="0" fontId="3" fillId="6" borderId="43" xfId="1" applyFont="1" applyFill="1" applyBorder="1" applyAlignment="1">
      <alignment vertical="top" wrapText="1"/>
    </xf>
    <xf numFmtId="0" fontId="3" fillId="6" borderId="16" xfId="0" applyFont="1" applyFill="1" applyBorder="1" applyAlignment="1">
      <alignment horizontal="center" vertical="center" textRotation="90" wrapText="1"/>
    </xf>
    <xf numFmtId="0" fontId="3" fillId="6" borderId="10" xfId="0" applyFont="1" applyFill="1" applyBorder="1" applyAlignment="1">
      <alignment horizontal="left" vertical="top" wrapText="1"/>
    </xf>
    <xf numFmtId="0" fontId="3" fillId="6" borderId="32" xfId="0" applyFont="1" applyFill="1" applyBorder="1" applyAlignment="1">
      <alignment horizontal="center" vertical="center" textRotation="90" wrapText="1"/>
    </xf>
    <xf numFmtId="165" fontId="3" fillId="0" borderId="38" xfId="0" applyNumberFormat="1" applyFont="1" applyFill="1" applyBorder="1" applyAlignment="1">
      <alignment horizontal="center" vertical="top"/>
    </xf>
    <xf numFmtId="165" fontId="3" fillId="6" borderId="38" xfId="0" applyNumberFormat="1" applyFont="1" applyFill="1" applyBorder="1" applyAlignment="1">
      <alignment horizontal="center" vertical="top"/>
    </xf>
    <xf numFmtId="0" fontId="5" fillId="0" borderId="0" xfId="0" applyNumberFormat="1" applyFont="1" applyAlignment="1">
      <alignment horizontal="center" vertical="top"/>
    </xf>
    <xf numFmtId="3" fontId="3" fillId="6" borderId="39"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wrapText="1"/>
    </xf>
    <xf numFmtId="0" fontId="21" fillId="6" borderId="29" xfId="0" applyFont="1" applyFill="1" applyBorder="1" applyAlignment="1">
      <alignment horizontal="left" vertical="top" wrapText="1"/>
    </xf>
    <xf numFmtId="0" fontId="3" fillId="6" borderId="48" xfId="0" applyFont="1" applyFill="1" applyBorder="1" applyAlignment="1">
      <alignment horizontal="center" vertical="center" textRotation="90" wrapText="1"/>
    </xf>
    <xf numFmtId="0" fontId="3" fillId="6" borderId="90" xfId="0" applyFont="1" applyFill="1" applyBorder="1" applyAlignment="1">
      <alignment vertical="top" wrapText="1"/>
    </xf>
    <xf numFmtId="0" fontId="3" fillId="6" borderId="38" xfId="0" applyFont="1" applyFill="1" applyBorder="1" applyAlignment="1">
      <alignment horizontal="left" vertical="top" wrapText="1"/>
    </xf>
    <xf numFmtId="0" fontId="3" fillId="6" borderId="9" xfId="0" applyFont="1" applyFill="1" applyBorder="1" applyAlignment="1">
      <alignment horizontal="center" vertical="top" wrapText="1"/>
    </xf>
    <xf numFmtId="49" fontId="5" fillId="10" borderId="10"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3" fillId="6" borderId="46" xfId="0" applyFont="1" applyFill="1" applyBorder="1" applyAlignment="1">
      <alignment horizontal="left" vertical="top" wrapText="1"/>
    </xf>
    <xf numFmtId="0" fontId="3" fillId="6" borderId="16" xfId="0" applyFont="1" applyFill="1" applyBorder="1" applyAlignment="1">
      <alignment horizontal="left" vertical="top" wrapText="1"/>
    </xf>
    <xf numFmtId="49" fontId="5" fillId="3" borderId="16" xfId="0" applyNumberFormat="1" applyFont="1" applyFill="1" applyBorder="1" applyAlignment="1">
      <alignment horizontal="center" vertical="top"/>
    </xf>
    <xf numFmtId="49" fontId="5" fillId="6" borderId="18" xfId="0" applyNumberFormat="1" applyFont="1" applyFill="1" applyBorder="1" applyAlignment="1">
      <alignment horizontal="center" vertical="top"/>
    </xf>
    <xf numFmtId="0" fontId="3" fillId="6" borderId="89" xfId="0" applyFont="1" applyFill="1" applyBorder="1" applyAlignment="1">
      <alignment vertical="top" wrapText="1"/>
    </xf>
    <xf numFmtId="0" fontId="3" fillId="6" borderId="10" xfId="0" applyFont="1" applyFill="1" applyBorder="1" applyAlignment="1">
      <alignment horizontal="left" vertical="top" wrapText="1"/>
    </xf>
    <xf numFmtId="0" fontId="0" fillId="6" borderId="16" xfId="0" applyFill="1" applyBorder="1" applyAlignment="1">
      <alignment horizontal="left" vertical="top" wrapText="1"/>
    </xf>
    <xf numFmtId="0" fontId="3" fillId="6" borderId="43" xfId="1" applyFont="1" applyFill="1" applyBorder="1" applyAlignment="1">
      <alignment vertical="top" wrapText="1"/>
    </xf>
    <xf numFmtId="49" fontId="5" fillId="6" borderId="48"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165" fontId="3" fillId="0" borderId="51" xfId="0" applyNumberFormat="1" applyFont="1" applyFill="1" applyBorder="1" applyAlignment="1">
      <alignment horizontal="center" vertical="top"/>
    </xf>
    <xf numFmtId="0" fontId="3" fillId="6" borderId="43" xfId="0" applyFont="1" applyFill="1" applyBorder="1" applyAlignment="1">
      <alignment horizontal="left" vertical="top" wrapText="1"/>
    </xf>
    <xf numFmtId="0" fontId="3" fillId="6" borderId="90" xfId="0" applyFont="1" applyFill="1" applyBorder="1" applyAlignment="1">
      <alignment horizontal="left" vertical="top" wrapText="1"/>
    </xf>
    <xf numFmtId="165" fontId="3" fillId="0" borderId="9" xfId="0" applyNumberFormat="1" applyFont="1" applyFill="1" applyBorder="1" applyAlignment="1">
      <alignment horizontal="center" vertical="top"/>
    </xf>
    <xf numFmtId="0" fontId="3" fillId="0" borderId="10" xfId="0" applyFont="1" applyFill="1" applyBorder="1" applyAlignment="1">
      <alignment horizontal="left" vertical="top" wrapText="1"/>
    </xf>
    <xf numFmtId="49" fontId="5" fillId="10" borderId="11" xfId="0" applyNumberFormat="1" applyFont="1" applyFill="1" applyBorder="1" applyAlignment="1">
      <alignment horizontal="center" vertical="top"/>
    </xf>
    <xf numFmtId="0" fontId="5" fillId="6" borderId="16" xfId="0" applyFont="1" applyFill="1" applyBorder="1" applyAlignment="1">
      <alignment horizontal="left" vertical="top" wrapText="1"/>
    </xf>
    <xf numFmtId="0" fontId="3" fillId="6" borderId="10" xfId="0" applyFont="1" applyFill="1" applyBorder="1" applyAlignment="1">
      <alignment vertical="top" wrapText="1"/>
    </xf>
    <xf numFmtId="0" fontId="3" fillId="6" borderId="29" xfId="0" applyFont="1" applyFill="1" applyBorder="1" applyAlignment="1">
      <alignment horizontal="left" vertical="top" wrapText="1"/>
    </xf>
    <xf numFmtId="3" fontId="3" fillId="6" borderId="0" xfId="0" applyNumberFormat="1" applyFont="1" applyFill="1" applyBorder="1" applyAlignment="1">
      <alignment horizontal="center" vertical="top" wrapText="1"/>
    </xf>
    <xf numFmtId="0" fontId="3" fillId="6" borderId="43" xfId="0" applyFont="1" applyFill="1" applyBorder="1" applyAlignment="1">
      <alignment vertical="top" wrapText="1"/>
    </xf>
    <xf numFmtId="0" fontId="3" fillId="6" borderId="9" xfId="0" applyFont="1" applyFill="1" applyBorder="1" applyAlignment="1">
      <alignment horizontal="center" vertical="top" wrapText="1"/>
    </xf>
    <xf numFmtId="0" fontId="3" fillId="6" borderId="38" xfId="0" applyFont="1" applyFill="1" applyBorder="1" applyAlignment="1">
      <alignment horizontal="left" vertical="top" wrapText="1"/>
    </xf>
    <xf numFmtId="0" fontId="7" fillId="6" borderId="29" xfId="0" applyFont="1" applyFill="1" applyBorder="1" applyAlignment="1">
      <alignment vertical="top" wrapText="1"/>
    </xf>
    <xf numFmtId="0" fontId="3" fillId="0" borderId="37" xfId="0" applyFont="1" applyFill="1" applyBorder="1" applyAlignment="1">
      <alignment horizontal="center" vertical="top" wrapText="1"/>
    </xf>
    <xf numFmtId="0" fontId="26" fillId="6" borderId="101" xfId="0" applyFont="1" applyFill="1" applyBorder="1" applyAlignment="1">
      <alignment vertical="top" wrapText="1"/>
    </xf>
    <xf numFmtId="1" fontId="21" fillId="6" borderId="88" xfId="0" applyNumberFormat="1" applyFont="1" applyFill="1" applyBorder="1" applyAlignment="1">
      <alignment horizontal="center" vertical="top" wrapText="1"/>
    </xf>
    <xf numFmtId="3" fontId="3" fillId="6" borderId="49" xfId="0" applyNumberFormat="1" applyFont="1" applyFill="1" applyBorder="1" applyAlignment="1">
      <alignment horizontal="center" vertical="top"/>
    </xf>
    <xf numFmtId="3" fontId="3" fillId="6" borderId="19" xfId="0" applyNumberFormat="1" applyFont="1" applyFill="1" applyBorder="1" applyAlignment="1">
      <alignment horizontal="center" vertical="top"/>
    </xf>
    <xf numFmtId="0" fontId="3" fillId="6" borderId="0" xfId="0" applyFont="1" applyFill="1" applyBorder="1" applyAlignment="1">
      <alignment horizontal="center" vertical="center" textRotation="90" wrapText="1"/>
    </xf>
    <xf numFmtId="0" fontId="9" fillId="0" borderId="0" xfId="0" applyFont="1" applyFill="1" applyBorder="1" applyAlignment="1">
      <alignment vertical="top" wrapText="1"/>
    </xf>
    <xf numFmtId="165" fontId="3" fillId="0" borderId="16" xfId="0" applyNumberFormat="1" applyFont="1" applyFill="1" applyBorder="1" applyAlignment="1">
      <alignment horizontal="center" vertical="top" wrapText="1"/>
    </xf>
    <xf numFmtId="165" fontId="3" fillId="0" borderId="18" xfId="0" applyNumberFormat="1" applyFont="1" applyFill="1" applyBorder="1" applyAlignment="1">
      <alignment horizontal="center" vertical="top" wrapText="1"/>
    </xf>
    <xf numFmtId="0" fontId="3" fillId="6" borderId="39" xfId="0" applyFont="1" applyFill="1" applyBorder="1" applyAlignment="1">
      <alignment horizontal="center" vertical="center" textRotation="90" wrapText="1"/>
    </xf>
    <xf numFmtId="0" fontId="9" fillId="0" borderId="39" xfId="0" applyFont="1" applyFill="1" applyBorder="1" applyAlignment="1">
      <alignment vertical="top" wrapText="1"/>
    </xf>
    <xf numFmtId="165" fontId="3" fillId="0" borderId="26" xfId="0" applyNumberFormat="1" applyFont="1" applyFill="1" applyBorder="1" applyAlignment="1">
      <alignment horizontal="center" vertical="top" wrapText="1"/>
    </xf>
    <xf numFmtId="165" fontId="3" fillId="0" borderId="39" xfId="0" applyNumberFormat="1" applyFont="1" applyFill="1" applyBorder="1" applyAlignment="1">
      <alignment horizontal="center" vertical="top" wrapText="1"/>
    </xf>
    <xf numFmtId="165" fontId="3" fillId="0" borderId="27" xfId="0" applyNumberFormat="1" applyFont="1" applyFill="1" applyBorder="1" applyAlignment="1">
      <alignment horizontal="center" vertical="top" wrapText="1"/>
    </xf>
    <xf numFmtId="0" fontId="9" fillId="6" borderId="0" xfId="0" applyFont="1" applyFill="1" applyBorder="1" applyAlignment="1">
      <alignment vertical="top" wrapText="1"/>
    </xf>
    <xf numFmtId="1" fontId="3" fillId="0" borderId="16" xfId="0" applyNumberFormat="1" applyFont="1" applyFill="1" applyBorder="1" applyAlignment="1">
      <alignment horizontal="center" vertical="top" wrapText="1"/>
    </xf>
    <xf numFmtId="1" fontId="3" fillId="0" borderId="0" xfId="0" applyNumberFormat="1" applyFont="1" applyFill="1" applyBorder="1" applyAlignment="1">
      <alignment horizontal="center" vertical="top" wrapText="1"/>
    </xf>
    <xf numFmtId="49" fontId="3" fillId="6" borderId="46" xfId="0" applyNumberFormat="1" applyFont="1" applyFill="1" applyBorder="1" applyAlignment="1">
      <alignment horizontal="center" vertical="top" wrapText="1"/>
    </xf>
    <xf numFmtId="49" fontId="3" fillId="6" borderId="1" xfId="0" applyNumberFormat="1" applyFont="1" applyFill="1" applyBorder="1" applyAlignment="1">
      <alignment horizontal="center" vertical="top" wrapText="1"/>
    </xf>
    <xf numFmtId="3" fontId="21" fillId="6" borderId="20" xfId="0" applyNumberFormat="1" applyFont="1" applyFill="1" applyBorder="1" applyAlignment="1">
      <alignment horizontal="center" vertical="top"/>
    </xf>
    <xf numFmtId="0" fontId="3" fillId="0" borderId="8" xfId="0" applyFont="1" applyFill="1" applyBorder="1" applyAlignment="1">
      <alignment vertical="top" wrapText="1"/>
    </xf>
    <xf numFmtId="0" fontId="21" fillId="6" borderId="24" xfId="0" applyFont="1" applyFill="1" applyBorder="1" applyAlignment="1">
      <alignment horizontal="left" vertical="top" wrapText="1"/>
    </xf>
    <xf numFmtId="0" fontId="1" fillId="0" borderId="24" xfId="0" applyFont="1" applyBorder="1" applyAlignment="1">
      <alignment horizontal="center" vertical="center" textRotation="90" wrapText="1"/>
    </xf>
    <xf numFmtId="0" fontId="3" fillId="0" borderId="43" xfId="0" applyFont="1" applyFill="1" applyBorder="1" applyAlignment="1">
      <alignment vertical="top" wrapText="1"/>
    </xf>
    <xf numFmtId="0" fontId="30" fillId="6" borderId="16" xfId="0" applyFont="1" applyFill="1" applyBorder="1" applyAlignment="1">
      <alignment horizontal="left" vertical="top" wrapText="1"/>
    </xf>
    <xf numFmtId="165" fontId="3" fillId="6" borderId="40" xfId="1" applyNumberFormat="1" applyFont="1" applyFill="1" applyBorder="1" applyAlignment="1">
      <alignment horizontal="center" vertical="top" wrapText="1"/>
    </xf>
    <xf numFmtId="165" fontId="3" fillId="6" borderId="1" xfId="1" applyNumberFormat="1" applyFont="1" applyFill="1" applyBorder="1" applyAlignment="1">
      <alignment horizontal="center" vertical="top" wrapText="1"/>
    </xf>
    <xf numFmtId="0" fontId="3" fillId="6" borderId="37" xfId="0" applyFont="1" applyFill="1" applyBorder="1" applyAlignment="1">
      <alignment horizontal="center" vertical="center" textRotation="90"/>
    </xf>
    <xf numFmtId="0" fontId="2" fillId="6" borderId="32" xfId="0" applyFont="1" applyFill="1" applyBorder="1" applyAlignment="1">
      <alignment horizontal="center" vertical="center" textRotation="90"/>
    </xf>
    <xf numFmtId="0" fontId="3" fillId="6" borderId="84" xfId="1" applyFont="1" applyFill="1" applyBorder="1" applyAlignment="1">
      <alignment vertical="top" wrapText="1"/>
    </xf>
    <xf numFmtId="0" fontId="26" fillId="6" borderId="89" xfId="0" applyFont="1" applyFill="1" applyBorder="1" applyAlignment="1">
      <alignment horizontal="left" vertical="top" wrapText="1"/>
    </xf>
    <xf numFmtId="3" fontId="3" fillId="6" borderId="102" xfId="0" applyNumberFormat="1" applyFont="1" applyFill="1" applyBorder="1" applyAlignment="1">
      <alignment horizontal="center" vertical="top" wrapText="1"/>
    </xf>
    <xf numFmtId="0" fontId="3" fillId="2" borderId="43" xfId="0" applyFont="1" applyFill="1" applyBorder="1" applyAlignment="1">
      <alignment horizontal="left" vertical="top" wrapText="1"/>
    </xf>
    <xf numFmtId="165" fontId="3" fillId="2" borderId="40" xfId="0" applyNumberFormat="1" applyFont="1" applyFill="1" applyBorder="1" applyAlignment="1">
      <alignment horizontal="center" vertical="top"/>
    </xf>
    <xf numFmtId="165" fontId="3" fillId="2" borderId="46" xfId="0" applyNumberFormat="1" applyFont="1" applyFill="1" applyBorder="1" applyAlignment="1">
      <alignment horizontal="center" vertical="top"/>
    </xf>
    <xf numFmtId="165" fontId="3" fillId="2" borderId="1" xfId="0" applyNumberFormat="1" applyFont="1" applyFill="1" applyBorder="1" applyAlignment="1">
      <alignment horizontal="center" vertical="top"/>
    </xf>
    <xf numFmtId="1" fontId="3" fillId="6" borderId="104" xfId="1" applyNumberFormat="1" applyFont="1" applyFill="1" applyBorder="1" applyAlignment="1">
      <alignment horizontal="center" vertical="top" wrapText="1"/>
    </xf>
    <xf numFmtId="1" fontId="3" fillId="6" borderId="82" xfId="1" applyNumberFormat="1" applyFont="1" applyFill="1" applyBorder="1" applyAlignment="1">
      <alignment horizontal="center" vertical="top" wrapText="1"/>
    </xf>
    <xf numFmtId="3" fontId="3" fillId="6" borderId="82" xfId="1" applyNumberFormat="1" applyFont="1" applyFill="1" applyBorder="1" applyAlignment="1">
      <alignment horizontal="center" vertical="top" wrapText="1"/>
    </xf>
    <xf numFmtId="165" fontId="3" fillId="6" borderId="92" xfId="0" applyNumberFormat="1" applyFont="1" applyFill="1" applyBorder="1" applyAlignment="1">
      <alignment horizontal="center" vertical="top" wrapText="1"/>
    </xf>
    <xf numFmtId="165" fontId="3" fillId="6" borderId="102" xfId="0" applyNumberFormat="1" applyFont="1" applyFill="1" applyBorder="1" applyAlignment="1">
      <alignment horizontal="center" vertical="top" wrapText="1"/>
    </xf>
    <xf numFmtId="0" fontId="40" fillId="6" borderId="32" xfId="0" applyFont="1" applyFill="1" applyBorder="1" applyAlignment="1">
      <alignment horizontal="center" vertical="center" textRotation="90" wrapText="1"/>
    </xf>
    <xf numFmtId="0" fontId="0" fillId="6" borderId="24" xfId="0" applyFill="1" applyBorder="1" applyAlignment="1"/>
    <xf numFmtId="49" fontId="5" fillId="6" borderId="18"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3" fillId="6" borderId="37" xfId="0" applyFont="1" applyFill="1" applyBorder="1" applyAlignment="1">
      <alignment horizontal="center" vertical="center" textRotation="90" wrapText="1"/>
    </xf>
    <xf numFmtId="0" fontId="3" fillId="6" borderId="19" xfId="0" applyFont="1" applyFill="1" applyBorder="1" applyAlignment="1">
      <alignment horizontal="center" vertical="center" textRotation="90" wrapText="1"/>
    </xf>
    <xf numFmtId="49" fontId="5" fillId="3" borderId="48"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0" fontId="3" fillId="6" borderId="43" xfId="0" applyFont="1" applyFill="1" applyBorder="1" applyAlignment="1">
      <alignment vertical="top" wrapText="1"/>
    </xf>
    <xf numFmtId="0" fontId="3" fillId="6" borderId="10" xfId="0" applyFont="1" applyFill="1" applyBorder="1" applyAlignment="1">
      <alignment vertical="top" wrapText="1"/>
    </xf>
    <xf numFmtId="0" fontId="7" fillId="6" borderId="16" xfId="0" applyFont="1" applyFill="1" applyBorder="1" applyAlignment="1">
      <alignment vertical="top" wrapText="1"/>
    </xf>
    <xf numFmtId="0" fontId="3" fillId="6" borderId="16" xfId="0" applyFont="1" applyFill="1" applyBorder="1" applyAlignment="1">
      <alignment vertical="top" wrapText="1"/>
    </xf>
    <xf numFmtId="49" fontId="5" fillId="6" borderId="16" xfId="0" applyNumberFormat="1" applyFont="1" applyFill="1" applyBorder="1" applyAlignment="1">
      <alignment horizontal="center" vertical="top" wrapText="1"/>
    </xf>
    <xf numFmtId="0" fontId="5" fillId="6" borderId="26" xfId="0" applyFont="1" applyFill="1" applyBorder="1" applyAlignment="1">
      <alignment vertical="top" wrapText="1"/>
    </xf>
    <xf numFmtId="0" fontId="5" fillId="6" borderId="26" xfId="0" applyFont="1" applyFill="1" applyBorder="1" applyAlignment="1">
      <alignment horizontal="left" vertical="top" wrapText="1"/>
    </xf>
    <xf numFmtId="0" fontId="3" fillId="6" borderId="89" xfId="0" applyFont="1" applyFill="1" applyBorder="1" applyAlignment="1">
      <alignment vertical="top" wrapText="1"/>
    </xf>
    <xf numFmtId="165" fontId="3" fillId="6" borderId="38" xfId="0" applyNumberFormat="1" applyFont="1" applyFill="1" applyBorder="1" applyAlignment="1">
      <alignment horizontal="center" vertical="top"/>
    </xf>
    <xf numFmtId="0" fontId="3" fillId="6" borderId="10" xfId="1" applyFont="1" applyFill="1" applyBorder="1" applyAlignment="1">
      <alignment vertical="top" wrapText="1"/>
    </xf>
    <xf numFmtId="0" fontId="3" fillId="6" borderId="10" xfId="0" applyFont="1" applyFill="1" applyBorder="1" applyAlignment="1">
      <alignment horizontal="left" vertical="top" wrapText="1"/>
    </xf>
    <xf numFmtId="0" fontId="3" fillId="6" borderId="29" xfId="0" applyFont="1" applyFill="1" applyBorder="1" applyAlignment="1">
      <alignment horizontal="left" vertical="top" wrapText="1"/>
    </xf>
    <xf numFmtId="49" fontId="5" fillId="6" borderId="48" xfId="0" applyNumberFormat="1" applyFont="1" applyFill="1" applyBorder="1" applyAlignment="1">
      <alignment horizontal="center" vertical="top"/>
    </xf>
    <xf numFmtId="0" fontId="3" fillId="6" borderId="43" xfId="1" applyFont="1" applyFill="1" applyBorder="1" applyAlignment="1">
      <alignment vertical="top" wrapText="1"/>
    </xf>
    <xf numFmtId="0" fontId="5" fillId="6" borderId="8" xfId="0" applyFont="1" applyFill="1" applyBorder="1" applyAlignment="1">
      <alignment vertical="top" wrapText="1"/>
    </xf>
    <xf numFmtId="0" fontId="3" fillId="6" borderId="9" xfId="0" applyFont="1" applyFill="1" applyBorder="1" applyAlignment="1">
      <alignment horizontal="center" vertical="top" wrapText="1"/>
    </xf>
    <xf numFmtId="0" fontId="3" fillId="0" borderId="16" xfId="0" applyFont="1" applyFill="1" applyBorder="1" applyAlignment="1">
      <alignment horizontal="center" vertical="top"/>
    </xf>
    <xf numFmtId="0" fontId="3" fillId="0" borderId="92"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10" xfId="0" applyFont="1" applyBorder="1" applyAlignment="1">
      <alignment vertical="top"/>
    </xf>
    <xf numFmtId="165" fontId="3" fillId="2" borderId="44" xfId="0" applyNumberFormat="1" applyFont="1" applyFill="1" applyBorder="1" applyAlignment="1">
      <alignment horizontal="center" vertical="top"/>
    </xf>
    <xf numFmtId="165" fontId="3" fillId="2" borderId="63" xfId="0" applyNumberFormat="1" applyFont="1" applyFill="1" applyBorder="1" applyAlignment="1">
      <alignment horizontal="center" vertical="top"/>
    </xf>
    <xf numFmtId="165" fontId="3" fillId="2" borderId="22" xfId="0" applyNumberFormat="1" applyFont="1" applyFill="1" applyBorder="1" applyAlignment="1">
      <alignment horizontal="center" vertical="top"/>
    </xf>
    <xf numFmtId="3" fontId="15" fillId="0" borderId="18" xfId="0" applyNumberFormat="1" applyFont="1" applyBorder="1" applyAlignment="1">
      <alignment horizontal="center" vertical="top"/>
    </xf>
    <xf numFmtId="0" fontId="5" fillId="6" borderId="16" xfId="0" applyFont="1" applyFill="1" applyBorder="1" applyAlignment="1">
      <alignment horizontal="center" vertical="top" wrapText="1"/>
    </xf>
    <xf numFmtId="0" fontId="3" fillId="6" borderId="89" xfId="0" applyFont="1" applyFill="1" applyBorder="1" applyAlignment="1">
      <alignment vertical="top" wrapText="1"/>
    </xf>
    <xf numFmtId="165" fontId="3" fillId="6" borderId="38" xfId="0" applyNumberFormat="1" applyFont="1" applyFill="1" applyBorder="1" applyAlignment="1">
      <alignment horizontal="center" vertical="top"/>
    </xf>
    <xf numFmtId="0" fontId="3" fillId="6" borderId="16" xfId="0" applyFont="1" applyFill="1" applyBorder="1" applyAlignment="1">
      <alignment horizontal="center" vertical="center" textRotation="90" wrapText="1"/>
    </xf>
    <xf numFmtId="0" fontId="3" fillId="6" borderId="20" xfId="0" applyFont="1" applyFill="1" applyBorder="1" applyAlignment="1">
      <alignment horizontal="center" vertical="center" textRotation="90" wrapText="1"/>
    </xf>
    <xf numFmtId="0" fontId="3" fillId="6" borderId="9" xfId="0" applyFont="1" applyFill="1" applyBorder="1" applyAlignment="1">
      <alignment horizontal="center" vertical="top" wrapText="1"/>
    </xf>
    <xf numFmtId="49" fontId="3" fillId="6" borderId="97" xfId="0" applyNumberFormat="1" applyFont="1" applyFill="1" applyBorder="1" applyAlignment="1">
      <alignment horizontal="center" vertical="center" wrapText="1"/>
    </xf>
    <xf numFmtId="0" fontId="3" fillId="6" borderId="107" xfId="0" applyFont="1" applyFill="1" applyBorder="1" applyAlignment="1">
      <alignment horizontal="left" vertical="top" wrapText="1"/>
    </xf>
    <xf numFmtId="0" fontId="3" fillId="6" borderId="92" xfId="0" applyFont="1" applyFill="1" applyBorder="1" applyAlignment="1">
      <alignment vertical="top"/>
    </xf>
    <xf numFmtId="0" fontId="3" fillId="6" borderId="10" xfId="0" applyFont="1" applyFill="1" applyBorder="1" applyAlignment="1">
      <alignment horizontal="left" vertical="top" wrapText="1"/>
    </xf>
    <xf numFmtId="0" fontId="3" fillId="6" borderId="9" xfId="0" applyFont="1" applyFill="1" applyBorder="1" applyAlignment="1">
      <alignment horizontal="center" vertical="top" wrapText="1"/>
    </xf>
    <xf numFmtId="49" fontId="5" fillId="6" borderId="18" xfId="0" applyNumberFormat="1" applyFont="1" applyFill="1" applyBorder="1" applyAlignment="1">
      <alignment horizontal="center" vertical="top"/>
    </xf>
    <xf numFmtId="49" fontId="5" fillId="10" borderId="10"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0" fontId="2" fillId="6" borderId="16" xfId="0" applyFont="1" applyFill="1" applyBorder="1" applyAlignment="1">
      <alignment horizontal="center" vertical="center" textRotation="90" wrapText="1"/>
    </xf>
    <xf numFmtId="49" fontId="5" fillId="6" borderId="18" xfId="0" applyNumberFormat="1" applyFont="1" applyFill="1" applyBorder="1" applyAlignment="1">
      <alignment horizontal="center" vertical="top"/>
    </xf>
    <xf numFmtId="0" fontId="3" fillId="6" borderId="16" xfId="0" applyFont="1" applyFill="1" applyBorder="1" applyAlignment="1">
      <alignment horizontal="left" vertical="top" wrapText="1"/>
    </xf>
    <xf numFmtId="0" fontId="3" fillId="6" borderId="16" xfId="0" applyFont="1" applyFill="1" applyBorder="1" applyAlignment="1">
      <alignment horizontal="center" vertical="center" textRotation="90" wrapText="1"/>
    </xf>
    <xf numFmtId="49" fontId="5" fillId="6" borderId="16" xfId="0" applyNumberFormat="1" applyFont="1" applyFill="1" applyBorder="1" applyAlignment="1">
      <alignment horizontal="center" vertical="top"/>
    </xf>
    <xf numFmtId="0" fontId="3" fillId="6" borderId="20" xfId="0" applyFont="1" applyFill="1" applyBorder="1" applyAlignment="1">
      <alignment horizontal="center" vertical="center" textRotation="90" wrapText="1"/>
    </xf>
    <xf numFmtId="165" fontId="3" fillId="6" borderId="38" xfId="0" applyNumberFormat="1" applyFont="1" applyFill="1" applyBorder="1" applyAlignment="1">
      <alignment horizontal="center" vertical="top"/>
    </xf>
    <xf numFmtId="0" fontId="3" fillId="6" borderId="16" xfId="0" applyFont="1" applyFill="1" applyBorder="1" applyAlignment="1">
      <alignment vertical="top" wrapText="1"/>
    </xf>
    <xf numFmtId="0" fontId="3" fillId="6" borderId="43" xfId="0" applyFont="1" applyFill="1" applyBorder="1" applyAlignment="1">
      <alignment vertical="top" wrapText="1"/>
    </xf>
    <xf numFmtId="0" fontId="3" fillId="6" borderId="10" xfId="0" applyFont="1" applyFill="1" applyBorder="1" applyAlignment="1">
      <alignment vertical="top" wrapText="1"/>
    </xf>
    <xf numFmtId="49" fontId="5" fillId="6" borderId="48" xfId="0" applyNumberFormat="1" applyFont="1" applyFill="1" applyBorder="1" applyAlignment="1">
      <alignment horizontal="center" vertical="top"/>
    </xf>
    <xf numFmtId="0" fontId="3" fillId="6" borderId="90" xfId="0" applyFont="1" applyFill="1" applyBorder="1" applyAlignment="1">
      <alignment vertical="top" wrapText="1"/>
    </xf>
    <xf numFmtId="0" fontId="3" fillId="6" borderId="9" xfId="0" applyFont="1" applyFill="1" applyBorder="1" applyAlignment="1">
      <alignment horizontal="center" vertical="top" wrapText="1"/>
    </xf>
    <xf numFmtId="0" fontId="21" fillId="6" borderId="10" xfId="0" applyFont="1" applyFill="1" applyBorder="1" applyAlignment="1">
      <alignment vertical="top" wrapText="1"/>
    </xf>
    <xf numFmtId="165" fontId="3" fillId="6" borderId="6" xfId="0" applyNumberFormat="1" applyFont="1" applyFill="1" applyBorder="1" applyAlignment="1">
      <alignment horizontal="center" vertical="top" wrapText="1"/>
    </xf>
    <xf numFmtId="0" fontId="3" fillId="6" borderId="43" xfId="0" applyFont="1" applyFill="1" applyBorder="1" applyAlignment="1">
      <alignment horizontal="left" vertical="top" wrapText="1"/>
    </xf>
    <xf numFmtId="165" fontId="5" fillId="6" borderId="22" xfId="0" applyNumberFormat="1" applyFont="1" applyFill="1" applyBorder="1" applyAlignment="1">
      <alignment horizontal="center" vertical="top"/>
    </xf>
    <xf numFmtId="0" fontId="3" fillId="12" borderId="40" xfId="0" applyFont="1" applyFill="1" applyBorder="1" applyAlignment="1">
      <alignment horizontal="center" vertical="top" wrapText="1"/>
    </xf>
    <xf numFmtId="0" fontId="3" fillId="12" borderId="1" xfId="0" applyFont="1" applyFill="1" applyBorder="1" applyAlignment="1">
      <alignment horizontal="center" vertical="top" wrapText="1"/>
    </xf>
    <xf numFmtId="49" fontId="5" fillId="6" borderId="92" xfId="0" applyNumberFormat="1" applyFont="1" applyFill="1" applyBorder="1" applyAlignment="1">
      <alignment horizontal="center" vertical="top"/>
    </xf>
    <xf numFmtId="0" fontId="3" fillId="6" borderId="92" xfId="0" applyFont="1" applyFill="1" applyBorder="1" applyAlignment="1">
      <alignment horizontal="center" vertical="center" textRotation="90" wrapText="1"/>
    </xf>
    <xf numFmtId="0" fontId="3" fillId="6" borderId="96" xfId="0" applyFont="1" applyFill="1" applyBorder="1" applyAlignment="1">
      <alignment horizontal="center" vertical="top"/>
    </xf>
    <xf numFmtId="0" fontId="0" fillId="0" borderId="92" xfId="0" applyBorder="1" applyAlignment="1">
      <alignment horizontal="center" vertical="center" textRotation="90" wrapText="1"/>
    </xf>
    <xf numFmtId="49" fontId="5" fillId="6" borderId="96" xfId="0" applyNumberFormat="1" applyFont="1" applyFill="1" applyBorder="1" applyAlignment="1">
      <alignment horizontal="center" vertical="top"/>
    </xf>
    <xf numFmtId="0" fontId="16" fillId="6" borderId="29" xfId="0" applyFont="1" applyFill="1" applyBorder="1" applyAlignment="1">
      <alignment horizontal="left" vertical="top" wrapText="1"/>
    </xf>
    <xf numFmtId="3" fontId="15" fillId="8" borderId="33" xfId="0" applyNumberFormat="1" applyFont="1" applyFill="1" applyBorder="1" applyAlignment="1">
      <alignment horizontal="center" vertical="top"/>
    </xf>
    <xf numFmtId="0" fontId="3" fillId="6" borderId="19" xfId="0" applyFont="1" applyFill="1" applyBorder="1" applyAlignment="1">
      <alignment horizontal="center" vertical="center" textRotation="90" wrapText="1"/>
    </xf>
    <xf numFmtId="165" fontId="3" fillId="6" borderId="38" xfId="0" applyNumberFormat="1" applyFont="1" applyFill="1" applyBorder="1" applyAlignment="1">
      <alignment horizontal="center" vertical="top"/>
    </xf>
    <xf numFmtId="49" fontId="5" fillId="6" borderId="48" xfId="0" applyNumberFormat="1" applyFont="1" applyFill="1" applyBorder="1" applyAlignment="1">
      <alignment horizontal="center" vertical="top"/>
    </xf>
    <xf numFmtId="0" fontId="3" fillId="6" borderId="65" xfId="0" applyFont="1" applyFill="1" applyBorder="1" applyAlignment="1">
      <alignment horizontal="center" vertical="center" textRotation="90" wrapText="1"/>
    </xf>
    <xf numFmtId="0" fontId="5" fillId="6" borderId="27" xfId="0" applyFont="1" applyFill="1" applyBorder="1" applyAlignment="1">
      <alignment horizontal="center" vertical="top"/>
    </xf>
    <xf numFmtId="0" fontId="3" fillId="6" borderId="44" xfId="0" applyFont="1" applyFill="1" applyBorder="1" applyAlignment="1">
      <alignment horizontal="center" vertical="top"/>
    </xf>
    <xf numFmtId="0" fontId="3" fillId="6" borderId="69" xfId="0" applyFont="1" applyFill="1" applyBorder="1" applyAlignment="1">
      <alignment vertical="center" wrapText="1"/>
    </xf>
    <xf numFmtId="0" fontId="5" fillId="6" borderId="31" xfId="0" applyFont="1" applyFill="1" applyBorder="1" applyAlignment="1">
      <alignment horizontal="center" vertical="top"/>
    </xf>
    <xf numFmtId="0" fontId="3" fillId="6" borderId="38" xfId="0" applyFont="1" applyFill="1" applyBorder="1" applyAlignment="1">
      <alignment vertical="center" wrapText="1"/>
    </xf>
    <xf numFmtId="49" fontId="5" fillId="6" borderId="18" xfId="0" applyNumberFormat="1" applyFont="1" applyFill="1" applyBorder="1" applyAlignment="1">
      <alignment horizontal="center" vertical="top"/>
    </xf>
    <xf numFmtId="49" fontId="5" fillId="10" borderId="10" xfId="0" applyNumberFormat="1" applyFont="1" applyFill="1" applyBorder="1" applyAlignment="1">
      <alignment horizontal="center" vertical="top"/>
    </xf>
    <xf numFmtId="0" fontId="3" fillId="6" borderId="16" xfId="0" applyFont="1" applyFill="1" applyBorder="1" applyAlignment="1">
      <alignment horizontal="left" vertical="top" wrapText="1"/>
    </xf>
    <xf numFmtId="49" fontId="5" fillId="3" borderId="48" xfId="0" applyNumberFormat="1" applyFont="1" applyFill="1" applyBorder="1" applyAlignment="1">
      <alignment horizontal="center" vertical="top"/>
    </xf>
    <xf numFmtId="0" fontId="3" fillId="6" borderId="10" xfId="0" applyFont="1" applyFill="1" applyBorder="1" applyAlignment="1">
      <alignment vertical="top" wrapText="1"/>
    </xf>
    <xf numFmtId="49" fontId="5" fillId="6" borderId="48" xfId="0" applyNumberFormat="1" applyFont="1" applyFill="1" applyBorder="1" applyAlignment="1">
      <alignment horizontal="center" vertical="top"/>
    </xf>
    <xf numFmtId="0" fontId="3" fillId="6" borderId="9" xfId="0" applyFont="1" applyFill="1" applyBorder="1" applyAlignment="1">
      <alignment horizontal="center" vertical="top" wrapText="1"/>
    </xf>
    <xf numFmtId="0" fontId="31" fillId="6" borderId="97" xfId="0" applyFont="1" applyFill="1" applyBorder="1" applyAlignment="1">
      <alignment horizontal="center" vertical="top"/>
    </xf>
    <xf numFmtId="165" fontId="31" fillId="6" borderId="91" xfId="0" applyNumberFormat="1" applyFont="1" applyFill="1" applyBorder="1" applyAlignment="1">
      <alignment horizontal="center" vertical="top"/>
    </xf>
    <xf numFmtId="165" fontId="3" fillId="6" borderId="103" xfId="0" applyNumberFormat="1" applyFont="1" applyFill="1" applyBorder="1" applyAlignment="1">
      <alignment horizontal="right" vertical="top"/>
    </xf>
    <xf numFmtId="0" fontId="21" fillId="6" borderId="93" xfId="0" applyNumberFormat="1" applyFont="1" applyFill="1" applyBorder="1" applyAlignment="1">
      <alignment horizontal="center" vertical="top" wrapText="1"/>
    </xf>
    <xf numFmtId="49" fontId="5" fillId="6" borderId="18" xfId="0" applyNumberFormat="1" applyFont="1" applyFill="1" applyBorder="1" applyAlignment="1">
      <alignment horizontal="center" vertical="top"/>
    </xf>
    <xf numFmtId="49" fontId="5" fillId="10" borderId="10" xfId="0" applyNumberFormat="1" applyFont="1" applyFill="1" applyBorder="1" applyAlignment="1">
      <alignment horizontal="center" vertical="top"/>
    </xf>
    <xf numFmtId="49" fontId="5" fillId="3" borderId="16"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3" fillId="6" borderId="20" xfId="0" applyFont="1" applyFill="1" applyBorder="1" applyAlignment="1">
      <alignment horizontal="left" vertical="top" wrapText="1"/>
    </xf>
    <xf numFmtId="0" fontId="3" fillId="6" borderId="16"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6" borderId="49" xfId="0" applyFont="1" applyFill="1" applyBorder="1" applyAlignment="1">
      <alignment horizontal="center" vertical="center" textRotation="90" wrapText="1"/>
    </xf>
    <xf numFmtId="0" fontId="3" fillId="6" borderId="37" xfId="0" applyFont="1" applyFill="1" applyBorder="1" applyAlignment="1">
      <alignment horizontal="center" vertical="center" textRotation="90" wrapText="1"/>
    </xf>
    <xf numFmtId="0" fontId="3" fillId="6" borderId="19" xfId="0" applyFont="1" applyFill="1" applyBorder="1" applyAlignment="1">
      <alignment horizontal="center" vertical="center" textRotation="90" wrapText="1"/>
    </xf>
    <xf numFmtId="49" fontId="5" fillId="6" borderId="1" xfId="0" applyNumberFormat="1" applyFont="1" applyFill="1" applyBorder="1" applyAlignment="1">
      <alignment horizontal="center" vertical="top"/>
    </xf>
    <xf numFmtId="49" fontId="5" fillId="6" borderId="31"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3" borderId="45"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3" fontId="3" fillId="6" borderId="39"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wrapText="1"/>
    </xf>
    <xf numFmtId="49" fontId="5" fillId="6" borderId="27" xfId="0" applyNumberFormat="1" applyFont="1" applyFill="1" applyBorder="1" applyAlignment="1">
      <alignment horizontal="center" vertical="top"/>
    </xf>
    <xf numFmtId="0" fontId="3" fillId="6" borderId="43" xfId="0" applyFont="1" applyFill="1" applyBorder="1" applyAlignment="1">
      <alignment vertical="top" wrapText="1"/>
    </xf>
    <xf numFmtId="0" fontId="3" fillId="6" borderId="10" xfId="0" applyFont="1" applyFill="1" applyBorder="1" applyAlignment="1">
      <alignment vertical="top" wrapText="1"/>
    </xf>
    <xf numFmtId="3" fontId="3" fillId="6" borderId="93" xfId="1" applyNumberFormat="1" applyFont="1" applyFill="1" applyBorder="1" applyAlignment="1">
      <alignment horizontal="center" vertical="top" wrapText="1"/>
    </xf>
    <xf numFmtId="0" fontId="7" fillId="6" borderId="16" xfId="0" applyFont="1" applyFill="1" applyBorder="1" applyAlignment="1">
      <alignment vertical="top" wrapText="1"/>
    </xf>
    <xf numFmtId="0" fontId="3" fillId="6" borderId="16" xfId="0" applyFont="1" applyFill="1" applyBorder="1" applyAlignment="1">
      <alignment vertical="top" wrapText="1"/>
    </xf>
    <xf numFmtId="0" fontId="7" fillId="9" borderId="61" xfId="0" applyFont="1" applyFill="1" applyBorder="1" applyAlignment="1">
      <alignment horizontal="left" vertical="top" wrapText="1"/>
    </xf>
    <xf numFmtId="0" fontId="3" fillId="6" borderId="63" xfId="0" applyFont="1" applyFill="1" applyBorder="1" applyAlignment="1">
      <alignment horizontal="left" vertical="top" wrapText="1"/>
    </xf>
    <xf numFmtId="49" fontId="5" fillId="6" borderId="16" xfId="0" applyNumberFormat="1" applyFont="1" applyFill="1" applyBorder="1" applyAlignment="1">
      <alignment horizontal="center" vertical="top" wrapText="1"/>
    </xf>
    <xf numFmtId="0" fontId="3" fillId="6" borderId="32" xfId="0" applyFont="1" applyFill="1" applyBorder="1" applyAlignment="1">
      <alignment vertical="top" wrapText="1"/>
    </xf>
    <xf numFmtId="0" fontId="5" fillId="6" borderId="26" xfId="0" applyFont="1" applyFill="1" applyBorder="1" applyAlignment="1">
      <alignment vertical="top" wrapText="1"/>
    </xf>
    <xf numFmtId="0" fontId="3" fillId="6" borderId="89" xfId="0" applyFont="1" applyFill="1" applyBorder="1" applyAlignment="1">
      <alignment vertical="top" wrapText="1"/>
    </xf>
    <xf numFmtId="49" fontId="5" fillId="10" borderId="11" xfId="0" applyNumberFormat="1" applyFont="1" applyFill="1" applyBorder="1" applyAlignment="1">
      <alignment horizontal="center" vertical="top"/>
    </xf>
    <xf numFmtId="49" fontId="5" fillId="3" borderId="57" xfId="0" applyNumberFormat="1" applyFont="1" applyFill="1" applyBorder="1" applyAlignment="1">
      <alignment horizontal="center" vertical="top"/>
    </xf>
    <xf numFmtId="165" fontId="3" fillId="0" borderId="38" xfId="0" applyNumberFormat="1" applyFont="1" applyFill="1" applyBorder="1" applyAlignment="1">
      <alignment horizontal="center" vertical="top"/>
    </xf>
    <xf numFmtId="165" fontId="3" fillId="6" borderId="38" xfId="0" applyNumberFormat="1" applyFont="1" applyFill="1" applyBorder="1" applyAlignment="1">
      <alignment horizontal="center" vertical="top"/>
    </xf>
    <xf numFmtId="0" fontId="3" fillId="6" borderId="16" xfId="0" applyFont="1" applyFill="1" applyBorder="1" applyAlignment="1">
      <alignment horizontal="center" vertical="center" textRotation="90" wrapText="1"/>
    </xf>
    <xf numFmtId="0" fontId="3" fillId="6" borderId="20" xfId="0" applyFont="1" applyFill="1" applyBorder="1" applyAlignment="1">
      <alignment horizontal="center" vertical="center" textRotation="90" wrapText="1"/>
    </xf>
    <xf numFmtId="0" fontId="3" fillId="6" borderId="32" xfId="0" applyFont="1" applyFill="1" applyBorder="1" applyAlignment="1">
      <alignment horizontal="center" vertical="center" textRotation="90" wrapText="1"/>
    </xf>
    <xf numFmtId="49" fontId="5" fillId="6" borderId="18" xfId="0" applyNumberFormat="1" applyFont="1" applyFill="1" applyBorder="1" applyAlignment="1">
      <alignment horizontal="center" vertical="top" wrapText="1"/>
    </xf>
    <xf numFmtId="0" fontId="3" fillId="6" borderId="48" xfId="0" applyFont="1" applyFill="1" applyBorder="1" applyAlignment="1">
      <alignment horizontal="left" vertical="top" wrapText="1"/>
    </xf>
    <xf numFmtId="0" fontId="3" fillId="6" borderId="30" xfId="0" applyFont="1" applyFill="1" applyBorder="1" applyAlignment="1">
      <alignment horizontal="left" vertical="top" wrapText="1"/>
    </xf>
    <xf numFmtId="0" fontId="3" fillId="6" borderId="46"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6" borderId="10" xfId="1" applyFont="1" applyFill="1" applyBorder="1" applyAlignment="1">
      <alignment vertical="top" wrapText="1"/>
    </xf>
    <xf numFmtId="0" fontId="2" fillId="6" borderId="20" xfId="0" applyFont="1" applyFill="1" applyBorder="1" applyAlignment="1">
      <alignment horizontal="center" vertical="center" textRotation="90" wrapText="1"/>
    </xf>
    <xf numFmtId="0" fontId="2" fillId="6" borderId="16" xfId="0" applyFont="1" applyFill="1" applyBorder="1" applyAlignment="1">
      <alignment horizontal="center" vertical="center" textRotation="90" wrapText="1"/>
    </xf>
    <xf numFmtId="0" fontId="2" fillId="6" borderId="32" xfId="0" applyFont="1" applyFill="1" applyBorder="1" applyAlignment="1">
      <alignment horizontal="center" vertical="center" textRotation="90" wrapText="1"/>
    </xf>
    <xf numFmtId="0" fontId="3" fillId="6" borderId="10" xfId="0" applyFont="1" applyFill="1" applyBorder="1" applyAlignment="1">
      <alignment horizontal="left" vertical="top" wrapText="1"/>
    </xf>
    <xf numFmtId="0" fontId="3" fillId="6" borderId="29" xfId="0" applyFont="1" applyFill="1" applyBorder="1" applyAlignment="1">
      <alignment horizontal="left" vertical="top" wrapText="1"/>
    </xf>
    <xf numFmtId="49" fontId="5" fillId="6" borderId="48" xfId="0" applyNumberFormat="1" applyFont="1" applyFill="1" applyBorder="1" applyAlignment="1">
      <alignment horizontal="center" vertical="top"/>
    </xf>
    <xf numFmtId="0" fontId="3" fillId="6" borderId="46" xfId="0" applyFont="1" applyFill="1" applyBorder="1" applyAlignment="1">
      <alignment horizontal="center" vertical="center" textRotation="90" wrapText="1"/>
    </xf>
    <xf numFmtId="0" fontId="3" fillId="6" borderId="48" xfId="0" applyFont="1" applyFill="1" applyBorder="1" applyAlignment="1">
      <alignment horizontal="center" vertical="center" textRotation="90" wrapText="1"/>
    </xf>
    <xf numFmtId="0" fontId="3" fillId="6" borderId="43" xfId="1" applyFont="1" applyFill="1" applyBorder="1" applyAlignment="1">
      <alignment vertical="top" wrapText="1"/>
    </xf>
    <xf numFmtId="0" fontId="7" fillId="6" borderId="29" xfId="0" applyFont="1" applyFill="1" applyBorder="1" applyAlignment="1">
      <alignment vertical="top" wrapText="1"/>
    </xf>
    <xf numFmtId="0" fontId="3" fillId="6" borderId="8" xfId="0" applyFont="1" applyFill="1" applyBorder="1" applyAlignment="1">
      <alignment horizontal="left" vertical="top" wrapText="1"/>
    </xf>
    <xf numFmtId="3" fontId="3" fillId="0" borderId="0" xfId="0" applyNumberFormat="1" applyFont="1" applyFill="1" applyBorder="1" applyAlignment="1">
      <alignment horizontal="center" vertical="top" wrapText="1"/>
    </xf>
    <xf numFmtId="3" fontId="3" fillId="0" borderId="18" xfId="0" applyNumberFormat="1" applyFont="1" applyFill="1" applyBorder="1" applyAlignment="1">
      <alignment horizontal="center" vertical="top" wrapText="1"/>
    </xf>
    <xf numFmtId="0" fontId="3" fillId="6" borderId="38" xfId="0" applyFont="1" applyFill="1" applyBorder="1" applyAlignment="1">
      <alignment vertical="top" wrapText="1"/>
    </xf>
    <xf numFmtId="0" fontId="3" fillId="6" borderId="9" xfId="0" applyFont="1" applyFill="1" applyBorder="1" applyAlignment="1">
      <alignment horizontal="center" vertical="top" wrapText="1"/>
    </xf>
    <xf numFmtId="0" fontId="3" fillId="6"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left" vertical="top" wrapText="1"/>
    </xf>
    <xf numFmtId="0" fontId="21" fillId="6" borderId="10" xfId="0" applyFont="1" applyFill="1" applyBorder="1" applyAlignment="1">
      <alignment vertical="top" wrapText="1"/>
    </xf>
    <xf numFmtId="49" fontId="3" fillId="6" borderId="22" xfId="0" applyNumberFormat="1" applyFont="1" applyFill="1" applyBorder="1" applyAlignment="1">
      <alignment horizontal="center" vertical="center" wrapText="1"/>
    </xf>
    <xf numFmtId="49" fontId="21" fillId="6" borderId="9" xfId="0" applyNumberFormat="1" applyFont="1" applyFill="1" applyBorder="1" applyAlignment="1">
      <alignment horizontal="center" vertical="center" wrapText="1"/>
    </xf>
    <xf numFmtId="49" fontId="5" fillId="8" borderId="16" xfId="0" applyNumberFormat="1" applyFont="1" applyFill="1" applyBorder="1" applyAlignment="1">
      <alignment horizontal="center" vertical="top"/>
    </xf>
    <xf numFmtId="0" fontId="3" fillId="6" borderId="38" xfId="0" applyFont="1" applyFill="1" applyBorder="1" applyAlignment="1">
      <alignment horizontal="left" vertical="top" wrapText="1"/>
    </xf>
    <xf numFmtId="0" fontId="21" fillId="6" borderId="10" xfId="1" applyFont="1" applyFill="1" applyBorder="1" applyAlignment="1">
      <alignment vertical="top" wrapText="1"/>
    </xf>
    <xf numFmtId="49" fontId="3" fillId="6" borderId="9" xfId="0" applyNumberFormat="1" applyFont="1" applyFill="1" applyBorder="1" applyAlignment="1">
      <alignment horizontal="center" vertical="top" wrapText="1"/>
    </xf>
    <xf numFmtId="0" fontId="7" fillId="6" borderId="9" xfId="0" applyFont="1" applyFill="1" applyBorder="1" applyAlignment="1">
      <alignment horizontal="center" vertical="top" wrapText="1"/>
    </xf>
    <xf numFmtId="0" fontId="21" fillId="6" borderId="9" xfId="0" applyFont="1" applyFill="1" applyBorder="1" applyAlignment="1">
      <alignment horizontal="center" vertical="top" wrapText="1"/>
    </xf>
    <xf numFmtId="49" fontId="5" fillId="6" borderId="20" xfId="0" applyNumberFormat="1" applyFont="1" applyFill="1" applyBorder="1" applyAlignment="1">
      <alignment horizontal="center" vertical="top"/>
    </xf>
    <xf numFmtId="49" fontId="5" fillId="6" borderId="32" xfId="0" applyNumberFormat="1" applyFont="1" applyFill="1" applyBorder="1" applyAlignment="1">
      <alignment horizontal="center" vertical="top"/>
    </xf>
    <xf numFmtId="49" fontId="5" fillId="6" borderId="20" xfId="0" applyNumberFormat="1" applyFont="1" applyFill="1" applyBorder="1" applyAlignment="1">
      <alignment horizontal="center" vertical="top" wrapText="1"/>
    </xf>
    <xf numFmtId="49" fontId="5" fillId="6" borderId="32" xfId="0" applyNumberFormat="1" applyFont="1" applyFill="1" applyBorder="1" applyAlignment="1">
      <alignment horizontal="center" vertical="top" wrapText="1"/>
    </xf>
    <xf numFmtId="49" fontId="3" fillId="6" borderId="51" xfId="0" applyNumberFormat="1" applyFont="1" applyFill="1" applyBorder="1" applyAlignment="1">
      <alignment horizontal="center" vertical="center" wrapText="1"/>
    </xf>
    <xf numFmtId="49" fontId="3" fillId="6" borderId="9" xfId="0" applyNumberFormat="1" applyFont="1" applyFill="1" applyBorder="1" applyAlignment="1">
      <alignment horizontal="center" vertical="center" wrapText="1"/>
    </xf>
    <xf numFmtId="49" fontId="5" fillId="8" borderId="16" xfId="0" applyNumberFormat="1" applyFont="1" applyFill="1" applyBorder="1" applyAlignment="1">
      <alignment horizontal="center" vertical="top" wrapText="1"/>
    </xf>
    <xf numFmtId="0" fontId="7" fillId="6" borderId="9" xfId="0" applyFont="1" applyFill="1" applyBorder="1" applyAlignment="1">
      <alignment horizontal="center" vertical="center" wrapText="1"/>
    </xf>
    <xf numFmtId="49" fontId="35" fillId="6" borderId="18" xfId="0" applyNumberFormat="1" applyFont="1" applyFill="1" applyBorder="1" applyAlignment="1">
      <alignment horizontal="center" vertical="top"/>
    </xf>
    <xf numFmtId="49" fontId="35" fillId="6" borderId="31" xfId="0" applyNumberFormat="1" applyFont="1" applyFill="1" applyBorder="1" applyAlignment="1">
      <alignment horizontal="center" vertical="top"/>
    </xf>
    <xf numFmtId="49" fontId="21" fillId="6" borderId="22" xfId="0" applyNumberFormat="1" applyFont="1" applyFill="1" applyBorder="1" applyAlignment="1">
      <alignment horizontal="center" vertical="center" wrapText="1"/>
    </xf>
    <xf numFmtId="0" fontId="3" fillId="6" borderId="90" xfId="0" applyFont="1" applyFill="1" applyBorder="1" applyAlignment="1">
      <alignment vertical="top" wrapText="1"/>
    </xf>
    <xf numFmtId="0" fontId="3" fillId="6" borderId="43" xfId="0" applyFont="1" applyFill="1" applyBorder="1" applyAlignment="1">
      <alignment horizontal="left" vertical="top" wrapText="1"/>
    </xf>
    <xf numFmtId="49" fontId="5" fillId="8" borderId="26" xfId="0" applyNumberFormat="1" applyFont="1" applyFill="1" applyBorder="1" applyAlignment="1">
      <alignment horizontal="center" vertical="top"/>
    </xf>
    <xf numFmtId="165" fontId="31" fillId="6" borderId="97" xfId="0" applyNumberFormat="1" applyFont="1" applyFill="1" applyBorder="1" applyAlignment="1">
      <alignment horizontal="center" vertical="top"/>
    </xf>
    <xf numFmtId="165" fontId="31" fillId="6" borderId="22" xfId="0" applyNumberFormat="1" applyFont="1" applyFill="1" applyBorder="1" applyAlignment="1">
      <alignment horizontal="center" vertical="top"/>
    </xf>
    <xf numFmtId="0" fontId="7" fillId="0" borderId="32" xfId="0" applyFont="1" applyBorder="1" applyAlignment="1">
      <alignment horizontal="center" vertical="center" textRotation="90" wrapText="1"/>
    </xf>
    <xf numFmtId="165" fontId="3" fillId="6" borderId="10" xfId="0" applyNumberFormat="1" applyFont="1" applyFill="1" applyBorder="1" applyAlignment="1">
      <alignment vertical="top" wrapText="1"/>
    </xf>
    <xf numFmtId="49" fontId="5" fillId="6" borderId="18" xfId="0" applyNumberFormat="1" applyFont="1" applyFill="1" applyBorder="1" applyAlignment="1">
      <alignment horizontal="center" vertical="top"/>
    </xf>
    <xf numFmtId="49" fontId="5" fillId="10" borderId="10" xfId="0" applyNumberFormat="1" applyFont="1" applyFill="1" applyBorder="1" applyAlignment="1">
      <alignment horizontal="center" vertical="top"/>
    </xf>
    <xf numFmtId="49" fontId="5" fillId="3" borderId="16"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0" fontId="3" fillId="6" borderId="10" xfId="0" applyFont="1" applyFill="1" applyBorder="1" applyAlignment="1">
      <alignment vertical="top" wrapText="1"/>
    </xf>
    <xf numFmtId="49" fontId="5" fillId="8" borderId="16" xfId="0" applyNumberFormat="1" applyFont="1" applyFill="1" applyBorder="1" applyAlignment="1">
      <alignment horizontal="center" vertical="top"/>
    </xf>
    <xf numFmtId="0" fontId="3" fillId="6" borderId="9" xfId="0" applyFont="1" applyFill="1" applyBorder="1" applyAlignment="1">
      <alignment horizontal="center" vertical="top" wrapText="1"/>
    </xf>
    <xf numFmtId="165" fontId="3" fillId="6" borderId="48" xfId="0" applyNumberFormat="1" applyFont="1" applyFill="1" applyBorder="1" applyAlignment="1">
      <alignment horizontal="center" vertical="top" wrapText="1"/>
    </xf>
    <xf numFmtId="165" fontId="3" fillId="6" borderId="104" xfId="0" applyNumberFormat="1" applyFont="1" applyFill="1" applyBorder="1" applyAlignment="1">
      <alignment horizontal="center" vertical="top" wrapText="1"/>
    </xf>
    <xf numFmtId="165" fontId="3" fillId="6" borderId="77" xfId="0" applyNumberFormat="1" applyFont="1" applyFill="1" applyBorder="1" applyAlignment="1">
      <alignment horizontal="center" vertical="top" wrapText="1"/>
    </xf>
    <xf numFmtId="165" fontId="3" fillId="6" borderId="82" xfId="0" applyNumberFormat="1" applyFont="1" applyFill="1" applyBorder="1" applyAlignment="1">
      <alignment horizontal="center" vertical="top" wrapText="1"/>
    </xf>
    <xf numFmtId="49" fontId="5" fillId="6" borderId="18" xfId="0" applyNumberFormat="1" applyFont="1" applyFill="1" applyBorder="1" applyAlignment="1">
      <alignment horizontal="center" vertical="top"/>
    </xf>
    <xf numFmtId="49" fontId="5" fillId="10" borderId="10"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165" fontId="3" fillId="6" borderId="38" xfId="0" applyNumberFormat="1" applyFont="1" applyFill="1" applyBorder="1" applyAlignment="1">
      <alignment horizontal="center" vertical="top"/>
    </xf>
    <xf numFmtId="49" fontId="5" fillId="8" borderId="16" xfId="0" applyNumberFormat="1" applyFont="1" applyFill="1" applyBorder="1" applyAlignment="1">
      <alignment horizontal="center" vertical="top"/>
    </xf>
    <xf numFmtId="49" fontId="3" fillId="6" borderId="51" xfId="0" applyNumberFormat="1" applyFont="1" applyFill="1" applyBorder="1" applyAlignment="1">
      <alignment horizontal="center" vertical="center" wrapText="1"/>
    </xf>
    <xf numFmtId="3" fontId="4" fillId="6" borderId="0" xfId="0" applyNumberFormat="1" applyFont="1" applyFill="1" applyAlignment="1">
      <alignment horizontal="left" vertical="top" wrapText="1"/>
    </xf>
    <xf numFmtId="0" fontId="43" fillId="6" borderId="0" xfId="0" applyFont="1" applyFill="1" applyAlignment="1">
      <alignment vertical="top"/>
    </xf>
    <xf numFmtId="165" fontId="3" fillId="15" borderId="9" xfId="3" applyNumberFormat="1" applyFont="1" applyFill="1" applyBorder="1" applyAlignment="1">
      <alignment horizontal="center" vertical="top"/>
    </xf>
    <xf numFmtId="0" fontId="7" fillId="9" borderId="61" xfId="0" applyFont="1" applyFill="1" applyBorder="1" applyAlignment="1">
      <alignment horizontal="left" vertical="top" wrapText="1"/>
    </xf>
    <xf numFmtId="0" fontId="3" fillId="6" borderId="43" xfId="1" applyFont="1" applyFill="1" applyBorder="1" applyAlignment="1">
      <alignment vertical="top" wrapText="1"/>
    </xf>
    <xf numFmtId="165" fontId="3" fillId="15" borderId="22" xfId="3" applyNumberFormat="1" applyFont="1" applyFill="1" applyBorder="1" applyAlignment="1">
      <alignment horizontal="center" vertical="top"/>
    </xf>
    <xf numFmtId="3" fontId="3" fillId="6" borderId="1" xfId="0" applyNumberFormat="1" applyFont="1" applyFill="1" applyBorder="1" applyAlignment="1">
      <alignment horizontal="left" vertical="top" wrapText="1"/>
    </xf>
    <xf numFmtId="0" fontId="0" fillId="0" borderId="31" xfId="0" applyBorder="1" applyAlignment="1">
      <alignment horizontal="left" vertical="top" wrapText="1"/>
    </xf>
    <xf numFmtId="49" fontId="5" fillId="6" borderId="18" xfId="0" applyNumberFormat="1" applyFont="1" applyFill="1" applyBorder="1" applyAlignment="1">
      <alignment horizontal="center" vertical="top"/>
    </xf>
    <xf numFmtId="0" fontId="3" fillId="6" borderId="46" xfId="0" applyFont="1" applyFill="1" applyBorder="1" applyAlignment="1">
      <alignment horizontal="left" vertical="top" wrapText="1"/>
    </xf>
    <xf numFmtId="0" fontId="3" fillId="6" borderId="30" xfId="0" applyFont="1" applyFill="1" applyBorder="1" applyAlignment="1">
      <alignment horizontal="left" vertical="top" wrapText="1"/>
    </xf>
    <xf numFmtId="0" fontId="8" fillId="6" borderId="16" xfId="0" applyFont="1" applyFill="1" applyBorder="1" applyAlignment="1">
      <alignment horizontal="center" vertical="center" textRotation="90" wrapText="1"/>
    </xf>
    <xf numFmtId="0" fontId="1" fillId="0" borderId="32" xfId="0" applyFont="1" applyBorder="1" applyAlignment="1">
      <alignment horizontal="center" vertical="center" textRotation="90" wrapText="1"/>
    </xf>
    <xf numFmtId="49" fontId="5" fillId="2" borderId="18" xfId="0" applyNumberFormat="1" applyFont="1" applyFill="1" applyBorder="1" applyAlignment="1">
      <alignment horizontal="center" vertical="top"/>
    </xf>
    <xf numFmtId="49" fontId="5" fillId="2" borderId="31" xfId="0" applyNumberFormat="1" applyFont="1" applyFill="1" applyBorder="1" applyAlignment="1">
      <alignment horizontal="center" vertical="top"/>
    </xf>
    <xf numFmtId="0" fontId="3" fillId="6" borderId="20" xfId="0" applyFont="1" applyFill="1" applyBorder="1" applyAlignment="1">
      <alignment horizontal="left" vertical="top" wrapText="1"/>
    </xf>
    <xf numFmtId="0" fontId="3" fillId="6" borderId="32" xfId="0" applyFont="1" applyFill="1" applyBorder="1" applyAlignment="1">
      <alignment horizontal="left" vertical="top" wrapText="1"/>
    </xf>
    <xf numFmtId="0" fontId="8" fillId="6" borderId="20" xfId="0" applyFont="1" applyFill="1" applyBorder="1" applyAlignment="1">
      <alignment horizontal="center" vertical="center" textRotation="90" wrapText="1"/>
    </xf>
    <xf numFmtId="0" fontId="2" fillId="0" borderId="32" xfId="0" applyFont="1" applyBorder="1" applyAlignment="1">
      <alignment horizontal="center" vertical="center" textRotation="90" wrapText="1"/>
    </xf>
    <xf numFmtId="0" fontId="3" fillId="6" borderId="10" xfId="1" applyFont="1" applyFill="1" applyBorder="1" applyAlignment="1">
      <alignment vertical="top" wrapText="1"/>
    </xf>
    <xf numFmtId="0" fontId="0" fillId="0" borderId="29" xfId="0" applyBorder="1" applyAlignment="1">
      <alignment vertical="top" wrapText="1"/>
    </xf>
    <xf numFmtId="0" fontId="0" fillId="0" borderId="16" xfId="0" applyBorder="1" applyAlignment="1">
      <alignment wrapText="1"/>
    </xf>
    <xf numFmtId="0" fontId="3" fillId="6" borderId="16" xfId="0" applyFont="1" applyFill="1" applyBorder="1" applyAlignment="1">
      <alignment horizontal="left" vertical="top" wrapText="1"/>
    </xf>
    <xf numFmtId="0" fontId="3" fillId="6" borderId="48" xfId="0" applyFont="1" applyFill="1" applyBorder="1" applyAlignment="1">
      <alignment horizontal="left" vertical="top" wrapText="1"/>
    </xf>
    <xf numFmtId="0" fontId="7" fillId="6" borderId="30" xfId="0" applyFont="1" applyFill="1" applyBorder="1" applyAlignment="1">
      <alignment horizontal="left" vertical="top" wrapText="1"/>
    </xf>
    <xf numFmtId="0" fontId="7" fillId="6" borderId="48" xfId="0" applyFont="1" applyFill="1" applyBorder="1" applyAlignment="1">
      <alignment vertical="top" wrapText="1"/>
    </xf>
    <xf numFmtId="0" fontId="7" fillId="6" borderId="30" xfId="0" applyFont="1" applyFill="1" applyBorder="1" applyAlignment="1">
      <alignment vertical="top" wrapText="1"/>
    </xf>
    <xf numFmtId="0" fontId="5" fillId="0" borderId="16" xfId="0" applyFont="1" applyFill="1" applyBorder="1" applyAlignment="1">
      <alignment horizontal="left" vertical="top" wrapText="1"/>
    </xf>
    <xf numFmtId="0" fontId="0" fillId="0" borderId="16" xfId="0" applyBorder="1" applyAlignment="1">
      <alignment horizontal="left" vertical="top" wrapText="1"/>
    </xf>
    <xf numFmtId="0" fontId="0" fillId="0" borderId="32" xfId="0" applyBorder="1" applyAlignment="1">
      <alignment horizontal="left" vertical="top" wrapText="1"/>
    </xf>
    <xf numFmtId="0" fontId="3" fillId="6" borderId="16" xfId="0" applyFont="1" applyFill="1" applyBorder="1" applyAlignment="1">
      <alignment horizontal="center" vertical="center" textRotation="90" wrapText="1"/>
    </xf>
    <xf numFmtId="0" fontId="0" fillId="0" borderId="16" xfId="0" applyBorder="1" applyAlignment="1">
      <alignment horizontal="center" vertical="center" textRotation="90" wrapText="1"/>
    </xf>
    <xf numFmtId="0" fontId="2" fillId="6" borderId="20" xfId="0" applyFont="1" applyFill="1" applyBorder="1" applyAlignment="1">
      <alignment horizontal="center" vertical="center" textRotation="90" wrapText="1"/>
    </xf>
    <xf numFmtId="0" fontId="2" fillId="6" borderId="16" xfId="0" applyFont="1" applyFill="1" applyBorder="1" applyAlignment="1">
      <alignment horizontal="center" vertical="center" textRotation="90" wrapText="1"/>
    </xf>
    <xf numFmtId="0" fontId="2" fillId="6" borderId="32" xfId="0" applyFont="1" applyFill="1" applyBorder="1" applyAlignment="1">
      <alignment horizontal="center" vertical="center" textRotation="90" wrapText="1"/>
    </xf>
    <xf numFmtId="0" fontId="3" fillId="6" borderId="37" xfId="1" applyFont="1" applyFill="1" applyBorder="1" applyAlignment="1">
      <alignment vertical="top" wrapText="1"/>
    </xf>
    <xf numFmtId="0" fontId="0" fillId="0" borderId="19" xfId="0" applyBorder="1" applyAlignment="1">
      <alignment vertical="top" wrapText="1"/>
    </xf>
    <xf numFmtId="49" fontId="5" fillId="10" borderId="10" xfId="0" applyNumberFormat="1" applyFont="1" applyFill="1" applyBorder="1" applyAlignment="1">
      <alignment horizontal="center" vertical="top"/>
    </xf>
    <xf numFmtId="49" fontId="5" fillId="3" borderId="16"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0" fontId="2" fillId="6" borderId="37" xfId="0" applyFont="1" applyFill="1" applyBorder="1" applyAlignment="1">
      <alignment horizontal="center" vertical="center" textRotation="90" wrapText="1"/>
    </xf>
    <xf numFmtId="49" fontId="5" fillId="7" borderId="70" xfId="0" applyNumberFormat="1" applyFont="1" applyFill="1" applyBorder="1" applyAlignment="1">
      <alignment horizontal="left" vertical="top" wrapText="1"/>
    </xf>
    <xf numFmtId="49" fontId="5" fillId="7" borderId="64" xfId="0" applyNumberFormat="1" applyFont="1" applyFill="1" applyBorder="1" applyAlignment="1">
      <alignment horizontal="left" vertical="top" wrapText="1"/>
    </xf>
    <xf numFmtId="49" fontId="5" fillId="7" borderId="59" xfId="0" applyNumberFormat="1" applyFont="1" applyFill="1" applyBorder="1" applyAlignment="1">
      <alignment horizontal="left" vertical="top" wrapText="1"/>
    </xf>
    <xf numFmtId="0" fontId="5" fillId="4" borderId="68" xfId="0" applyFont="1" applyFill="1" applyBorder="1" applyAlignment="1">
      <alignment horizontal="left" vertical="top" wrapText="1"/>
    </xf>
    <xf numFmtId="0" fontId="5" fillId="4" borderId="41" xfId="0" applyFont="1" applyFill="1" applyBorder="1" applyAlignment="1">
      <alignment horizontal="left" vertical="top" wrapText="1"/>
    </xf>
    <xf numFmtId="0" fontId="5" fillId="4" borderId="42" xfId="0" applyFont="1" applyFill="1" applyBorder="1" applyAlignment="1">
      <alignment horizontal="left" vertical="top" wrapText="1"/>
    </xf>
    <xf numFmtId="0" fontId="5" fillId="10" borderId="35" xfId="0" applyFont="1" applyFill="1" applyBorder="1" applyAlignment="1">
      <alignment horizontal="left" vertical="top"/>
    </xf>
    <xf numFmtId="0" fontId="5" fillId="10" borderId="41" xfId="0" applyFont="1" applyFill="1" applyBorder="1" applyAlignment="1">
      <alignment horizontal="left" vertical="top"/>
    </xf>
    <xf numFmtId="0" fontId="5" fillId="10" borderId="42" xfId="0" applyFont="1" applyFill="1" applyBorder="1" applyAlignment="1">
      <alignment horizontal="left" vertical="top"/>
    </xf>
    <xf numFmtId="0" fontId="5" fillId="3" borderId="35" xfId="0" applyFont="1" applyFill="1" applyBorder="1" applyAlignment="1">
      <alignment horizontal="left" vertical="top" wrapText="1"/>
    </xf>
    <xf numFmtId="0" fontId="5" fillId="3" borderId="41" xfId="0" applyFont="1" applyFill="1" applyBorder="1" applyAlignment="1">
      <alignment horizontal="left" vertical="top" wrapText="1"/>
    </xf>
    <xf numFmtId="0" fontId="5" fillId="3" borderId="42" xfId="0" applyFont="1" applyFill="1" applyBorder="1" applyAlignment="1">
      <alignment horizontal="left" vertical="top" wrapText="1"/>
    </xf>
    <xf numFmtId="0" fontId="5" fillId="6" borderId="20" xfId="0" applyFont="1" applyFill="1" applyBorder="1" applyAlignment="1">
      <alignment horizontal="left" vertical="top" wrapText="1"/>
    </xf>
    <xf numFmtId="0" fontId="0" fillId="0" borderId="16" xfId="0" applyBorder="1" applyAlignment="1"/>
    <xf numFmtId="0" fontId="3" fillId="6" borderId="20" xfId="0" applyFont="1" applyFill="1" applyBorder="1" applyAlignment="1">
      <alignment horizontal="center" vertical="center" textRotation="90" wrapText="1"/>
    </xf>
    <xf numFmtId="0" fontId="0" fillId="6" borderId="16" xfId="0" applyFill="1" applyBorder="1" applyAlignment="1"/>
    <xf numFmtId="0" fontId="3" fillId="0" borderId="10" xfId="0" applyFont="1" applyFill="1" applyBorder="1" applyAlignment="1">
      <alignment horizontal="left" vertical="top" wrapText="1"/>
    </xf>
    <xf numFmtId="0" fontId="0" fillId="0" borderId="10" xfId="0" applyBorder="1" applyAlignment="1">
      <alignment horizontal="left" vertical="top" wrapText="1"/>
    </xf>
    <xf numFmtId="3" fontId="3" fillId="6" borderId="94" xfId="0" applyNumberFormat="1" applyFont="1" applyFill="1" applyBorder="1" applyAlignment="1">
      <alignment horizontal="left" vertical="top" wrapText="1"/>
    </xf>
    <xf numFmtId="3" fontId="4" fillId="0" borderId="0" xfId="0" applyNumberFormat="1"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28" xfId="0" applyFont="1" applyBorder="1" applyAlignment="1">
      <alignment horizontal="right" vertical="top"/>
    </xf>
    <xf numFmtId="0" fontId="0" fillId="0" borderId="28" xfId="0" applyFont="1" applyBorder="1" applyAlignment="1">
      <alignment vertical="top"/>
    </xf>
    <xf numFmtId="0" fontId="3" fillId="0" borderId="8" xfId="0" applyFont="1" applyBorder="1" applyAlignment="1">
      <alignment horizontal="center" vertical="center" textRotation="90" shrinkToFit="1"/>
    </xf>
    <xf numFmtId="0" fontId="3" fillId="0" borderId="10" xfId="0" applyFont="1" applyBorder="1" applyAlignment="1">
      <alignment horizontal="center" vertical="center" textRotation="90" shrinkToFit="1"/>
    </xf>
    <xf numFmtId="0" fontId="3" fillId="0" borderId="11" xfId="0" applyFont="1" applyBorder="1" applyAlignment="1">
      <alignment horizontal="center" vertical="center" textRotation="90" shrinkToFit="1"/>
    </xf>
    <xf numFmtId="0" fontId="3" fillId="0" borderId="26" xfId="0" applyFont="1" applyBorder="1" applyAlignment="1">
      <alignment horizontal="center" vertical="center" textRotation="90" shrinkToFit="1"/>
    </xf>
    <xf numFmtId="0" fontId="3" fillId="0" borderId="16" xfId="0" applyFont="1" applyBorder="1" applyAlignment="1">
      <alignment horizontal="center" vertical="center" textRotation="90" shrinkToFit="1"/>
    </xf>
    <xf numFmtId="0" fontId="3" fillId="0" borderId="24" xfId="0" applyFont="1" applyBorder="1" applyAlignment="1">
      <alignment horizontal="center" vertical="center" textRotation="90" shrinkToFit="1"/>
    </xf>
    <xf numFmtId="0" fontId="3" fillId="0" borderId="45"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2" xfId="0" applyFont="1" applyBorder="1" applyAlignment="1">
      <alignment horizontal="center" vertical="center" textRotation="90" shrinkToFit="1"/>
    </xf>
    <xf numFmtId="0" fontId="3" fillId="0" borderId="51" xfId="0" applyFont="1" applyBorder="1" applyAlignment="1">
      <alignment horizontal="center" vertical="center" textRotation="90" shrinkToFit="1"/>
    </xf>
    <xf numFmtId="0" fontId="3" fillId="0" borderId="34" xfId="0" applyFont="1" applyBorder="1" applyAlignment="1">
      <alignment horizontal="center" vertical="center" textRotation="90" shrinkToFit="1"/>
    </xf>
    <xf numFmtId="0" fontId="5" fillId="0" borderId="70" xfId="0" applyFont="1" applyBorder="1" applyAlignment="1">
      <alignment horizontal="center" vertical="center"/>
    </xf>
    <xf numFmtId="0" fontId="5" fillId="0" borderId="64" xfId="0" applyFont="1" applyBorder="1" applyAlignment="1">
      <alignment horizontal="center" vertical="center"/>
    </xf>
    <xf numFmtId="0" fontId="3" fillId="0" borderId="41" xfId="0" applyFont="1" applyBorder="1" applyAlignment="1">
      <alignment horizontal="center" vertical="center"/>
    </xf>
    <xf numFmtId="0" fontId="3" fillId="6" borderId="26" xfId="0" applyFont="1" applyFill="1" applyBorder="1" applyAlignment="1">
      <alignment horizontal="center" vertical="center" textRotation="90" wrapText="1" shrinkToFit="1"/>
    </xf>
    <xf numFmtId="0" fontId="3" fillId="6" borderId="16" xfId="0" applyFont="1" applyFill="1" applyBorder="1" applyAlignment="1">
      <alignment horizontal="center" vertical="center" textRotation="90" wrapText="1" shrinkToFit="1"/>
    </xf>
    <xf numFmtId="0" fontId="3" fillId="6" borderId="24" xfId="0" applyFont="1" applyFill="1" applyBorder="1" applyAlignment="1">
      <alignment horizontal="center" vertical="center" textRotation="90" wrapText="1" shrinkToFit="1"/>
    </xf>
    <xf numFmtId="0" fontId="3" fillId="0" borderId="52" xfId="0" applyNumberFormat="1" applyFont="1" applyBorder="1" applyAlignment="1">
      <alignment horizontal="center" vertical="center" textRotation="90" shrinkToFit="1"/>
    </xf>
    <xf numFmtId="0" fontId="3" fillId="0" borderId="51" xfId="0" applyNumberFormat="1" applyFont="1" applyBorder="1" applyAlignment="1">
      <alignment horizontal="center" vertical="center" textRotation="90" shrinkToFit="1"/>
    </xf>
    <xf numFmtId="0" fontId="3" fillId="0" borderId="34" xfId="0" applyNumberFormat="1" applyFont="1" applyBorder="1" applyAlignment="1">
      <alignment horizontal="center" vertical="center" textRotation="90" shrinkToFit="1"/>
    </xf>
    <xf numFmtId="0" fontId="3" fillId="0" borderId="44" xfId="0" applyFont="1" applyBorder="1" applyAlignment="1">
      <alignment horizontal="center" vertical="center" textRotation="90" shrinkToFit="1"/>
    </xf>
    <xf numFmtId="0" fontId="3" fillId="0" borderId="9" xfId="0" applyFont="1" applyBorder="1" applyAlignment="1">
      <alignment horizontal="center" vertical="center" textRotation="90" shrinkToFit="1"/>
    </xf>
    <xf numFmtId="0" fontId="3" fillId="0" borderId="60" xfId="0" applyFont="1" applyBorder="1" applyAlignment="1">
      <alignment horizontal="center" vertical="center" textRotation="90" shrinkToFit="1"/>
    </xf>
    <xf numFmtId="165" fontId="3" fillId="0" borderId="69" xfId="0" applyNumberFormat="1" applyFont="1" applyBorder="1" applyAlignment="1">
      <alignment horizontal="center" vertical="center" textRotation="90" wrapText="1"/>
    </xf>
    <xf numFmtId="0" fontId="7" fillId="0" borderId="38" xfId="0" applyFont="1" applyBorder="1" applyAlignment="1">
      <alignment horizontal="center" vertical="center" textRotation="90" wrapText="1"/>
    </xf>
    <xf numFmtId="0" fontId="7" fillId="0" borderId="33" xfId="0" applyFont="1" applyBorder="1" applyAlignment="1">
      <alignment horizontal="center" vertical="center" textRotation="90" wrapText="1"/>
    </xf>
    <xf numFmtId="0" fontId="3" fillId="0" borderId="69" xfId="0" applyFont="1" applyBorder="1" applyAlignment="1">
      <alignment horizontal="center" vertical="center" textRotation="90" wrapText="1"/>
    </xf>
    <xf numFmtId="0" fontId="3" fillId="0" borderId="38" xfId="0" applyFont="1" applyBorder="1" applyAlignment="1">
      <alignment horizontal="center" vertical="center" textRotation="90" wrapText="1"/>
    </xf>
    <xf numFmtId="0" fontId="3" fillId="0" borderId="33" xfId="0" applyFont="1" applyBorder="1" applyAlignment="1">
      <alignment horizontal="center" vertical="center" textRotation="90" wrapText="1"/>
    </xf>
    <xf numFmtId="0" fontId="3" fillId="0" borderId="43"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6" xfId="0" applyBorder="1" applyAlignment="1">
      <alignment vertical="top" wrapText="1"/>
    </xf>
    <xf numFmtId="0" fontId="3" fillId="6" borderId="32" xfId="0" applyFont="1" applyFill="1" applyBorder="1" applyAlignment="1">
      <alignment horizontal="center" vertical="center" textRotation="90" wrapText="1"/>
    </xf>
    <xf numFmtId="0" fontId="12" fillId="0" borderId="16" xfId="0" applyFont="1" applyBorder="1" applyAlignment="1">
      <alignment horizontal="center" vertical="center" textRotation="90" wrapText="1"/>
    </xf>
    <xf numFmtId="0" fontId="25" fillId="0" borderId="16" xfId="0" applyFont="1" applyBorder="1" applyAlignment="1">
      <alignment horizontal="center" wrapText="1"/>
    </xf>
    <xf numFmtId="0" fontId="25" fillId="0" borderId="32" xfId="0" applyFont="1" applyBorder="1" applyAlignment="1">
      <alignment horizontal="center" wrapText="1"/>
    </xf>
    <xf numFmtId="49" fontId="5" fillId="6" borderId="18" xfId="0" applyNumberFormat="1" applyFont="1" applyFill="1" applyBorder="1" applyAlignment="1">
      <alignment horizontal="center" vertical="top" wrapText="1"/>
    </xf>
    <xf numFmtId="49" fontId="5" fillId="6" borderId="31" xfId="0" applyNumberFormat="1" applyFont="1" applyFill="1" applyBorder="1" applyAlignment="1">
      <alignment horizontal="center" vertical="top" wrapText="1"/>
    </xf>
    <xf numFmtId="49" fontId="5" fillId="6" borderId="3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49" fontId="5" fillId="3" borderId="48" xfId="0" applyNumberFormat="1" applyFont="1" applyFill="1" applyBorder="1" applyAlignment="1">
      <alignment horizontal="center" vertical="top"/>
    </xf>
    <xf numFmtId="0" fontId="3" fillId="6" borderId="49" xfId="0" applyFont="1" applyFill="1" applyBorder="1" applyAlignment="1">
      <alignment horizontal="center" vertical="center" textRotation="90" wrapText="1"/>
    </xf>
    <xf numFmtId="0" fontId="3" fillId="6" borderId="37" xfId="0" applyFont="1" applyFill="1" applyBorder="1" applyAlignment="1">
      <alignment horizontal="center" vertical="center" textRotation="90" wrapText="1"/>
    </xf>
    <xf numFmtId="0" fontId="3" fillId="6" borderId="19" xfId="0" applyFont="1" applyFill="1" applyBorder="1" applyAlignment="1">
      <alignment horizontal="center" vertical="center" textRotation="90" wrapText="1"/>
    </xf>
    <xf numFmtId="0" fontId="3" fillId="0" borderId="16" xfId="0" applyFont="1" applyBorder="1" applyAlignment="1">
      <alignment horizontal="center" vertical="center" textRotation="90"/>
    </xf>
    <xf numFmtId="0" fontId="13" fillId="0" borderId="26" xfId="0" applyFont="1" applyFill="1" applyBorder="1" applyAlignment="1">
      <alignment horizontal="left" vertical="top" wrapText="1"/>
    </xf>
    <xf numFmtId="0" fontId="3" fillId="6" borderId="93" xfId="0" applyFont="1" applyFill="1" applyBorder="1" applyAlignment="1">
      <alignment horizontal="left" vertical="top" wrapText="1"/>
    </xf>
    <xf numFmtId="0" fontId="7" fillId="6" borderId="16" xfId="0" applyFont="1" applyFill="1" applyBorder="1" applyAlignment="1">
      <alignment horizontal="left" vertical="top" wrapText="1"/>
    </xf>
    <xf numFmtId="0" fontId="0" fillId="6" borderId="16" xfId="0" applyFill="1" applyBorder="1" applyAlignment="1">
      <alignment horizontal="left" vertical="top" wrapText="1"/>
    </xf>
    <xf numFmtId="49" fontId="5" fillId="10" borderId="8" xfId="0" applyNumberFormat="1" applyFont="1" applyFill="1" applyBorder="1" applyAlignment="1">
      <alignment horizontal="center" vertical="top"/>
    </xf>
    <xf numFmtId="49" fontId="5" fillId="10" borderId="11" xfId="0" applyNumberFormat="1" applyFont="1" applyFill="1" applyBorder="1" applyAlignment="1">
      <alignment horizontal="center" vertical="top"/>
    </xf>
    <xf numFmtId="49" fontId="5" fillId="3" borderId="45" xfId="0" applyNumberFormat="1" applyFont="1" applyFill="1" applyBorder="1" applyAlignment="1">
      <alignment horizontal="center" vertical="top"/>
    </xf>
    <xf numFmtId="49" fontId="5" fillId="3" borderId="57"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49" fontId="5" fillId="6" borderId="24" xfId="0" applyNumberFormat="1" applyFont="1" applyFill="1" applyBorder="1" applyAlignment="1">
      <alignment horizontal="center" vertical="top"/>
    </xf>
    <xf numFmtId="0" fontId="3" fillId="6" borderId="26" xfId="0" applyFont="1" applyFill="1" applyBorder="1" applyAlignment="1">
      <alignment horizontal="left" vertical="top" wrapText="1"/>
    </xf>
    <xf numFmtId="0" fontId="7" fillId="6" borderId="24" xfId="0" applyFont="1" applyFill="1" applyBorder="1" applyAlignment="1">
      <alignment vertical="top"/>
    </xf>
    <xf numFmtId="0" fontId="3" fillId="0" borderId="65" xfId="0" applyFont="1" applyFill="1" applyBorder="1" applyAlignment="1">
      <alignment horizontal="center" vertical="center" textRotation="90" wrapText="1"/>
    </xf>
    <xf numFmtId="0" fontId="3" fillId="0" borderId="37" xfId="0" applyFont="1" applyFill="1" applyBorder="1" applyAlignment="1">
      <alignment horizontal="center" vertical="center" textRotation="90" wrapText="1"/>
    </xf>
    <xf numFmtId="0" fontId="3" fillId="0" borderId="67" xfId="0" applyFont="1" applyFill="1" applyBorder="1" applyAlignment="1">
      <alignment horizontal="center" vertical="center" textRotation="90" wrapText="1"/>
    </xf>
    <xf numFmtId="49" fontId="5" fillId="0" borderId="45" xfId="0" applyNumberFormat="1" applyFont="1" applyBorder="1" applyAlignment="1">
      <alignment horizontal="center" vertical="top"/>
    </xf>
    <xf numFmtId="49" fontId="5" fillId="0" borderId="48" xfId="0" applyNumberFormat="1" applyFont="1" applyBorder="1" applyAlignment="1">
      <alignment horizontal="center" vertical="top"/>
    </xf>
    <xf numFmtId="49" fontId="5" fillId="0" borderId="57" xfId="0" applyNumberFormat="1" applyFont="1" applyBorder="1" applyAlignment="1">
      <alignment horizontal="center" vertical="top"/>
    </xf>
    <xf numFmtId="165" fontId="3" fillId="0" borderId="38" xfId="0" applyNumberFormat="1" applyFont="1" applyFill="1" applyBorder="1" applyAlignment="1">
      <alignment horizontal="center" vertical="top"/>
    </xf>
    <xf numFmtId="165" fontId="3" fillId="6" borderId="38" xfId="0" applyNumberFormat="1" applyFont="1" applyFill="1" applyBorder="1" applyAlignment="1">
      <alignment horizontal="center" vertical="top"/>
    </xf>
    <xf numFmtId="165" fontId="3" fillId="0" borderId="16" xfId="0" applyNumberFormat="1" applyFont="1" applyFill="1" applyBorder="1" applyAlignment="1">
      <alignment horizontal="center" vertical="top"/>
    </xf>
    <xf numFmtId="0" fontId="2" fillId="0" borderId="20" xfId="0" applyFont="1" applyFill="1" applyBorder="1" applyAlignment="1">
      <alignment horizontal="center" vertical="center" textRotation="90" wrapText="1"/>
    </xf>
    <xf numFmtId="0" fontId="2" fillId="0" borderId="16" xfId="0" applyFont="1" applyFill="1" applyBorder="1" applyAlignment="1">
      <alignment horizontal="center" vertical="center" textRotation="90" wrapText="1"/>
    </xf>
    <xf numFmtId="0" fontId="2" fillId="0" borderId="32" xfId="0" applyFont="1" applyFill="1" applyBorder="1" applyAlignment="1">
      <alignment horizontal="center" vertical="center" textRotation="90" wrapText="1"/>
    </xf>
    <xf numFmtId="0" fontId="3" fillId="6" borderId="65" xfId="0" applyFont="1" applyFill="1" applyBorder="1" applyAlignment="1">
      <alignment horizontal="left" vertical="top" wrapText="1"/>
    </xf>
    <xf numFmtId="0" fontId="0" fillId="0" borderId="37" xfId="0" applyBorder="1" applyAlignment="1">
      <alignment horizontal="left" vertical="top" wrapText="1"/>
    </xf>
    <xf numFmtId="0" fontId="5" fillId="6" borderId="26" xfId="0" applyFont="1" applyFill="1" applyBorder="1" applyAlignment="1">
      <alignment horizontal="left" vertical="top" wrapText="1"/>
    </xf>
    <xf numFmtId="0" fontId="5" fillId="6" borderId="16" xfId="0" applyFont="1" applyFill="1" applyBorder="1" applyAlignment="1">
      <alignment horizontal="left" vertical="top" wrapText="1"/>
    </xf>
    <xf numFmtId="0" fontId="5" fillId="6" borderId="65" xfId="0" applyFont="1" applyFill="1" applyBorder="1" applyAlignment="1">
      <alignment vertical="top" wrapText="1"/>
    </xf>
    <xf numFmtId="0" fontId="5" fillId="6" borderId="37" xfId="0" applyFont="1" applyFill="1" applyBorder="1" applyAlignment="1">
      <alignment vertical="top" wrapText="1"/>
    </xf>
    <xf numFmtId="0" fontId="2" fillId="6" borderId="20" xfId="0" applyFont="1" applyFill="1" applyBorder="1" applyAlignment="1">
      <alignment vertical="center" textRotation="90"/>
    </xf>
    <xf numFmtId="0" fontId="2" fillId="6" borderId="16" xfId="0" applyFont="1" applyFill="1" applyBorder="1" applyAlignment="1">
      <alignment vertical="center" textRotation="90"/>
    </xf>
    <xf numFmtId="0" fontId="2" fillId="6" borderId="32" xfId="0" applyFont="1" applyFill="1" applyBorder="1" applyAlignment="1">
      <alignment vertical="center" textRotation="90"/>
    </xf>
    <xf numFmtId="0" fontId="3" fillId="6" borderId="37" xfId="0" applyFont="1" applyFill="1" applyBorder="1" applyAlignment="1">
      <alignment vertical="top" wrapText="1"/>
    </xf>
    <xf numFmtId="0" fontId="0" fillId="6" borderId="19" xfId="0" applyFill="1" applyBorder="1" applyAlignment="1">
      <alignment vertical="top" wrapText="1"/>
    </xf>
    <xf numFmtId="0" fontId="14" fillId="6" borderId="46" xfId="0" applyFont="1" applyFill="1" applyBorder="1" applyAlignment="1">
      <alignment horizontal="left" vertical="top" wrapText="1"/>
    </xf>
    <xf numFmtId="0" fontId="7" fillId="6" borderId="30" xfId="0" applyFont="1" applyFill="1" applyBorder="1" applyAlignment="1"/>
    <xf numFmtId="0" fontId="3" fillId="6" borderId="37" xfId="0" applyFont="1" applyFill="1" applyBorder="1" applyAlignment="1">
      <alignment horizontal="left" vertical="top" wrapText="1"/>
    </xf>
    <xf numFmtId="0" fontId="3" fillId="6" borderId="19" xfId="0" applyFont="1" applyFill="1" applyBorder="1" applyAlignment="1">
      <alignment horizontal="left" vertical="top" wrapText="1"/>
    </xf>
    <xf numFmtId="0" fontId="14" fillId="6" borderId="48" xfId="0" applyFont="1" applyFill="1" applyBorder="1" applyAlignment="1">
      <alignment horizontal="left" vertical="top" wrapText="1"/>
    </xf>
    <xf numFmtId="0" fontId="7" fillId="6" borderId="48" xfId="0" applyFont="1" applyFill="1" applyBorder="1" applyAlignment="1">
      <alignment horizontal="left" vertical="top" wrapText="1"/>
    </xf>
    <xf numFmtId="0" fontId="7" fillId="6" borderId="48" xfId="0" applyFont="1" applyFill="1" applyBorder="1" applyAlignment="1"/>
    <xf numFmtId="0" fontId="3" fillId="6" borderId="35" xfId="0" applyFont="1" applyFill="1" applyBorder="1" applyAlignment="1">
      <alignment horizontal="left" vertical="top" wrapText="1"/>
    </xf>
    <xf numFmtId="0" fontId="7" fillId="6" borderId="35" xfId="0" applyFont="1" applyFill="1" applyBorder="1" applyAlignment="1">
      <alignment horizontal="left" vertical="top" wrapText="1"/>
    </xf>
    <xf numFmtId="49" fontId="5" fillId="6" borderId="16" xfId="0" applyNumberFormat="1" applyFont="1" applyFill="1" applyBorder="1" applyAlignment="1">
      <alignment horizontal="center" vertical="top" wrapText="1"/>
    </xf>
    <xf numFmtId="0" fontId="3" fillId="6" borderId="20" xfId="0" applyFont="1" applyFill="1" applyBorder="1" applyAlignment="1">
      <alignment vertical="top" wrapText="1"/>
    </xf>
    <xf numFmtId="0" fontId="3" fillId="6" borderId="32" xfId="0" applyFont="1" applyFill="1" applyBorder="1" applyAlignment="1">
      <alignment vertical="top" wrapText="1"/>
    </xf>
    <xf numFmtId="0" fontId="5" fillId="6" borderId="16" xfId="0" applyFont="1" applyFill="1" applyBorder="1" applyAlignment="1">
      <alignment horizontal="center" vertical="top" wrapText="1"/>
    </xf>
    <xf numFmtId="49" fontId="5" fillId="3" borderId="71" xfId="0" applyNumberFormat="1" applyFont="1" applyFill="1" applyBorder="1" applyAlignment="1">
      <alignment horizontal="right" vertical="top"/>
    </xf>
    <xf numFmtId="49" fontId="5" fillId="3" borderId="61" xfId="0" applyNumberFormat="1" applyFont="1" applyFill="1" applyBorder="1" applyAlignment="1">
      <alignment horizontal="right" vertical="top"/>
    </xf>
    <xf numFmtId="49" fontId="5" fillId="3" borderId="62" xfId="0" applyNumberFormat="1" applyFont="1" applyFill="1" applyBorder="1" applyAlignment="1">
      <alignment horizontal="right" vertical="top"/>
    </xf>
    <xf numFmtId="0" fontId="5" fillId="9" borderId="71" xfId="0" applyFont="1" applyFill="1" applyBorder="1" applyAlignment="1">
      <alignment vertical="center"/>
    </xf>
    <xf numFmtId="0" fontId="5" fillId="9" borderId="61" xfId="0" applyFont="1" applyFill="1" applyBorder="1" applyAlignment="1">
      <alignment vertical="center"/>
    </xf>
    <xf numFmtId="0" fontId="5" fillId="9" borderId="28" xfId="0" applyFont="1" applyFill="1" applyBorder="1" applyAlignment="1">
      <alignment vertical="center"/>
    </xf>
    <xf numFmtId="0" fontId="5" fillId="9" borderId="62" xfId="0" applyFont="1" applyFill="1" applyBorder="1" applyAlignment="1">
      <alignment vertical="center"/>
    </xf>
    <xf numFmtId="0" fontId="5" fillId="6" borderId="26" xfId="0" applyFont="1" applyFill="1" applyBorder="1" applyAlignment="1">
      <alignment vertical="top" wrapText="1"/>
    </xf>
    <xf numFmtId="0" fontId="0" fillId="6" borderId="32" xfId="0" applyFill="1" applyBorder="1" applyAlignment="1">
      <alignment vertical="top" wrapText="1"/>
    </xf>
    <xf numFmtId="0" fontId="3" fillId="6" borderId="16" xfId="0" applyFont="1" applyFill="1" applyBorder="1" applyAlignment="1">
      <alignment vertical="top" wrapText="1"/>
    </xf>
    <xf numFmtId="0" fontId="0" fillId="6" borderId="16" xfId="0" applyFill="1" applyBorder="1" applyAlignment="1">
      <alignment vertical="top" wrapText="1"/>
    </xf>
    <xf numFmtId="0" fontId="5" fillId="9" borderId="71" xfId="0" applyFont="1" applyFill="1" applyBorder="1" applyAlignment="1">
      <alignment horizontal="left" vertical="top" wrapText="1"/>
    </xf>
    <xf numFmtId="0" fontId="7" fillId="9" borderId="61" xfId="0" applyFont="1" applyFill="1" applyBorder="1" applyAlignment="1">
      <alignment horizontal="left" vertical="top" wrapText="1"/>
    </xf>
    <xf numFmtId="0" fontId="0" fillId="9" borderId="61" xfId="0" applyFont="1" applyFill="1" applyBorder="1" applyAlignment="1">
      <alignment horizontal="left" vertical="top" wrapText="1"/>
    </xf>
    <xf numFmtId="0" fontId="0" fillId="0" borderId="61" xfId="0" applyBorder="1" applyAlignment="1">
      <alignment horizontal="left" vertical="top" wrapText="1"/>
    </xf>
    <xf numFmtId="0" fontId="0" fillId="6" borderId="32" xfId="0" applyFill="1" applyBorder="1" applyAlignment="1">
      <alignment horizontal="left" vertical="top" wrapText="1"/>
    </xf>
    <xf numFmtId="0" fontId="3" fillId="6" borderId="93" xfId="0" applyFont="1" applyFill="1" applyBorder="1" applyAlignment="1">
      <alignment vertical="top" wrapText="1"/>
    </xf>
    <xf numFmtId="0" fontId="0" fillId="6" borderId="92" xfId="0" applyFill="1" applyBorder="1" applyAlignment="1">
      <alignment vertical="top" wrapText="1"/>
    </xf>
    <xf numFmtId="0" fontId="3" fillId="6" borderId="89" xfId="0" applyFont="1" applyFill="1" applyBorder="1" applyAlignment="1">
      <alignment vertical="top" wrapText="1"/>
    </xf>
    <xf numFmtId="0" fontId="0" fillId="6" borderId="90" xfId="0" applyFill="1" applyBorder="1" applyAlignment="1">
      <alignment vertical="top" wrapText="1"/>
    </xf>
    <xf numFmtId="3" fontId="3" fillId="6" borderId="18" xfId="0" applyNumberFormat="1" applyFont="1" applyFill="1" applyBorder="1" applyAlignment="1">
      <alignment horizontal="left" vertical="top" wrapText="1"/>
    </xf>
    <xf numFmtId="0" fontId="5" fillId="0" borderId="0" xfId="0" applyNumberFormat="1" applyFont="1" applyAlignment="1">
      <alignment horizontal="center" vertical="top"/>
    </xf>
    <xf numFmtId="0" fontId="3" fillId="8" borderId="68" xfId="0" applyFont="1" applyFill="1" applyBorder="1" applyAlignment="1">
      <alignment horizontal="left" vertical="top" wrapText="1"/>
    </xf>
    <xf numFmtId="0" fontId="3" fillId="8" borderId="41" xfId="0" applyFont="1" applyFill="1" applyBorder="1" applyAlignment="1">
      <alignment horizontal="left" vertical="top" wrapText="1"/>
    </xf>
    <xf numFmtId="0" fontId="3" fillId="8" borderId="42" xfId="0" applyFont="1" applyFill="1" applyBorder="1" applyAlignment="1">
      <alignment horizontal="left" vertical="top" wrapText="1"/>
    </xf>
    <xf numFmtId="0" fontId="5" fillId="4" borderId="68" xfId="0" applyFont="1" applyFill="1" applyBorder="1" applyAlignment="1">
      <alignment horizontal="right" vertical="top" wrapText="1"/>
    </xf>
    <xf numFmtId="0" fontId="5" fillId="4" borderId="41" xfId="0" applyFont="1" applyFill="1" applyBorder="1" applyAlignment="1">
      <alignment horizontal="right" vertical="top" wrapText="1"/>
    </xf>
    <xf numFmtId="0" fontId="5" fillId="4" borderId="42" xfId="0" applyFont="1" applyFill="1" applyBorder="1" applyAlignment="1">
      <alignment horizontal="right" vertical="top" wrapText="1"/>
    </xf>
    <xf numFmtId="165" fontId="3" fillId="2" borderId="68" xfId="0" applyNumberFormat="1" applyFont="1" applyFill="1" applyBorder="1" applyAlignment="1">
      <alignment horizontal="left" vertical="top" wrapText="1"/>
    </xf>
    <xf numFmtId="165" fontId="3" fillId="2" borderId="41" xfId="0" applyNumberFormat="1" applyFont="1" applyFill="1" applyBorder="1" applyAlignment="1">
      <alignment horizontal="left" vertical="top" wrapText="1"/>
    </xf>
    <xf numFmtId="165" fontId="3" fillId="2" borderId="42" xfId="0" applyNumberFormat="1" applyFont="1" applyFill="1" applyBorder="1" applyAlignment="1">
      <alignment horizontal="left" vertical="top" wrapText="1"/>
    </xf>
    <xf numFmtId="0" fontId="3" fillId="0" borderId="68"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6" borderId="68" xfId="0" applyFont="1" applyFill="1" applyBorder="1" applyAlignment="1">
      <alignment horizontal="left" vertical="top" wrapText="1"/>
    </xf>
    <xf numFmtId="0" fontId="3" fillId="6" borderId="41" xfId="0" applyFont="1" applyFill="1" applyBorder="1" applyAlignment="1">
      <alignment horizontal="left" vertical="top" wrapText="1"/>
    </xf>
    <xf numFmtId="0" fontId="3" fillId="6" borderId="42" xfId="0" applyFont="1" applyFill="1" applyBorder="1" applyAlignment="1">
      <alignment horizontal="left" vertical="top" wrapText="1"/>
    </xf>
    <xf numFmtId="0" fontId="3" fillId="2" borderId="63"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2" borderId="53" xfId="0" applyFont="1" applyFill="1" applyBorder="1" applyAlignment="1">
      <alignment horizontal="left" vertical="top" wrapText="1"/>
    </xf>
    <xf numFmtId="49" fontId="5" fillId="0" borderId="0" xfId="0" applyNumberFormat="1" applyFont="1" applyFill="1" applyBorder="1" applyAlignment="1">
      <alignment horizontal="center" vertical="top" wrapText="1"/>
    </xf>
    <xf numFmtId="3" fontId="5" fillId="0" borderId="58" xfId="0" applyNumberFormat="1" applyFont="1" applyBorder="1" applyAlignment="1">
      <alignment horizontal="center" vertical="center" wrapText="1"/>
    </xf>
    <xf numFmtId="3" fontId="5" fillId="0" borderId="61" xfId="0" applyNumberFormat="1" applyFont="1" applyBorder="1" applyAlignment="1">
      <alignment horizontal="center" vertical="center" wrapText="1"/>
    </xf>
    <xf numFmtId="3" fontId="5" fillId="0" borderId="62" xfId="0" applyNumberFormat="1" applyFont="1" applyBorder="1" applyAlignment="1">
      <alignment horizontal="center" vertical="center" wrapText="1"/>
    </xf>
    <xf numFmtId="0" fontId="5" fillId="4" borderId="70" xfId="0" applyFont="1" applyFill="1" applyBorder="1" applyAlignment="1">
      <alignment horizontal="right" vertical="top" wrapText="1"/>
    </xf>
    <xf numFmtId="0" fontId="5" fillId="4" borderId="64" xfId="0" applyFont="1" applyFill="1" applyBorder="1" applyAlignment="1">
      <alignment horizontal="right" vertical="top" wrapText="1"/>
    </xf>
    <xf numFmtId="0" fontId="5" fillId="4" borderId="59" xfId="0" applyFont="1" applyFill="1" applyBorder="1" applyAlignment="1">
      <alignment horizontal="right" vertical="top" wrapText="1"/>
    </xf>
    <xf numFmtId="0" fontId="5" fillId="8" borderId="68" xfId="0" applyFont="1" applyFill="1" applyBorder="1" applyAlignment="1">
      <alignment horizontal="right" vertical="top" wrapText="1"/>
    </xf>
    <xf numFmtId="0" fontId="7" fillId="8" borderId="41" xfId="0" applyFont="1" applyFill="1" applyBorder="1" applyAlignment="1">
      <alignment horizontal="right" vertical="top" wrapText="1"/>
    </xf>
    <xf numFmtId="0" fontId="7" fillId="8" borderId="42" xfId="0" applyFont="1" applyFill="1" applyBorder="1" applyAlignment="1">
      <alignment horizontal="right" vertical="top" wrapText="1"/>
    </xf>
    <xf numFmtId="0" fontId="3" fillId="6" borderId="63" xfId="0" applyFont="1" applyFill="1" applyBorder="1" applyAlignment="1">
      <alignment horizontal="left" vertical="top" wrapText="1"/>
    </xf>
    <xf numFmtId="0" fontId="3" fillId="6" borderId="47" xfId="0" applyFont="1" applyFill="1" applyBorder="1" applyAlignment="1">
      <alignment horizontal="left" vertical="top" wrapText="1"/>
    </xf>
    <xf numFmtId="0" fontId="3" fillId="6" borderId="53" xfId="0" applyFont="1" applyFill="1" applyBorder="1" applyAlignment="1">
      <alignment horizontal="left" vertical="top" wrapText="1"/>
    </xf>
    <xf numFmtId="0" fontId="5" fillId="5" borderId="33" xfId="0" applyFont="1" applyFill="1" applyBorder="1" applyAlignment="1">
      <alignment horizontal="right" vertical="top" wrapText="1"/>
    </xf>
    <xf numFmtId="0" fontId="5" fillId="5" borderId="28" xfId="0" applyFont="1" applyFill="1" applyBorder="1" applyAlignment="1">
      <alignment horizontal="right" vertical="top" wrapText="1"/>
    </xf>
    <xf numFmtId="0" fontId="5" fillId="5" borderId="34" xfId="0" applyFont="1" applyFill="1" applyBorder="1" applyAlignment="1">
      <alignment horizontal="right" vertical="top" wrapText="1"/>
    </xf>
    <xf numFmtId="0" fontId="0" fillId="0" borderId="37" xfId="0" applyBorder="1" applyAlignment="1">
      <alignment vertical="top" wrapText="1"/>
    </xf>
    <xf numFmtId="0" fontId="3" fillId="10" borderId="61" xfId="0" applyFont="1" applyFill="1" applyBorder="1" applyAlignment="1">
      <alignment horizontal="center" vertical="top" wrapText="1"/>
    </xf>
    <xf numFmtId="0" fontId="0" fillId="0" borderId="61" xfId="0" applyBorder="1" applyAlignment="1">
      <alignment horizontal="center" vertical="top" wrapText="1"/>
    </xf>
    <xf numFmtId="0" fontId="0" fillId="0" borderId="62" xfId="0" applyBorder="1" applyAlignment="1">
      <alignment horizontal="center" vertical="top" wrapText="1"/>
    </xf>
    <xf numFmtId="0" fontId="3" fillId="4" borderId="61" xfId="0" applyFont="1" applyFill="1" applyBorder="1" applyAlignment="1">
      <alignment horizontal="center" vertical="top"/>
    </xf>
    <xf numFmtId="0" fontId="3" fillId="4" borderId="62" xfId="0" applyFont="1" applyFill="1" applyBorder="1" applyAlignment="1">
      <alignment horizontal="center" vertical="top"/>
    </xf>
    <xf numFmtId="0" fontId="7" fillId="6" borderId="16" xfId="0" applyFont="1" applyFill="1" applyBorder="1" applyAlignment="1">
      <alignment vertical="top" wrapText="1"/>
    </xf>
    <xf numFmtId="49" fontId="15" fillId="10" borderId="70" xfId="0" applyNumberFormat="1" applyFont="1" applyFill="1" applyBorder="1" applyAlignment="1">
      <alignment horizontal="center" vertical="top"/>
    </xf>
    <xf numFmtId="49" fontId="15" fillId="10" borderId="38" xfId="0" applyNumberFormat="1" applyFont="1" applyFill="1" applyBorder="1" applyAlignment="1">
      <alignment horizontal="center" vertical="top"/>
    </xf>
    <xf numFmtId="49" fontId="15" fillId="9" borderId="13" xfId="0" applyNumberFormat="1" applyFont="1" applyFill="1" applyBorder="1" applyAlignment="1">
      <alignment horizontal="center" vertical="top"/>
    </xf>
    <xf numFmtId="49" fontId="15" fillId="9" borderId="16" xfId="0" applyNumberFormat="1" applyFont="1" applyFill="1" applyBorder="1" applyAlignment="1">
      <alignment horizontal="center" vertical="top"/>
    </xf>
    <xf numFmtId="49" fontId="15" fillId="6" borderId="64" xfId="0" applyNumberFormat="1" applyFont="1" applyFill="1" applyBorder="1" applyAlignment="1">
      <alignment horizontal="center" vertical="top"/>
    </xf>
    <xf numFmtId="49" fontId="15" fillId="6" borderId="0" xfId="0" applyNumberFormat="1" applyFont="1" applyFill="1" applyBorder="1" applyAlignment="1">
      <alignment horizontal="center" vertical="top"/>
    </xf>
    <xf numFmtId="3" fontId="3" fillId="6" borderId="13" xfId="0" applyNumberFormat="1" applyFont="1" applyFill="1" applyBorder="1" applyAlignment="1">
      <alignment horizontal="left" vertical="top" wrapText="1"/>
    </xf>
    <xf numFmtId="3" fontId="3" fillId="6" borderId="16" xfId="0" applyNumberFormat="1" applyFont="1" applyFill="1" applyBorder="1" applyAlignment="1">
      <alignment horizontal="left" vertical="top" wrapText="1"/>
    </xf>
    <xf numFmtId="3" fontId="5" fillId="6" borderId="39" xfId="0" applyNumberFormat="1" applyFont="1" applyFill="1" applyBorder="1" applyAlignment="1">
      <alignment horizontal="center" vertical="top" wrapText="1"/>
    </xf>
    <xf numFmtId="3" fontId="5" fillId="6" borderId="0" xfId="0" applyNumberFormat="1" applyFont="1" applyFill="1" applyBorder="1" applyAlignment="1">
      <alignment horizontal="center" vertical="top" wrapText="1"/>
    </xf>
    <xf numFmtId="0" fontId="7" fillId="6" borderId="24" xfId="0" applyFont="1" applyFill="1" applyBorder="1" applyAlignment="1">
      <alignment vertical="top" wrapText="1"/>
    </xf>
    <xf numFmtId="49" fontId="5" fillId="3" borderId="57" xfId="0" applyNumberFormat="1" applyFont="1" applyFill="1" applyBorder="1" applyAlignment="1">
      <alignment horizontal="right" vertical="top"/>
    </xf>
    <xf numFmtId="49" fontId="5" fillId="3" borderId="28" xfId="0" applyNumberFormat="1" applyFont="1" applyFill="1" applyBorder="1" applyAlignment="1">
      <alignment horizontal="right" vertical="top"/>
    </xf>
    <xf numFmtId="49" fontId="5" fillId="3" borderId="34" xfId="0" applyNumberFormat="1" applyFont="1" applyFill="1" applyBorder="1" applyAlignment="1">
      <alignment horizontal="right" vertical="top"/>
    </xf>
    <xf numFmtId="49" fontId="5" fillId="10" borderId="71" xfId="0" applyNumberFormat="1" applyFont="1" applyFill="1" applyBorder="1" applyAlignment="1">
      <alignment horizontal="right" vertical="top"/>
    </xf>
    <xf numFmtId="49" fontId="5" fillId="10" borderId="61" xfId="0" applyNumberFormat="1" applyFont="1" applyFill="1" applyBorder="1" applyAlignment="1">
      <alignment horizontal="right" vertical="top"/>
    </xf>
    <xf numFmtId="49" fontId="5" fillId="10" borderId="62" xfId="0" applyNumberFormat="1" applyFont="1" applyFill="1" applyBorder="1" applyAlignment="1">
      <alignment horizontal="right" vertical="top"/>
    </xf>
    <xf numFmtId="49" fontId="5" fillId="4" borderId="71" xfId="0" applyNumberFormat="1" applyFont="1" applyFill="1" applyBorder="1" applyAlignment="1">
      <alignment horizontal="right" vertical="top"/>
    </xf>
    <xf numFmtId="49" fontId="5" fillId="4" borderId="61" xfId="0" applyNumberFormat="1" applyFont="1" applyFill="1" applyBorder="1" applyAlignment="1">
      <alignment horizontal="right" vertical="top"/>
    </xf>
    <xf numFmtId="49" fontId="5" fillId="4" borderId="62" xfId="0" applyNumberFormat="1" applyFont="1" applyFill="1" applyBorder="1" applyAlignment="1">
      <alignment horizontal="right" vertical="top"/>
    </xf>
    <xf numFmtId="0" fontId="3" fillId="6" borderId="43" xfId="0" applyFont="1" applyFill="1" applyBorder="1" applyAlignment="1">
      <alignment vertical="top" wrapText="1"/>
    </xf>
    <xf numFmtId="0" fontId="3" fillId="6" borderId="10" xfId="0" applyFont="1" applyFill="1" applyBorder="1" applyAlignment="1">
      <alignment vertical="top" wrapText="1"/>
    </xf>
    <xf numFmtId="0" fontId="0" fillId="0" borderId="10" xfId="0" applyBorder="1" applyAlignment="1">
      <alignment vertical="top" wrapText="1"/>
    </xf>
    <xf numFmtId="3" fontId="3" fillId="0" borderId="94" xfId="1" applyNumberFormat="1" applyFont="1" applyFill="1" applyBorder="1" applyAlignment="1">
      <alignment horizontal="left" vertical="top" wrapText="1"/>
    </xf>
    <xf numFmtId="0" fontId="0" fillId="0" borderId="31" xfId="0" applyFill="1" applyBorder="1" applyAlignment="1">
      <alignment vertical="top" wrapText="1"/>
    </xf>
    <xf numFmtId="0" fontId="0" fillId="0" borderId="18" xfId="0" applyBorder="1" applyAlignment="1">
      <alignment horizontal="left" vertical="top" wrapText="1"/>
    </xf>
    <xf numFmtId="165" fontId="3" fillId="6" borderId="27" xfId="0" applyNumberFormat="1" applyFont="1" applyFill="1" applyBorder="1" applyAlignment="1">
      <alignment horizontal="left" vertical="top" wrapText="1"/>
    </xf>
    <xf numFmtId="165" fontId="3" fillId="6" borderId="18" xfId="0" applyNumberFormat="1" applyFont="1" applyFill="1" applyBorder="1" applyAlignment="1">
      <alignment horizontal="left" vertical="top" wrapText="1"/>
    </xf>
    <xf numFmtId="0" fontId="3" fillId="6" borderId="107" xfId="0" applyFont="1" applyFill="1" applyBorder="1" applyAlignment="1">
      <alignment vertical="top" wrapText="1"/>
    </xf>
    <xf numFmtId="0" fontId="7" fillId="6" borderId="37" xfId="0" applyFont="1" applyFill="1" applyBorder="1" applyAlignment="1">
      <alignment vertical="top" wrapText="1"/>
    </xf>
    <xf numFmtId="49" fontId="3" fillId="6" borderId="26" xfId="0" applyNumberFormat="1" applyFont="1" applyFill="1" applyBorder="1" applyAlignment="1">
      <alignment horizontal="center" vertical="top" wrapText="1"/>
    </xf>
    <xf numFmtId="49" fontId="3" fillId="0" borderId="16" xfId="0" applyNumberFormat="1" applyFont="1" applyBorder="1" applyAlignment="1">
      <alignment horizontal="center" vertical="top" wrapText="1"/>
    </xf>
    <xf numFmtId="3" fontId="3" fillId="6" borderId="27" xfId="0" applyNumberFormat="1" applyFont="1" applyFill="1" applyBorder="1" applyAlignment="1">
      <alignment horizontal="left" vertical="top" wrapText="1"/>
    </xf>
    <xf numFmtId="0" fontId="0" fillId="0" borderId="25" xfId="0" applyBorder="1" applyAlignment="1">
      <alignment vertical="top" wrapText="1"/>
    </xf>
    <xf numFmtId="0" fontId="3" fillId="6" borderId="94" xfId="0" applyFont="1" applyFill="1" applyBorder="1" applyAlignment="1">
      <alignment horizontal="left" vertical="top" wrapText="1"/>
    </xf>
    <xf numFmtId="0" fontId="0" fillId="6" borderId="73" xfId="0" applyFill="1" applyBorder="1" applyAlignment="1">
      <alignment horizontal="left" vertical="top" wrapText="1"/>
    </xf>
    <xf numFmtId="3" fontId="3" fillId="6" borderId="31" xfId="0" applyNumberFormat="1" applyFont="1" applyFill="1" applyBorder="1" applyAlignment="1">
      <alignment horizontal="left" vertical="top" wrapText="1"/>
    </xf>
    <xf numFmtId="0" fontId="0" fillId="0" borderId="19" xfId="0" applyFont="1" applyBorder="1" applyAlignment="1">
      <alignment vertical="top" wrapText="1"/>
    </xf>
    <xf numFmtId="0" fontId="3" fillId="6" borderId="101" xfId="0" applyFont="1" applyFill="1" applyBorder="1" applyAlignment="1">
      <alignment horizontal="left" vertical="top" wrapText="1"/>
    </xf>
    <xf numFmtId="0" fontId="3" fillId="6" borderId="91" xfId="0" applyFont="1" applyFill="1" applyBorder="1" applyAlignment="1">
      <alignment horizontal="left" vertical="top" wrapText="1"/>
    </xf>
    <xf numFmtId="165" fontId="3" fillId="6" borderId="18" xfId="1" applyNumberFormat="1" applyFont="1" applyFill="1" applyBorder="1" applyAlignment="1">
      <alignment horizontal="left" vertical="top" wrapText="1"/>
    </xf>
    <xf numFmtId="165" fontId="3" fillId="6" borderId="31" xfId="0" applyNumberFormat="1" applyFont="1" applyFill="1" applyBorder="1" applyAlignment="1">
      <alignment horizontal="left" vertical="top" wrapText="1"/>
    </xf>
    <xf numFmtId="3" fontId="3" fillId="6" borderId="93" xfId="1" applyNumberFormat="1" applyFont="1" applyFill="1" applyBorder="1" applyAlignment="1">
      <alignment horizontal="center" vertical="top" wrapText="1"/>
    </xf>
    <xf numFmtId="0" fontId="7" fillId="6" borderId="92" xfId="0" applyFont="1" applyFill="1" applyBorder="1" applyAlignment="1">
      <alignment horizontal="center" vertical="top"/>
    </xf>
    <xf numFmtId="3" fontId="3" fillId="6" borderId="94" xfId="1" applyNumberFormat="1" applyFont="1" applyFill="1" applyBorder="1" applyAlignment="1">
      <alignment horizontal="left" vertical="top" wrapText="1"/>
    </xf>
    <xf numFmtId="0" fontId="0" fillId="0" borderId="73" xfId="0" applyBorder="1" applyAlignment="1">
      <alignment horizontal="left" vertical="top" wrapText="1"/>
    </xf>
    <xf numFmtId="165" fontId="3" fillId="6" borderId="16" xfId="0" applyNumberFormat="1" applyFont="1" applyFill="1" applyBorder="1" applyAlignment="1">
      <alignment horizontal="center" vertical="top"/>
    </xf>
    <xf numFmtId="0" fontId="3" fillId="6" borderId="49"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49" xfId="0" applyFont="1" applyFill="1" applyBorder="1" applyAlignment="1">
      <alignment horizontal="left" vertical="top" wrapText="1"/>
    </xf>
    <xf numFmtId="0" fontId="3" fillId="6" borderId="99" xfId="0" applyFont="1" applyFill="1" applyBorder="1" applyAlignment="1">
      <alignment horizontal="left" vertical="top" wrapText="1"/>
    </xf>
    <xf numFmtId="49" fontId="5" fillId="6" borderId="27" xfId="0" applyNumberFormat="1" applyFont="1" applyFill="1" applyBorder="1" applyAlignment="1">
      <alignment horizontal="center" vertical="top"/>
    </xf>
    <xf numFmtId="49" fontId="5" fillId="6" borderId="1" xfId="0" applyNumberFormat="1" applyFont="1" applyFill="1" applyBorder="1" applyAlignment="1">
      <alignment horizontal="center" vertical="top"/>
    </xf>
    <xf numFmtId="0" fontId="0" fillId="6" borderId="18" xfId="0" applyFill="1" applyBorder="1" applyAlignment="1">
      <alignment horizontal="left" vertical="top" wrapText="1"/>
    </xf>
    <xf numFmtId="0" fontId="0" fillId="6" borderId="31" xfId="0" applyFill="1" applyBorder="1" applyAlignment="1">
      <alignment horizontal="left" vertical="top" wrapText="1"/>
    </xf>
    <xf numFmtId="0" fontId="13" fillId="6" borderId="26"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32" xfId="0" applyFont="1" applyFill="1" applyBorder="1" applyAlignment="1">
      <alignment horizontal="left" vertical="top" wrapText="1"/>
    </xf>
    <xf numFmtId="0" fontId="9" fillId="6" borderId="65" xfId="0" applyFont="1" applyFill="1" applyBorder="1" applyAlignment="1">
      <alignment horizontal="center" vertical="center" textRotation="90" wrapText="1"/>
    </xf>
    <xf numFmtId="0" fontId="9" fillId="6" borderId="37" xfId="0" applyFont="1" applyFill="1" applyBorder="1" applyAlignment="1">
      <alignment horizontal="center" vertical="center" textRotation="90" wrapText="1"/>
    </xf>
    <xf numFmtId="3" fontId="3" fillId="6" borderId="39"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wrapText="1"/>
    </xf>
    <xf numFmtId="0" fontId="2" fillId="0" borderId="16" xfId="0" applyFont="1" applyBorder="1" applyAlignment="1">
      <alignment horizontal="center" vertical="center" textRotation="90" wrapText="1"/>
    </xf>
    <xf numFmtId="0" fontId="0" fillId="0" borderId="32" xfId="0" applyBorder="1" applyAlignment="1">
      <alignment horizontal="center" vertical="center" textRotation="90" wrapText="1"/>
    </xf>
    <xf numFmtId="0" fontId="5" fillId="6" borderId="20" xfId="0" applyFont="1" applyFill="1" applyBorder="1" applyAlignment="1">
      <alignment horizontal="center" vertical="top" wrapText="1"/>
    </xf>
    <xf numFmtId="0" fontId="5" fillId="6" borderId="32" xfId="0" applyFont="1" applyFill="1" applyBorder="1" applyAlignment="1">
      <alignment horizontal="center" vertical="top" wrapText="1"/>
    </xf>
    <xf numFmtId="0" fontId="3" fillId="6" borderId="38" xfId="0" applyFont="1" applyFill="1" applyBorder="1" applyAlignment="1">
      <alignment vertical="top" wrapText="1"/>
    </xf>
    <xf numFmtId="0" fontId="3" fillId="6" borderId="91" xfId="0" applyFont="1" applyFill="1" applyBorder="1" applyAlignment="1">
      <alignment vertical="top" wrapText="1"/>
    </xf>
    <xf numFmtId="3" fontId="4" fillId="6" borderId="0" xfId="0" applyNumberFormat="1" applyFont="1" applyFill="1" applyAlignment="1">
      <alignment horizontal="left" vertical="top" wrapText="1"/>
    </xf>
    <xf numFmtId="0" fontId="43" fillId="6" borderId="0" xfId="0" applyFont="1" applyFill="1" applyAlignment="1">
      <alignment vertical="top"/>
    </xf>
    <xf numFmtId="0" fontId="0" fillId="0" borderId="61" xfId="0" applyFont="1" applyBorder="1" applyAlignment="1">
      <alignment horizontal="left" vertical="top" wrapText="1"/>
    </xf>
    <xf numFmtId="0" fontId="7" fillId="6" borderId="90" xfId="0" applyFont="1" applyFill="1" applyBorder="1" applyAlignment="1">
      <alignment vertical="top" wrapText="1"/>
    </xf>
    <xf numFmtId="0" fontId="0" fillId="6" borderId="29" xfId="0" applyFill="1" applyBorder="1" applyAlignment="1">
      <alignment vertical="top" wrapText="1"/>
    </xf>
    <xf numFmtId="0" fontId="14" fillId="6" borderId="20" xfId="0" applyFont="1" applyFill="1" applyBorder="1" applyAlignment="1">
      <alignment horizontal="left" vertical="top" wrapText="1"/>
    </xf>
    <xf numFmtId="0" fontId="7" fillId="6" borderId="10" xfId="0" applyFont="1" applyFill="1" applyBorder="1" applyAlignment="1">
      <alignment vertical="top" wrapText="1"/>
    </xf>
    <xf numFmtId="0" fontId="3" fillId="6" borderId="8" xfId="0" applyFont="1" applyFill="1" applyBorder="1" applyAlignment="1">
      <alignment horizontal="left" vertical="top" wrapText="1"/>
    </xf>
    <xf numFmtId="0" fontId="5" fillId="6" borderId="8" xfId="0" applyFont="1" applyFill="1" applyBorder="1" applyAlignment="1">
      <alignment vertical="top" wrapText="1"/>
    </xf>
    <xf numFmtId="0" fontId="5" fillId="6" borderId="10" xfId="0" applyFont="1" applyFill="1" applyBorder="1" applyAlignment="1">
      <alignment vertical="top" wrapText="1"/>
    </xf>
    <xf numFmtId="0" fontId="0" fillId="0" borderId="92" xfId="0" applyBorder="1" applyAlignment="1">
      <alignment horizontal="left" vertical="top" wrapText="1"/>
    </xf>
    <xf numFmtId="49" fontId="5" fillId="6" borderId="16" xfId="0" applyNumberFormat="1" applyFont="1" applyFill="1" applyBorder="1" applyAlignment="1">
      <alignment horizontal="center" vertical="center" textRotation="90" wrapText="1"/>
    </xf>
    <xf numFmtId="49" fontId="5" fillId="6" borderId="92" xfId="0" applyNumberFormat="1" applyFont="1" applyFill="1" applyBorder="1" applyAlignment="1">
      <alignment horizontal="center" vertical="center" textRotation="90" wrapText="1"/>
    </xf>
    <xf numFmtId="0" fontId="3" fillId="6" borderId="29" xfId="0" applyFont="1" applyFill="1" applyBorder="1" applyAlignment="1">
      <alignment horizontal="left" vertical="top" wrapText="1"/>
    </xf>
    <xf numFmtId="3" fontId="3" fillId="0" borderId="39"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3" fillId="0" borderId="27" xfId="0" applyNumberFormat="1" applyFont="1" applyFill="1" applyBorder="1" applyAlignment="1">
      <alignment horizontal="center" vertical="top" wrapText="1"/>
    </xf>
    <xf numFmtId="3" fontId="3" fillId="0" borderId="18" xfId="0" applyNumberFormat="1" applyFont="1" applyFill="1" applyBorder="1" applyAlignment="1">
      <alignment horizontal="center" vertical="top" wrapText="1"/>
    </xf>
    <xf numFmtId="0" fontId="17" fillId="6" borderId="65" xfId="0" applyFont="1" applyFill="1" applyBorder="1" applyAlignment="1">
      <alignment horizontal="center" vertical="center" textRotation="90" wrapText="1"/>
    </xf>
    <xf numFmtId="0" fontId="17" fillId="6" borderId="37" xfId="0" applyFont="1" applyFill="1" applyBorder="1" applyAlignment="1">
      <alignment horizontal="center" vertical="center" textRotation="90" wrapText="1"/>
    </xf>
    <xf numFmtId="0" fontId="3" fillId="6" borderId="43" xfId="1" applyFont="1" applyFill="1" applyBorder="1" applyAlignment="1">
      <alignment vertical="top" wrapText="1"/>
    </xf>
    <xf numFmtId="0" fontId="7" fillId="6" borderId="29" xfId="0" applyFont="1" applyFill="1" applyBorder="1" applyAlignment="1">
      <alignment vertical="top" wrapText="1"/>
    </xf>
    <xf numFmtId="0" fontId="3" fillId="6" borderId="20" xfId="0" applyFont="1" applyFill="1" applyBorder="1" applyAlignment="1">
      <alignment horizontal="center" vertical="center" textRotation="90"/>
    </xf>
    <xf numFmtId="0" fontId="3" fillId="6" borderId="16" xfId="0" applyFont="1" applyFill="1" applyBorder="1" applyAlignment="1">
      <alignment horizontal="center" vertical="center" textRotation="90"/>
    </xf>
    <xf numFmtId="0" fontId="12" fillId="0" borderId="20" xfId="0" applyFont="1" applyBorder="1" applyAlignment="1">
      <alignment horizontal="center" vertical="center" textRotation="90" wrapText="1"/>
    </xf>
    <xf numFmtId="0" fontId="3" fillId="6" borderId="46" xfId="0" applyFont="1" applyFill="1" applyBorder="1" applyAlignment="1">
      <alignment horizontal="center" vertical="center" textRotation="90" wrapText="1"/>
    </xf>
    <xf numFmtId="0" fontId="3" fillId="6" borderId="48" xfId="0" applyFont="1" applyFill="1" applyBorder="1" applyAlignment="1">
      <alignment horizontal="center" vertical="center" textRotation="90" wrapText="1"/>
    </xf>
    <xf numFmtId="0" fontId="2" fillId="6" borderId="49" xfId="0" applyFont="1" applyFill="1" applyBorder="1" applyAlignment="1">
      <alignment horizontal="center" vertical="center" textRotation="90" wrapText="1"/>
    </xf>
    <xf numFmtId="0" fontId="2" fillId="6" borderId="19" xfId="0" applyFont="1" applyFill="1" applyBorder="1" applyAlignment="1">
      <alignment horizontal="center" vertical="center" textRotation="90" wrapText="1"/>
    </xf>
    <xf numFmtId="49" fontId="5" fillId="6" borderId="48" xfId="0" applyNumberFormat="1" applyFont="1" applyFill="1" applyBorder="1" applyAlignment="1">
      <alignment horizontal="center" vertical="top"/>
    </xf>
    <xf numFmtId="0" fontId="7" fillId="6" borderId="32" xfId="0" applyFont="1" applyFill="1" applyBorder="1" applyAlignment="1">
      <alignment horizontal="left" vertical="top" wrapText="1"/>
    </xf>
    <xf numFmtId="0" fontId="3" fillId="0" borderId="44"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60" xfId="0" applyFont="1" applyBorder="1" applyAlignment="1">
      <alignment horizontal="center" vertical="center" textRotation="90" wrapText="1"/>
    </xf>
    <xf numFmtId="0" fontId="5" fillId="0" borderId="59" xfId="0" applyFont="1" applyBorder="1" applyAlignment="1">
      <alignment horizontal="center" vertical="center"/>
    </xf>
    <xf numFmtId="0" fontId="3" fillId="0" borderId="42" xfId="0" applyFont="1" applyBorder="1" applyAlignment="1">
      <alignment horizontal="center" vertical="center"/>
    </xf>
    <xf numFmtId="3" fontId="3" fillId="0" borderId="45" xfId="0" applyNumberFormat="1" applyFont="1" applyBorder="1" applyAlignment="1">
      <alignment horizontal="center" vertical="center" textRotation="90" shrinkToFit="1"/>
    </xf>
    <xf numFmtId="3" fontId="3" fillId="0" borderId="48" xfId="0" applyNumberFormat="1" applyFont="1" applyBorder="1" applyAlignment="1">
      <alignment horizontal="center" vertical="center" textRotation="90" shrinkToFit="1"/>
    </xf>
    <xf numFmtId="3" fontId="3" fillId="0" borderId="57" xfId="0" applyNumberFormat="1" applyFont="1" applyBorder="1" applyAlignment="1">
      <alignment horizontal="center" vertical="center" textRotation="90" shrinkToFit="1"/>
    </xf>
    <xf numFmtId="3" fontId="3" fillId="0" borderId="45" xfId="0" applyNumberFormat="1" applyFont="1" applyBorder="1" applyAlignment="1">
      <alignment horizontal="center" vertical="center" textRotation="90" wrapText="1"/>
    </xf>
    <xf numFmtId="3" fontId="3" fillId="0" borderId="48" xfId="0" applyNumberFormat="1" applyFont="1" applyBorder="1" applyAlignment="1">
      <alignment horizontal="center" vertical="center" textRotation="90" wrapText="1"/>
    </xf>
    <xf numFmtId="3" fontId="3" fillId="0" borderId="57" xfId="0" applyNumberFormat="1" applyFont="1" applyBorder="1" applyAlignment="1">
      <alignment horizontal="center" vertical="center" textRotation="90" wrapText="1"/>
    </xf>
    <xf numFmtId="3" fontId="3" fillId="0" borderId="44" xfId="0" applyNumberFormat="1" applyFont="1" applyBorder="1" applyAlignment="1">
      <alignment horizontal="center" vertical="center" textRotation="90" wrapText="1" shrinkToFit="1"/>
    </xf>
    <xf numFmtId="3" fontId="3" fillId="0" borderId="9" xfId="0" applyNumberFormat="1" applyFont="1" applyBorder="1" applyAlignment="1">
      <alignment horizontal="center" vertical="center" textRotation="90" wrapText="1" shrinkToFit="1"/>
    </xf>
    <xf numFmtId="3" fontId="3" fillId="0" borderId="60" xfId="0" applyNumberFormat="1" applyFont="1" applyBorder="1" applyAlignment="1">
      <alignment horizontal="center" vertical="center" textRotation="90" wrapText="1" shrinkToFit="1"/>
    </xf>
    <xf numFmtId="3" fontId="3" fillId="0" borderId="8" xfId="0" applyNumberFormat="1" applyFont="1" applyBorder="1" applyAlignment="1">
      <alignment horizontal="center" vertical="center" textRotation="90" shrinkToFit="1"/>
    </xf>
    <xf numFmtId="3" fontId="3" fillId="0" borderId="10" xfId="0" applyNumberFormat="1" applyFont="1" applyBorder="1" applyAlignment="1">
      <alignment horizontal="center" vertical="center" textRotation="90" shrinkToFit="1"/>
    </xf>
    <xf numFmtId="3" fontId="3" fillId="0" borderId="11" xfId="0" applyNumberFormat="1" applyFont="1" applyBorder="1" applyAlignment="1">
      <alignment horizontal="center" vertical="center" textRotation="90" shrinkToFit="1"/>
    </xf>
    <xf numFmtId="3" fontId="3" fillId="0" borderId="26" xfId="0" applyNumberFormat="1" applyFont="1" applyBorder="1" applyAlignment="1">
      <alignment horizontal="center" vertical="center" textRotation="90" shrinkToFit="1"/>
    </xf>
    <xf numFmtId="3" fontId="3" fillId="0" borderId="16" xfId="0" applyNumberFormat="1" applyFont="1" applyBorder="1" applyAlignment="1">
      <alignment horizontal="center" vertical="center" textRotation="90" shrinkToFit="1"/>
    </xf>
    <xf numFmtId="3" fontId="3" fillId="0" borderId="24" xfId="0" applyNumberFormat="1" applyFont="1" applyBorder="1" applyAlignment="1">
      <alignment horizontal="center" vertical="center" textRotation="90" shrinkToFit="1"/>
    </xf>
    <xf numFmtId="3" fontId="3" fillId="0" borderId="45" xfId="0" applyNumberFormat="1" applyFont="1" applyBorder="1" applyAlignment="1">
      <alignment horizontal="center" vertical="center" shrinkToFit="1"/>
    </xf>
    <xf numFmtId="3" fontId="3" fillId="0" borderId="48" xfId="0" applyNumberFormat="1" applyFont="1" applyBorder="1" applyAlignment="1">
      <alignment horizontal="center" vertical="center" shrinkToFit="1"/>
    </xf>
    <xf numFmtId="3" fontId="3" fillId="0" borderId="57" xfId="0" applyNumberFormat="1" applyFont="1" applyBorder="1" applyAlignment="1">
      <alignment horizontal="center" vertical="center" shrinkToFit="1"/>
    </xf>
    <xf numFmtId="0" fontId="3" fillId="0" borderId="0" xfId="0" applyFont="1" applyAlignment="1">
      <alignment horizontal="center" vertical="center"/>
    </xf>
    <xf numFmtId="0" fontId="3" fillId="6" borderId="10" xfId="1" applyFont="1" applyFill="1" applyBorder="1" applyAlignment="1">
      <alignment horizontal="left" vertical="top" wrapText="1"/>
    </xf>
    <xf numFmtId="0" fontId="5" fillId="6" borderId="32" xfId="0" applyFont="1" applyFill="1" applyBorder="1" applyAlignment="1">
      <alignment horizontal="left" vertical="top" wrapText="1"/>
    </xf>
    <xf numFmtId="0" fontId="5" fillId="9" borderId="61" xfId="0" applyFont="1" applyFill="1" applyBorder="1" applyAlignment="1">
      <alignment horizontal="left" vertical="top" wrapText="1"/>
    </xf>
    <xf numFmtId="0" fontId="3" fillId="6" borderId="10" xfId="0" applyFont="1" applyFill="1" applyBorder="1" applyAlignment="1">
      <alignment horizontal="left" vertical="top" wrapText="1"/>
    </xf>
    <xf numFmtId="0" fontId="7" fillId="0" borderId="16" xfId="0" applyFont="1" applyBorder="1" applyAlignment="1">
      <alignment horizontal="left" vertical="top" wrapText="1"/>
    </xf>
    <xf numFmtId="0" fontId="7" fillId="0" borderId="32" xfId="0" applyFont="1" applyBorder="1" applyAlignment="1"/>
    <xf numFmtId="49" fontId="3" fillId="6" borderId="9" xfId="0" applyNumberFormat="1" applyFont="1" applyFill="1" applyBorder="1" applyAlignment="1">
      <alignment horizontal="center" vertical="center" wrapText="1"/>
    </xf>
    <xf numFmtId="49" fontId="5" fillId="6" borderId="20" xfId="0" applyNumberFormat="1" applyFont="1" applyFill="1" applyBorder="1" applyAlignment="1">
      <alignment horizontal="center" vertical="top"/>
    </xf>
    <xf numFmtId="49" fontId="3" fillId="0" borderId="44" xfId="0" applyNumberFormat="1" applyFont="1" applyBorder="1" applyAlignment="1">
      <alignment horizontal="center" vertical="top" wrapText="1"/>
    </xf>
    <xf numFmtId="49" fontId="3" fillId="0" borderId="9" xfId="0" applyNumberFormat="1" applyFont="1" applyBorder="1" applyAlignment="1">
      <alignment horizontal="center" vertical="top" wrapText="1"/>
    </xf>
    <xf numFmtId="0" fontId="7" fillId="0" borderId="60" xfId="0" applyFont="1" applyBorder="1" applyAlignment="1">
      <alignment vertical="top"/>
    </xf>
    <xf numFmtId="49" fontId="5" fillId="6" borderId="20" xfId="0" applyNumberFormat="1" applyFont="1" applyFill="1" applyBorder="1" applyAlignment="1">
      <alignment horizontal="center" vertical="top" wrapText="1"/>
    </xf>
    <xf numFmtId="49" fontId="3" fillId="6" borderId="9" xfId="0" applyNumberFormat="1" applyFont="1" applyFill="1" applyBorder="1" applyAlignment="1">
      <alignment horizontal="center" vertical="top" wrapText="1"/>
    </xf>
    <xf numFmtId="49" fontId="5" fillId="0" borderId="16" xfId="0" applyNumberFormat="1" applyFont="1" applyFill="1" applyBorder="1" applyAlignment="1">
      <alignment horizontal="center" vertical="top"/>
    </xf>
    <xf numFmtId="49" fontId="5" fillId="0" borderId="32" xfId="0" applyNumberFormat="1" applyFont="1" applyFill="1" applyBorder="1" applyAlignment="1">
      <alignment horizontal="center" vertical="top"/>
    </xf>
    <xf numFmtId="0" fontId="3" fillId="0" borderId="44" xfId="0" applyFont="1" applyBorder="1" applyAlignment="1">
      <alignment horizontal="center" vertical="center" wrapText="1"/>
    </xf>
    <xf numFmtId="0" fontId="7" fillId="0" borderId="9" xfId="0" applyFont="1" applyBorder="1" applyAlignment="1">
      <alignment horizontal="center" vertical="center" wrapText="1"/>
    </xf>
    <xf numFmtId="49" fontId="5" fillId="8" borderId="26" xfId="0" applyNumberFormat="1" applyFont="1" applyFill="1" applyBorder="1" applyAlignment="1">
      <alignment horizontal="center" vertical="top"/>
    </xf>
    <xf numFmtId="49" fontId="5" fillId="8" borderId="16" xfId="0" applyNumberFormat="1" applyFont="1" applyFill="1" applyBorder="1" applyAlignment="1">
      <alignment horizontal="center" vertical="top"/>
    </xf>
    <xf numFmtId="49" fontId="5" fillId="6" borderId="32" xfId="0" applyNumberFormat="1" applyFont="1" applyFill="1" applyBorder="1" applyAlignment="1">
      <alignment horizontal="center" vertical="top"/>
    </xf>
    <xf numFmtId="0" fontId="7" fillId="0" borderId="32" xfId="0" applyFont="1" applyBorder="1" applyAlignment="1">
      <alignment horizontal="center" vertical="center" textRotation="90" wrapText="1"/>
    </xf>
    <xf numFmtId="49" fontId="3" fillId="6" borderId="51" xfId="0" applyNumberFormat="1" applyFont="1" applyFill="1" applyBorder="1" applyAlignment="1">
      <alignment horizontal="center" vertical="center" wrapText="1"/>
    </xf>
    <xf numFmtId="49" fontId="5" fillId="0" borderId="26" xfId="0" applyNumberFormat="1" applyFont="1" applyBorder="1" applyAlignment="1">
      <alignment horizontal="center" vertical="top"/>
    </xf>
    <xf numFmtId="49" fontId="5" fillId="0" borderId="16" xfId="0" applyNumberFormat="1" applyFont="1" applyBorder="1" applyAlignment="1">
      <alignment horizontal="center" vertical="top"/>
    </xf>
    <xf numFmtId="49" fontId="3" fillId="6" borderId="22" xfId="0" applyNumberFormat="1"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0" borderId="61" xfId="0" applyFont="1" applyBorder="1" applyAlignment="1">
      <alignment horizontal="left" vertical="top" wrapText="1"/>
    </xf>
    <xf numFmtId="49" fontId="5" fillId="6" borderId="32" xfId="0" applyNumberFormat="1" applyFont="1" applyFill="1" applyBorder="1" applyAlignment="1">
      <alignment horizontal="center" vertical="top" wrapText="1"/>
    </xf>
    <xf numFmtId="165" fontId="3" fillId="6" borderId="16" xfId="0" applyNumberFormat="1" applyFont="1" applyFill="1" applyBorder="1" applyAlignment="1">
      <alignment vertical="top" wrapText="1"/>
    </xf>
    <xf numFmtId="165" fontId="3" fillId="6" borderId="32" xfId="0" applyNumberFormat="1" applyFont="1" applyFill="1" applyBorder="1" applyAlignment="1">
      <alignment vertical="top" wrapText="1"/>
    </xf>
    <xf numFmtId="0" fontId="3" fillId="6" borderId="43" xfId="0" applyFont="1" applyFill="1" applyBorder="1" applyAlignment="1">
      <alignment horizontal="left" vertical="top" wrapText="1"/>
    </xf>
    <xf numFmtId="0" fontId="3" fillId="6" borderId="44" xfId="0" applyFont="1" applyFill="1" applyBorder="1" applyAlignment="1">
      <alignment horizontal="center" wrapText="1"/>
    </xf>
    <xf numFmtId="0" fontId="3" fillId="0" borderId="9" xfId="0" applyFont="1" applyBorder="1" applyAlignment="1">
      <alignment horizontal="center" wrapText="1"/>
    </xf>
    <xf numFmtId="0" fontId="7" fillId="6" borderId="9" xfId="0" applyFont="1" applyFill="1" applyBorder="1" applyAlignment="1">
      <alignment horizontal="center" vertical="top" wrapText="1"/>
    </xf>
    <xf numFmtId="49" fontId="3" fillId="6" borderId="44" xfId="0" applyNumberFormat="1" applyFont="1" applyFill="1" applyBorder="1" applyAlignment="1">
      <alignment horizontal="center" vertical="center" wrapText="1"/>
    </xf>
    <xf numFmtId="0" fontId="7" fillId="0" borderId="9" xfId="0" applyFont="1" applyBorder="1" applyAlignment="1">
      <alignment horizontal="center" vertical="center"/>
    </xf>
    <xf numFmtId="0" fontId="21" fillId="6" borderId="9" xfId="0" applyFont="1" applyFill="1" applyBorder="1" applyAlignment="1">
      <alignment horizontal="center" vertical="top" wrapText="1"/>
    </xf>
    <xf numFmtId="0" fontId="3" fillId="0" borderId="20" xfId="0" applyFont="1" applyBorder="1" applyAlignment="1">
      <alignment horizontal="left" vertical="top" wrapText="1"/>
    </xf>
    <xf numFmtId="0" fontId="7" fillId="0" borderId="16" xfId="0" applyFont="1" applyBorder="1" applyAlignment="1">
      <alignment vertical="top" wrapText="1"/>
    </xf>
    <xf numFmtId="49" fontId="5" fillId="0" borderId="20" xfId="0" applyNumberFormat="1" applyFont="1" applyBorder="1" applyAlignment="1">
      <alignment horizontal="center" vertical="top" wrapText="1"/>
    </xf>
    <xf numFmtId="49" fontId="5" fillId="0" borderId="32" xfId="0" applyNumberFormat="1" applyFont="1" applyBorder="1" applyAlignment="1">
      <alignment horizontal="center" vertical="top" wrapText="1"/>
    </xf>
    <xf numFmtId="49" fontId="3" fillId="6" borderId="6" xfId="0" applyNumberFormat="1" applyFont="1" applyFill="1" applyBorder="1" applyAlignment="1">
      <alignment horizontal="center" vertical="center" wrapText="1"/>
    </xf>
    <xf numFmtId="0" fontId="7" fillId="0" borderId="92" xfId="0" applyFont="1" applyBorder="1" applyAlignment="1">
      <alignment vertical="top" wrapText="1"/>
    </xf>
    <xf numFmtId="0" fontId="3" fillId="2" borderId="20" xfId="0" applyFont="1" applyFill="1" applyBorder="1" applyAlignment="1">
      <alignment vertical="top" wrapText="1"/>
    </xf>
    <xf numFmtId="0" fontId="3" fillId="2" borderId="32" xfId="0" applyFont="1" applyFill="1" applyBorder="1" applyAlignment="1">
      <alignment vertical="top" wrapText="1"/>
    </xf>
    <xf numFmtId="0" fontId="3" fillId="6" borderId="90" xfId="0" applyFont="1" applyFill="1" applyBorder="1" applyAlignment="1">
      <alignment vertical="top" wrapText="1"/>
    </xf>
    <xf numFmtId="0" fontId="3" fillId="2" borderId="9" xfId="0" applyFont="1" applyFill="1" applyBorder="1" applyAlignment="1">
      <alignment horizontal="center" vertical="top" wrapText="1"/>
    </xf>
    <xf numFmtId="0" fontId="7" fillId="0" borderId="9" xfId="0" applyFont="1" applyBorder="1" applyAlignment="1">
      <alignment horizontal="center" vertical="top" wrapText="1"/>
    </xf>
    <xf numFmtId="0" fontId="7" fillId="6" borderId="60" xfId="0" applyFont="1" applyFill="1" applyBorder="1" applyAlignment="1">
      <alignment horizontal="center" vertical="top" wrapText="1"/>
    </xf>
    <xf numFmtId="3" fontId="3" fillId="0" borderId="39" xfId="0" applyNumberFormat="1" applyFont="1" applyFill="1" applyBorder="1" applyAlignment="1">
      <alignment horizontal="left" vertical="top" wrapText="1"/>
    </xf>
    <xf numFmtId="0" fontId="0" fillId="0" borderId="39" xfId="0" applyFill="1" applyBorder="1" applyAlignment="1">
      <alignment horizontal="left" vertical="top" wrapText="1"/>
    </xf>
    <xf numFmtId="49" fontId="3" fillId="6" borderId="44" xfId="0" applyNumberFormat="1" applyFont="1" applyFill="1" applyBorder="1" applyAlignment="1">
      <alignment horizontal="center" vertical="top" wrapText="1"/>
    </xf>
    <xf numFmtId="49" fontId="5" fillId="8" borderId="16" xfId="0" applyNumberFormat="1" applyFont="1" applyFill="1" applyBorder="1" applyAlignment="1">
      <alignment horizontal="center" vertical="top" wrapText="1"/>
    </xf>
    <xf numFmtId="49" fontId="5" fillId="0" borderId="16" xfId="0" applyNumberFormat="1" applyFont="1" applyBorder="1" applyAlignment="1">
      <alignment horizontal="center" vertical="top" wrapText="1"/>
    </xf>
    <xf numFmtId="0" fontId="3" fillId="2" borderId="16" xfId="0" applyFont="1" applyFill="1" applyBorder="1" applyAlignment="1">
      <alignment vertical="top" wrapText="1"/>
    </xf>
    <xf numFmtId="0" fontId="7" fillId="0" borderId="9" xfId="0" applyFont="1" applyBorder="1" applyAlignment="1">
      <alignment horizontal="center" wrapText="1"/>
    </xf>
    <xf numFmtId="3" fontId="11" fillId="6" borderId="14" xfId="0" applyNumberFormat="1" applyFont="1" applyFill="1" applyBorder="1" applyAlignment="1">
      <alignment horizontal="left" vertical="top" wrapText="1"/>
    </xf>
    <xf numFmtId="3" fontId="11" fillId="6" borderId="48" xfId="0" applyNumberFormat="1" applyFont="1" applyFill="1" applyBorder="1" applyAlignment="1">
      <alignment horizontal="left" vertical="top" wrapText="1"/>
    </xf>
    <xf numFmtId="49" fontId="35" fillId="6" borderId="18" xfId="0" applyNumberFormat="1" applyFont="1" applyFill="1" applyBorder="1" applyAlignment="1">
      <alignment horizontal="center" vertical="top"/>
    </xf>
    <xf numFmtId="49" fontId="35" fillId="6" borderId="31" xfId="0" applyNumberFormat="1" applyFont="1" applyFill="1" applyBorder="1" applyAlignment="1">
      <alignment horizontal="center" vertical="top"/>
    </xf>
    <xf numFmtId="49" fontId="5" fillId="6" borderId="19" xfId="0" applyNumberFormat="1" applyFont="1" applyFill="1" applyBorder="1" applyAlignment="1">
      <alignment horizontal="center" vertical="top" wrapText="1"/>
    </xf>
    <xf numFmtId="0" fontId="7" fillId="6" borderId="36" xfId="0" applyFont="1" applyFill="1" applyBorder="1" applyAlignment="1">
      <alignment horizontal="center" vertical="top" wrapText="1"/>
    </xf>
    <xf numFmtId="0" fontId="33" fillId="6" borderId="37" xfId="0" applyFont="1" applyFill="1" applyBorder="1" applyAlignment="1">
      <alignment horizontal="center" vertical="center" textRotation="90" wrapText="1"/>
    </xf>
    <xf numFmtId="0" fontId="37" fillId="6" borderId="19" xfId="0" applyFont="1" applyFill="1" applyBorder="1" applyAlignment="1">
      <alignment horizontal="center" vertical="center" textRotation="90" wrapText="1"/>
    </xf>
    <xf numFmtId="0" fontId="21" fillId="6" borderId="20" xfId="0" applyFont="1" applyFill="1" applyBorder="1" applyAlignment="1">
      <alignment horizontal="left" vertical="top" wrapText="1"/>
    </xf>
    <xf numFmtId="0" fontId="21" fillId="6" borderId="16" xfId="0" applyFont="1" applyFill="1" applyBorder="1" applyAlignment="1">
      <alignment horizontal="left" vertical="top" wrapText="1"/>
    </xf>
    <xf numFmtId="0" fontId="36" fillId="0" borderId="32" xfId="0" applyFont="1" applyBorder="1" applyAlignment="1">
      <alignment horizontal="left" vertical="top" wrapText="1"/>
    </xf>
    <xf numFmtId="49" fontId="5" fillId="0" borderId="20" xfId="0" applyNumberFormat="1" applyFont="1" applyFill="1" applyBorder="1" applyAlignment="1">
      <alignment horizontal="center" vertical="top"/>
    </xf>
    <xf numFmtId="49" fontId="21" fillId="6" borderId="22" xfId="0" applyNumberFormat="1" applyFont="1" applyFill="1" applyBorder="1" applyAlignment="1">
      <alignment horizontal="center" vertical="center" wrapText="1"/>
    </xf>
    <xf numFmtId="49" fontId="21" fillId="6" borderId="21" xfId="0" applyNumberFormat="1" applyFont="1" applyFill="1" applyBorder="1" applyAlignment="1">
      <alignment horizontal="center" vertical="center" wrapText="1"/>
    </xf>
    <xf numFmtId="0" fontId="36" fillId="6" borderId="21"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3" fillId="0" borderId="0" xfId="0" applyFont="1" applyAlignment="1">
      <alignment horizontal="right" wrapText="1"/>
    </xf>
    <xf numFmtId="0" fontId="7" fillId="0" borderId="0" xfId="0" applyFont="1" applyAlignment="1">
      <alignment horizontal="right"/>
    </xf>
    <xf numFmtId="3" fontId="3" fillId="0" borderId="27" xfId="0" applyNumberFormat="1" applyFont="1" applyFill="1" applyBorder="1" applyAlignment="1">
      <alignment horizontal="center" vertical="center" textRotation="90" wrapText="1" shrinkToFit="1"/>
    </xf>
    <xf numFmtId="3" fontId="3" fillId="0" borderId="18" xfId="0" applyNumberFormat="1" applyFont="1" applyFill="1" applyBorder="1" applyAlignment="1">
      <alignment horizontal="center" vertical="center" textRotation="90" wrapText="1" shrinkToFit="1"/>
    </xf>
    <xf numFmtId="3" fontId="3" fillId="0" borderId="25" xfId="0" applyNumberFormat="1" applyFont="1" applyFill="1" applyBorder="1" applyAlignment="1">
      <alignment horizontal="center" vertical="center" textRotation="90" wrapText="1" shrinkToFit="1"/>
    </xf>
    <xf numFmtId="49" fontId="5" fillId="0" borderId="39" xfId="0" applyNumberFormat="1" applyFont="1" applyBorder="1" applyAlignment="1">
      <alignment horizontal="center" vertical="top"/>
    </xf>
    <xf numFmtId="49" fontId="5" fillId="0" borderId="0" xfId="0" applyNumberFormat="1" applyFont="1" applyBorder="1" applyAlignment="1">
      <alignment horizontal="center" vertical="top"/>
    </xf>
    <xf numFmtId="49" fontId="5" fillId="0" borderId="28" xfId="0" applyNumberFormat="1" applyFont="1" applyBorder="1" applyAlignment="1">
      <alignment horizontal="center" vertical="top"/>
    </xf>
    <xf numFmtId="0" fontId="36" fillId="6" borderId="16" xfId="0" applyFont="1" applyFill="1" applyBorder="1" applyAlignment="1">
      <alignment horizontal="left" vertical="top" wrapText="1"/>
    </xf>
    <xf numFmtId="49" fontId="5" fillId="6" borderId="20" xfId="0" applyNumberFormat="1" applyFont="1" applyFill="1" applyBorder="1" applyAlignment="1">
      <alignment horizontal="center" vertical="center" textRotation="90" wrapText="1"/>
    </xf>
    <xf numFmtId="0" fontId="7" fillId="0" borderId="16" xfId="0" applyFont="1" applyBorder="1" applyAlignment="1">
      <alignment horizontal="center" vertical="center" textRotation="90" wrapText="1"/>
    </xf>
    <xf numFmtId="49" fontId="5" fillId="6" borderId="32" xfId="0" applyNumberFormat="1" applyFont="1" applyFill="1" applyBorder="1" applyAlignment="1">
      <alignment horizontal="center" vertical="center" textRotation="90" wrapText="1"/>
    </xf>
    <xf numFmtId="0" fontId="7" fillId="0" borderId="32" xfId="0" applyFont="1" applyBorder="1" applyAlignment="1">
      <alignment horizontal="left" vertical="top" wrapText="1"/>
    </xf>
    <xf numFmtId="0" fontId="3" fillId="6" borderId="38" xfId="0" applyFont="1" applyFill="1" applyBorder="1" applyAlignment="1">
      <alignment horizontal="left" vertical="top" wrapText="1"/>
    </xf>
    <xf numFmtId="0" fontId="3" fillId="6" borderId="9" xfId="0" applyFont="1" applyFill="1" applyBorder="1" applyAlignment="1">
      <alignment horizontal="center" vertical="top" wrapText="1"/>
    </xf>
    <xf numFmtId="0" fontId="21" fillId="6" borderId="10" xfId="1" applyFont="1" applyFill="1" applyBorder="1" applyAlignment="1">
      <alignment vertical="top" wrapText="1"/>
    </xf>
    <xf numFmtId="0" fontId="36" fillId="6" borderId="29" xfId="0" applyFont="1" applyFill="1" applyBorder="1" applyAlignment="1">
      <alignment vertical="top" wrapText="1"/>
    </xf>
    <xf numFmtId="0" fontId="7" fillId="0" borderId="10" xfId="0" applyFont="1" applyBorder="1" applyAlignment="1">
      <alignment horizontal="left" vertical="top" wrapText="1"/>
    </xf>
    <xf numFmtId="0" fontId="7" fillId="0" borderId="22" xfId="0" applyFont="1" applyBorder="1" applyAlignment="1">
      <alignment horizontal="center" vertical="top" wrapText="1"/>
    </xf>
    <xf numFmtId="0" fontId="36" fillId="6" borderId="32" xfId="0" applyFont="1" applyFill="1" applyBorder="1" applyAlignment="1">
      <alignment horizontal="left" vertical="top" wrapText="1"/>
    </xf>
    <xf numFmtId="0" fontId="36" fillId="0" borderId="9" xfId="0" applyFont="1" applyBorder="1" applyAlignment="1">
      <alignment horizontal="center" vertical="top" wrapText="1"/>
    </xf>
    <xf numFmtId="0" fontId="21" fillId="6" borderId="43" xfId="1" applyFont="1" applyFill="1" applyBorder="1" applyAlignment="1">
      <alignment vertical="top" wrapText="1"/>
    </xf>
    <xf numFmtId="0" fontId="36" fillId="6" borderId="10" xfId="0" applyFont="1" applyFill="1" applyBorder="1" applyAlignment="1">
      <alignment vertical="top" wrapText="1"/>
    </xf>
    <xf numFmtId="0" fontId="21" fillId="6" borderId="10" xfId="0" applyFont="1" applyFill="1" applyBorder="1" applyAlignment="1">
      <alignment vertical="top" wrapText="1"/>
    </xf>
    <xf numFmtId="0" fontId="33" fillId="0" borderId="16" xfId="0" applyFont="1" applyBorder="1" applyAlignment="1">
      <alignment horizontal="center" vertical="center" textRotation="90" wrapText="1"/>
    </xf>
    <xf numFmtId="0" fontId="34" fillId="0" borderId="16" xfId="0" applyFont="1" applyBorder="1" applyAlignment="1">
      <alignment horizontal="center" vertical="center" textRotation="90" wrapText="1"/>
    </xf>
    <xf numFmtId="0" fontId="34" fillId="0" borderId="32" xfId="0" applyFont="1" applyBorder="1" applyAlignment="1">
      <alignment horizontal="center" vertical="center" textRotation="90" wrapText="1"/>
    </xf>
    <xf numFmtId="49" fontId="21" fillId="6" borderId="9" xfId="0" applyNumberFormat="1" applyFont="1" applyFill="1" applyBorder="1" applyAlignment="1">
      <alignment horizontal="center" vertical="center" wrapText="1"/>
    </xf>
    <xf numFmtId="0" fontId="21" fillId="6" borderId="46" xfId="0" applyFont="1" applyFill="1" applyBorder="1" applyAlignment="1">
      <alignment horizontal="left" vertical="top" wrapText="1"/>
    </xf>
    <xf numFmtId="0" fontId="21" fillId="6" borderId="30" xfId="0" applyFont="1" applyFill="1" applyBorder="1" applyAlignment="1">
      <alignment horizontal="left" vertical="top" wrapText="1"/>
    </xf>
    <xf numFmtId="0" fontId="33" fillId="6" borderId="20" xfId="0" applyFont="1" applyFill="1" applyBorder="1" applyAlignment="1">
      <alignment horizontal="center" vertical="center" textRotation="90" wrapText="1"/>
    </xf>
    <xf numFmtId="0" fontId="38" fillId="0" borderId="32" xfId="0" applyFont="1" applyBorder="1" applyAlignment="1">
      <alignment horizontal="center" vertical="center" textRotation="90" wrapText="1"/>
    </xf>
    <xf numFmtId="0" fontId="21" fillId="6" borderId="43" xfId="0" applyFont="1" applyFill="1" applyBorder="1" applyAlignment="1">
      <alignment vertical="top" wrapText="1"/>
    </xf>
    <xf numFmtId="0" fontId="36" fillId="0" borderId="29" xfId="0" applyFont="1" applyBorder="1" applyAlignment="1">
      <alignment vertical="top" wrapText="1"/>
    </xf>
    <xf numFmtId="0" fontId="3" fillId="6" borderId="9" xfId="0" applyFont="1" applyFill="1" applyBorder="1" applyAlignment="1">
      <alignment horizontal="center" vertical="center" wrapText="1"/>
    </xf>
    <xf numFmtId="49" fontId="3" fillId="6" borderId="6" xfId="0" applyNumberFormat="1" applyFont="1" applyFill="1" applyBorder="1" applyAlignment="1">
      <alignment horizontal="center" vertical="top" wrapText="1"/>
    </xf>
    <xf numFmtId="0" fontId="7" fillId="6" borderId="6" xfId="0" applyFont="1" applyFill="1" applyBorder="1" applyAlignment="1">
      <alignment horizontal="center" vertical="center" wrapText="1"/>
    </xf>
    <xf numFmtId="0" fontId="36" fillId="0" borderId="10" xfId="0" applyFont="1" applyBorder="1" applyAlignment="1">
      <alignment vertical="top" wrapText="1"/>
    </xf>
  </cellXfs>
  <cellStyles count="4">
    <cellStyle name="Excel Built-in Normal" xfId="3"/>
    <cellStyle name="Įprastas" xfId="0" builtinId="0"/>
    <cellStyle name="Įprastas 2" xfId="1"/>
    <cellStyle name="Stilius 1" xfId="2"/>
  </cellStyles>
  <dxfs count="0"/>
  <tableStyles count="0" defaultTableStyle="TableStyleMedium2" defaultPivotStyle="PivotStyleLight16"/>
  <colors>
    <mruColors>
      <color rgb="FFFFFF99"/>
      <color rgb="FFCCFFCC"/>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54"/>
  <sheetViews>
    <sheetView topLeftCell="A171" zoomScaleNormal="100" zoomScaleSheetLayoutView="100" workbookViewId="0">
      <selection activeCell="Q104" sqref="Q104"/>
    </sheetView>
  </sheetViews>
  <sheetFormatPr defaultRowHeight="12.75" x14ac:dyDescent="0.2"/>
  <cols>
    <col min="1" max="2" width="2.7109375" style="7" customWidth="1"/>
    <col min="3" max="3" width="2.7109375" style="12" customWidth="1"/>
    <col min="4" max="4" width="28.5703125" style="7" customWidth="1"/>
    <col min="5" max="5" width="3.5703125" style="15" customWidth="1"/>
    <col min="6" max="6" width="3.5703125" style="683" customWidth="1"/>
    <col min="7" max="7" width="7.42578125" style="24" customWidth="1"/>
    <col min="8" max="8" width="8.7109375" style="7" customWidth="1"/>
    <col min="9" max="9" width="8" style="7" customWidth="1"/>
    <col min="10" max="10" width="8.140625" style="7" customWidth="1"/>
    <col min="11" max="12" width="8.85546875" style="7" customWidth="1"/>
    <col min="13" max="13" width="8.42578125" style="7" customWidth="1"/>
    <col min="14" max="14" width="9" style="7" customWidth="1"/>
    <col min="15" max="15" width="8.7109375" style="7" customWidth="1"/>
    <col min="16" max="16" width="8.140625" style="7" customWidth="1"/>
    <col min="17" max="17" width="34" style="7" customWidth="1"/>
    <col min="18" max="18" width="5.42578125" style="7" customWidth="1"/>
    <col min="19" max="19" width="5.85546875" style="7" customWidth="1"/>
    <col min="20" max="20" width="5.42578125" style="7" customWidth="1"/>
    <col min="21" max="21" width="37.140625" style="7" customWidth="1"/>
    <col min="22" max="16384" width="9.140625" style="3"/>
  </cols>
  <sheetData>
    <row r="1" spans="1:21" s="151" customFormat="1" ht="18" customHeight="1" x14ac:dyDescent="0.25">
      <c r="B1" s="730"/>
      <c r="C1" s="730"/>
      <c r="D1" s="730"/>
      <c r="E1" s="730"/>
      <c r="Q1" s="731"/>
      <c r="R1" s="732"/>
      <c r="S1" s="732"/>
      <c r="T1" s="732"/>
      <c r="U1" s="733" t="s">
        <v>322</v>
      </c>
    </row>
    <row r="2" spans="1:21" s="57" customFormat="1" ht="12" customHeight="1" x14ac:dyDescent="0.2">
      <c r="A2" s="321"/>
      <c r="B2" s="322"/>
      <c r="C2" s="524"/>
      <c r="E2" s="323"/>
      <c r="F2" s="53"/>
      <c r="G2" s="53"/>
      <c r="H2" s="324"/>
      <c r="I2" s="324"/>
      <c r="J2" s="324"/>
      <c r="K2" s="17"/>
      <c r="L2" s="17"/>
      <c r="M2" s="17"/>
      <c r="N2" s="17"/>
      <c r="O2" s="17"/>
      <c r="P2" s="17"/>
      <c r="Q2" s="684"/>
      <c r="R2" s="684"/>
      <c r="S2" s="684"/>
      <c r="T2" s="684"/>
      <c r="U2" s="684"/>
    </row>
    <row r="3" spans="1:21" ht="11.25" customHeight="1" x14ac:dyDescent="0.2">
      <c r="F3" s="338"/>
      <c r="Q3" s="337"/>
      <c r="R3" s="337"/>
      <c r="S3" s="337"/>
      <c r="T3" s="337"/>
      <c r="U3" s="337"/>
    </row>
    <row r="4" spans="1:21" s="61" customFormat="1" ht="15.75" x14ac:dyDescent="0.2">
      <c r="A4" s="1655" t="s">
        <v>312</v>
      </c>
      <c r="B4" s="1655"/>
      <c r="C4" s="1655"/>
      <c r="D4" s="1655"/>
      <c r="E4" s="1655"/>
      <c r="F4" s="1655"/>
      <c r="G4" s="1655"/>
      <c r="H4" s="1655"/>
      <c r="I4" s="1655"/>
      <c r="J4" s="1655"/>
      <c r="K4" s="1655"/>
      <c r="L4" s="1655"/>
      <c r="M4" s="1655"/>
      <c r="N4" s="1655"/>
      <c r="O4" s="1655"/>
      <c r="P4" s="1655"/>
      <c r="Q4" s="1655"/>
      <c r="R4" s="1655"/>
      <c r="S4" s="1655"/>
      <c r="T4" s="1655"/>
      <c r="U4" s="1655"/>
    </row>
    <row r="5" spans="1:21" ht="15.75" x14ac:dyDescent="0.2">
      <c r="A5" s="1656" t="s">
        <v>25</v>
      </c>
      <c r="B5" s="1656"/>
      <c r="C5" s="1656"/>
      <c r="D5" s="1656"/>
      <c r="E5" s="1656"/>
      <c r="F5" s="1656"/>
      <c r="G5" s="1656"/>
      <c r="H5" s="1656"/>
      <c r="I5" s="1656"/>
      <c r="J5" s="1656"/>
      <c r="K5" s="1656"/>
      <c r="L5" s="1656"/>
      <c r="M5" s="1656"/>
      <c r="N5" s="1656"/>
      <c r="O5" s="1656"/>
      <c r="P5" s="1656"/>
      <c r="Q5" s="1656"/>
      <c r="R5" s="1656"/>
      <c r="S5" s="1656"/>
      <c r="T5" s="1656"/>
      <c r="U5" s="1656"/>
    </row>
    <row r="6" spans="1:21" ht="15.75" x14ac:dyDescent="0.2">
      <c r="A6" s="1657" t="s">
        <v>114</v>
      </c>
      <c r="B6" s="1657"/>
      <c r="C6" s="1657"/>
      <c r="D6" s="1657"/>
      <c r="E6" s="1657"/>
      <c r="F6" s="1657"/>
      <c r="G6" s="1657"/>
      <c r="H6" s="1657"/>
      <c r="I6" s="1657"/>
      <c r="J6" s="1657"/>
      <c r="K6" s="1657"/>
      <c r="L6" s="1657"/>
      <c r="M6" s="1657"/>
      <c r="N6" s="1657"/>
      <c r="O6" s="1657"/>
      <c r="P6" s="1657"/>
      <c r="Q6" s="1657"/>
      <c r="R6" s="1657"/>
      <c r="S6" s="1657"/>
      <c r="T6" s="1657"/>
      <c r="U6" s="1657"/>
    </row>
    <row r="7" spans="1:21" ht="13.5" thickBot="1" x14ac:dyDescent="0.25">
      <c r="Q7" s="1658" t="s">
        <v>110</v>
      </c>
      <c r="R7" s="1658"/>
      <c r="S7" s="1658"/>
      <c r="T7" s="1658"/>
      <c r="U7" s="1659"/>
    </row>
    <row r="8" spans="1:21" s="61" customFormat="1" ht="22.5" customHeight="1" x14ac:dyDescent="0.2">
      <c r="A8" s="1660" t="s">
        <v>17</v>
      </c>
      <c r="B8" s="1663" t="s">
        <v>0</v>
      </c>
      <c r="C8" s="1663" t="s">
        <v>1</v>
      </c>
      <c r="D8" s="1666" t="s">
        <v>12</v>
      </c>
      <c r="E8" s="1663" t="s">
        <v>2</v>
      </c>
      <c r="F8" s="1678" t="s">
        <v>3</v>
      </c>
      <c r="G8" s="1681" t="s">
        <v>4</v>
      </c>
      <c r="H8" s="1684" t="s">
        <v>316</v>
      </c>
      <c r="I8" s="1675" t="s">
        <v>317</v>
      </c>
      <c r="J8" s="1669" t="s">
        <v>318</v>
      </c>
      <c r="K8" s="1684" t="s">
        <v>120</v>
      </c>
      <c r="L8" s="1675" t="s">
        <v>319</v>
      </c>
      <c r="M8" s="1669" t="s">
        <v>318</v>
      </c>
      <c r="N8" s="1687" t="s">
        <v>193</v>
      </c>
      <c r="O8" s="1675" t="s">
        <v>320</v>
      </c>
      <c r="P8" s="1669" t="s">
        <v>318</v>
      </c>
      <c r="Q8" s="1672" t="s">
        <v>11</v>
      </c>
      <c r="R8" s="1673"/>
      <c r="S8" s="1673"/>
      <c r="T8" s="1673"/>
      <c r="U8" s="701"/>
    </row>
    <row r="9" spans="1:21" s="61" customFormat="1" ht="18.75" customHeight="1" x14ac:dyDescent="0.2">
      <c r="A9" s="1661"/>
      <c r="B9" s="1664"/>
      <c r="C9" s="1664"/>
      <c r="D9" s="1667"/>
      <c r="E9" s="1664"/>
      <c r="F9" s="1679"/>
      <c r="G9" s="1682"/>
      <c r="H9" s="1685"/>
      <c r="I9" s="1676"/>
      <c r="J9" s="1670"/>
      <c r="K9" s="1685"/>
      <c r="L9" s="1676"/>
      <c r="M9" s="1670"/>
      <c r="N9" s="1688"/>
      <c r="O9" s="1676"/>
      <c r="P9" s="1670"/>
      <c r="Q9" s="1690" t="s">
        <v>12</v>
      </c>
      <c r="R9" s="1674" t="s">
        <v>87</v>
      </c>
      <c r="S9" s="1674"/>
      <c r="T9" s="1674"/>
      <c r="U9" s="702" t="s">
        <v>321</v>
      </c>
    </row>
    <row r="10" spans="1:21" s="61" customFormat="1" ht="72.75" customHeight="1" thickBot="1" x14ac:dyDescent="0.25">
      <c r="A10" s="1662"/>
      <c r="B10" s="1665"/>
      <c r="C10" s="1665"/>
      <c r="D10" s="1668"/>
      <c r="E10" s="1665"/>
      <c r="F10" s="1680"/>
      <c r="G10" s="1683"/>
      <c r="H10" s="1686"/>
      <c r="I10" s="1677"/>
      <c r="J10" s="1671"/>
      <c r="K10" s="1686"/>
      <c r="L10" s="1677"/>
      <c r="M10" s="1671"/>
      <c r="N10" s="1689"/>
      <c r="O10" s="1677"/>
      <c r="P10" s="1671"/>
      <c r="Q10" s="1691"/>
      <c r="R10" s="4" t="s">
        <v>91</v>
      </c>
      <c r="S10" s="703" t="s">
        <v>121</v>
      </c>
      <c r="T10" s="703" t="s">
        <v>194</v>
      </c>
      <c r="U10" s="704"/>
    </row>
    <row r="11" spans="1:21" s="14" customFormat="1" ht="15" customHeight="1" x14ac:dyDescent="0.2">
      <c r="A11" s="1636" t="s">
        <v>61</v>
      </c>
      <c r="B11" s="1637"/>
      <c r="C11" s="1637"/>
      <c r="D11" s="1637"/>
      <c r="E11" s="1637"/>
      <c r="F11" s="1637"/>
      <c r="G11" s="1637"/>
      <c r="H11" s="1637"/>
      <c r="I11" s="1637"/>
      <c r="J11" s="1637"/>
      <c r="K11" s="1637"/>
      <c r="L11" s="1637"/>
      <c r="M11" s="1637"/>
      <c r="N11" s="1637"/>
      <c r="O11" s="1637"/>
      <c r="P11" s="1637"/>
      <c r="Q11" s="1637"/>
      <c r="R11" s="1637"/>
      <c r="S11" s="1637"/>
      <c r="T11" s="1637"/>
      <c r="U11" s="1638"/>
    </row>
    <row r="12" spans="1:21" s="14" customFormat="1" ht="14.25" customHeight="1" x14ac:dyDescent="0.2">
      <c r="A12" s="1639" t="s">
        <v>45</v>
      </c>
      <c r="B12" s="1640"/>
      <c r="C12" s="1640"/>
      <c r="D12" s="1640"/>
      <c r="E12" s="1640"/>
      <c r="F12" s="1640"/>
      <c r="G12" s="1640"/>
      <c r="H12" s="1640"/>
      <c r="I12" s="1640"/>
      <c r="J12" s="1640"/>
      <c r="K12" s="1640"/>
      <c r="L12" s="1640"/>
      <c r="M12" s="1640"/>
      <c r="N12" s="1640"/>
      <c r="O12" s="1640"/>
      <c r="P12" s="1640"/>
      <c r="Q12" s="1640"/>
      <c r="R12" s="1640"/>
      <c r="S12" s="1640"/>
      <c r="T12" s="1640"/>
      <c r="U12" s="1641"/>
    </row>
    <row r="13" spans="1:21" ht="15" customHeight="1" x14ac:dyDescent="0.2">
      <c r="A13" s="30" t="s">
        <v>5</v>
      </c>
      <c r="B13" s="1642" t="s">
        <v>62</v>
      </c>
      <c r="C13" s="1643"/>
      <c r="D13" s="1643"/>
      <c r="E13" s="1643"/>
      <c r="F13" s="1643"/>
      <c r="G13" s="1643"/>
      <c r="H13" s="1643"/>
      <c r="I13" s="1643"/>
      <c r="J13" s="1643"/>
      <c r="K13" s="1643"/>
      <c r="L13" s="1643"/>
      <c r="M13" s="1643"/>
      <c r="N13" s="1643"/>
      <c r="O13" s="1643"/>
      <c r="P13" s="1643"/>
      <c r="Q13" s="1643"/>
      <c r="R13" s="1643"/>
      <c r="S13" s="1643"/>
      <c r="T13" s="1643"/>
      <c r="U13" s="1644"/>
    </row>
    <row r="14" spans="1:21" ht="15.75" customHeight="1" x14ac:dyDescent="0.2">
      <c r="A14" s="48" t="s">
        <v>5</v>
      </c>
      <c r="B14" s="49" t="s">
        <v>5</v>
      </c>
      <c r="C14" s="1645" t="s">
        <v>41</v>
      </c>
      <c r="D14" s="1646"/>
      <c r="E14" s="1646"/>
      <c r="F14" s="1646"/>
      <c r="G14" s="1646"/>
      <c r="H14" s="1646"/>
      <c r="I14" s="1646"/>
      <c r="J14" s="1646"/>
      <c r="K14" s="1646"/>
      <c r="L14" s="1646"/>
      <c r="M14" s="1646"/>
      <c r="N14" s="1646"/>
      <c r="O14" s="1646"/>
      <c r="P14" s="1646"/>
      <c r="Q14" s="1646"/>
      <c r="R14" s="1646"/>
      <c r="S14" s="1646"/>
      <c r="T14" s="1646"/>
      <c r="U14" s="1647"/>
    </row>
    <row r="15" spans="1:21" ht="13.5" customHeight="1" x14ac:dyDescent="0.2">
      <c r="A15" s="639" t="s">
        <v>5</v>
      </c>
      <c r="B15" s="640" t="s">
        <v>5</v>
      </c>
      <c r="C15" s="635" t="s">
        <v>5</v>
      </c>
      <c r="D15" s="1648" t="s">
        <v>97</v>
      </c>
      <c r="E15" s="1650"/>
      <c r="F15" s="632" t="s">
        <v>27</v>
      </c>
      <c r="G15" s="28" t="s">
        <v>24</v>
      </c>
      <c r="H15" s="115">
        <v>1592.8</v>
      </c>
      <c r="I15" s="115">
        <v>1592.8</v>
      </c>
      <c r="J15" s="120">
        <v>0</v>
      </c>
      <c r="K15" s="129">
        <v>2368.6</v>
      </c>
      <c r="L15" s="167">
        <f>2368.6</f>
        <v>2368.6</v>
      </c>
      <c r="M15" s="120">
        <v>0</v>
      </c>
      <c r="N15" s="145">
        <v>469</v>
      </c>
      <c r="O15" s="167">
        <v>469</v>
      </c>
      <c r="P15" s="115">
        <v>0</v>
      </c>
      <c r="Q15" s="329"/>
      <c r="R15" s="332"/>
      <c r="S15" s="173"/>
      <c r="T15" s="734"/>
      <c r="U15" s="364"/>
    </row>
    <row r="16" spans="1:21" ht="14.25" customHeight="1" x14ac:dyDescent="0.2">
      <c r="A16" s="639"/>
      <c r="B16" s="640"/>
      <c r="C16" s="635"/>
      <c r="D16" s="1649"/>
      <c r="E16" s="1651"/>
      <c r="F16" s="632"/>
      <c r="G16" s="28" t="s">
        <v>58</v>
      </c>
      <c r="H16" s="115">
        <f>464.5+30</f>
        <v>494.5</v>
      </c>
      <c r="I16" s="115">
        <f>464.5+30</f>
        <v>494.5</v>
      </c>
      <c r="J16" s="120">
        <v>0</v>
      </c>
      <c r="K16" s="317"/>
      <c r="L16" s="356"/>
      <c r="M16" s="177">
        <v>0</v>
      </c>
      <c r="N16" s="120"/>
      <c r="O16" s="356"/>
      <c r="P16" s="120"/>
      <c r="Q16" s="329"/>
      <c r="R16" s="332"/>
      <c r="S16" s="523"/>
      <c r="T16" s="173"/>
      <c r="U16" s="550"/>
    </row>
    <row r="17" spans="1:23" ht="14.25" customHeight="1" x14ac:dyDescent="0.2">
      <c r="A17" s="639"/>
      <c r="B17" s="640"/>
      <c r="C17" s="635"/>
      <c r="D17" s="1649"/>
      <c r="E17" s="1651"/>
      <c r="F17" s="632"/>
      <c r="G17" s="28"/>
      <c r="H17" s="115"/>
      <c r="I17" s="115"/>
      <c r="J17" s="120"/>
      <c r="K17" s="317"/>
      <c r="L17" s="356"/>
      <c r="M17" s="177"/>
      <c r="N17" s="317"/>
      <c r="O17" s="356"/>
      <c r="P17" s="120"/>
      <c r="Q17" s="329"/>
      <c r="R17" s="332"/>
      <c r="S17" s="523"/>
      <c r="T17" s="173"/>
      <c r="U17" s="550"/>
    </row>
    <row r="18" spans="1:23" ht="16.5" customHeight="1" x14ac:dyDescent="0.2">
      <c r="A18" s="639"/>
      <c r="B18" s="640"/>
      <c r="C18" s="635"/>
      <c r="D18" s="1610" t="s">
        <v>117</v>
      </c>
      <c r="E18" s="516"/>
      <c r="F18" s="434"/>
      <c r="G18" s="70"/>
      <c r="H18" s="114"/>
      <c r="I18" s="114"/>
      <c r="J18" s="146"/>
      <c r="K18" s="129"/>
      <c r="L18" s="167"/>
      <c r="M18" s="179"/>
      <c r="N18" s="146"/>
      <c r="O18" s="167"/>
      <c r="P18" s="146"/>
      <c r="Q18" s="58" t="s">
        <v>315</v>
      </c>
      <c r="R18" s="159">
        <v>3.9</v>
      </c>
      <c r="S18" s="361">
        <v>3.9</v>
      </c>
      <c r="T18" s="154">
        <v>3.9</v>
      </c>
      <c r="U18" s="610"/>
    </row>
    <row r="19" spans="1:23" ht="25.5" customHeight="1" x14ac:dyDescent="0.2">
      <c r="A19" s="639"/>
      <c r="B19" s="640"/>
      <c r="C19" s="635"/>
      <c r="D19" s="1611"/>
      <c r="E19" s="652"/>
      <c r="F19" s="645"/>
      <c r="G19" s="71"/>
      <c r="H19" s="113"/>
      <c r="I19" s="113"/>
      <c r="J19" s="119"/>
      <c r="K19" s="98"/>
      <c r="L19" s="357"/>
      <c r="M19" s="178"/>
      <c r="N19" s="119"/>
      <c r="O19" s="357"/>
      <c r="P19" s="119"/>
      <c r="Q19" s="760" t="s">
        <v>314</v>
      </c>
      <c r="R19" s="250" t="s">
        <v>200</v>
      </c>
      <c r="S19" s="362" t="s">
        <v>201</v>
      </c>
      <c r="T19" s="352" t="s">
        <v>201</v>
      </c>
      <c r="U19" s="763"/>
      <c r="V19" s="678"/>
      <c r="W19" s="678"/>
    </row>
    <row r="20" spans="1:23" ht="16.5" customHeight="1" x14ac:dyDescent="0.2">
      <c r="A20" s="1632"/>
      <c r="B20" s="1633"/>
      <c r="C20" s="1634"/>
      <c r="D20" s="1617" t="s">
        <v>30</v>
      </c>
      <c r="E20" s="1635" t="s">
        <v>100</v>
      </c>
      <c r="F20" s="1603"/>
      <c r="G20" s="648"/>
      <c r="H20" s="115"/>
      <c r="I20" s="115"/>
      <c r="J20" s="120"/>
      <c r="K20" s="317"/>
      <c r="L20" s="356"/>
      <c r="M20" s="177"/>
      <c r="N20" s="120"/>
      <c r="O20" s="356"/>
      <c r="P20" s="120"/>
      <c r="Q20" s="680" t="s">
        <v>32</v>
      </c>
      <c r="R20" s="94">
        <v>4</v>
      </c>
      <c r="S20" s="94">
        <v>4</v>
      </c>
      <c r="T20" s="708">
        <v>4</v>
      </c>
      <c r="U20" s="905"/>
    </row>
    <row r="21" spans="1:23" ht="16.5" customHeight="1" x14ac:dyDescent="0.2">
      <c r="A21" s="1632"/>
      <c r="B21" s="1633"/>
      <c r="C21" s="1634"/>
      <c r="D21" s="1617"/>
      <c r="E21" s="1635"/>
      <c r="F21" s="1603"/>
      <c r="G21" s="587"/>
      <c r="H21" s="1042"/>
      <c r="I21" s="1042"/>
      <c r="J21" s="1043"/>
      <c r="K21" s="169"/>
      <c r="L21" s="1044"/>
      <c r="M21" s="181"/>
      <c r="N21" s="1043"/>
      <c r="O21" s="1044"/>
      <c r="P21" s="1043"/>
      <c r="Q21" s="36" t="s">
        <v>86</v>
      </c>
      <c r="R21" s="37">
        <v>3</v>
      </c>
      <c r="S21" s="37">
        <v>3</v>
      </c>
      <c r="T21" s="709">
        <v>3</v>
      </c>
      <c r="U21" s="905"/>
    </row>
    <row r="22" spans="1:23" ht="13.5" customHeight="1" x14ac:dyDescent="0.2">
      <c r="A22" s="1632"/>
      <c r="B22" s="1633"/>
      <c r="C22" s="1634"/>
      <c r="D22" s="1617"/>
      <c r="E22" s="1635"/>
      <c r="F22" s="1603"/>
      <c r="G22" s="648"/>
      <c r="H22" s="115"/>
      <c r="I22" s="115"/>
      <c r="J22" s="120"/>
      <c r="K22" s="317"/>
      <c r="L22" s="356"/>
      <c r="M22" s="177"/>
      <c r="N22" s="120"/>
      <c r="O22" s="356"/>
      <c r="P22" s="120"/>
      <c r="Q22" s="1652" t="s">
        <v>288</v>
      </c>
      <c r="R22" s="1045" t="s">
        <v>338</v>
      </c>
      <c r="S22" s="155">
        <v>100</v>
      </c>
      <c r="T22" s="987"/>
      <c r="U22" s="1654" t="s">
        <v>367</v>
      </c>
    </row>
    <row r="23" spans="1:23" ht="92.25" customHeight="1" x14ac:dyDescent="0.2">
      <c r="A23" s="1632"/>
      <c r="B23" s="1633"/>
      <c r="C23" s="1634"/>
      <c r="D23" s="1617"/>
      <c r="E23" s="1635"/>
      <c r="F23" s="1603"/>
      <c r="G23" s="936" t="s">
        <v>58</v>
      </c>
      <c r="H23" s="115"/>
      <c r="I23" s="865">
        <v>-11.9</v>
      </c>
      <c r="J23" s="1022">
        <f>I23-H23</f>
        <v>-11.9</v>
      </c>
      <c r="K23" s="317"/>
      <c r="L23" s="865">
        <v>11.9</v>
      </c>
      <c r="M23" s="1022">
        <v>11.9</v>
      </c>
      <c r="N23" s="120"/>
      <c r="O23" s="356"/>
      <c r="P23" s="120"/>
      <c r="Q23" s="1653"/>
      <c r="R23" s="915">
        <v>10</v>
      </c>
      <c r="S23" s="157"/>
      <c r="T23" s="157"/>
      <c r="U23" s="1602"/>
    </row>
    <row r="24" spans="1:23" ht="15" customHeight="1" x14ac:dyDescent="0.2">
      <c r="A24" s="869"/>
      <c r="B24" s="870"/>
      <c r="C24" s="872"/>
      <c r="D24" s="1610" t="s">
        <v>31</v>
      </c>
      <c r="E24" s="1650"/>
      <c r="F24" s="434"/>
      <c r="G24" s="890"/>
      <c r="H24" s="114"/>
      <c r="I24" s="114"/>
      <c r="J24" s="146"/>
      <c r="K24" s="129"/>
      <c r="L24" s="167"/>
      <c r="M24" s="179"/>
      <c r="N24" s="146"/>
      <c r="O24" s="167"/>
      <c r="P24" s="146"/>
      <c r="Q24" s="759" t="s">
        <v>202</v>
      </c>
      <c r="R24" s="411"/>
      <c r="S24" s="412"/>
      <c r="T24" s="735"/>
      <c r="U24" s="905"/>
    </row>
    <row r="25" spans="1:23" ht="29.25" customHeight="1" x14ac:dyDescent="0.2">
      <c r="A25" s="869"/>
      <c r="B25" s="870"/>
      <c r="C25" s="872"/>
      <c r="D25" s="1692"/>
      <c r="E25" s="1625"/>
      <c r="F25" s="867"/>
      <c r="G25" s="889"/>
      <c r="H25" s="115"/>
      <c r="I25" s="115"/>
      <c r="J25" s="120"/>
      <c r="K25" s="881"/>
      <c r="L25" s="885"/>
      <c r="M25" s="177"/>
      <c r="N25" s="120"/>
      <c r="O25" s="885"/>
      <c r="P25" s="120"/>
      <c r="Q25" s="873" t="s">
        <v>203</v>
      </c>
      <c r="R25" s="330">
        <v>430</v>
      </c>
      <c r="S25" s="367">
        <v>430</v>
      </c>
      <c r="T25" s="316">
        <v>430</v>
      </c>
      <c r="U25" s="879"/>
    </row>
    <row r="26" spans="1:23" ht="25.5" customHeight="1" x14ac:dyDescent="0.2">
      <c r="A26" s="869"/>
      <c r="B26" s="870"/>
      <c r="C26" s="872"/>
      <c r="D26" s="1692"/>
      <c r="E26" s="1625"/>
      <c r="F26" s="867"/>
      <c r="G26" s="889"/>
      <c r="H26" s="115"/>
      <c r="I26" s="115"/>
      <c r="J26" s="120"/>
      <c r="K26" s="881"/>
      <c r="L26" s="885"/>
      <c r="M26" s="177"/>
      <c r="N26" s="120"/>
      <c r="O26" s="885"/>
      <c r="P26" s="120"/>
      <c r="Q26" s="54" t="s">
        <v>166</v>
      </c>
      <c r="R26" s="413">
        <v>42</v>
      </c>
      <c r="S26" s="414">
        <v>42</v>
      </c>
      <c r="T26" s="736">
        <v>42</v>
      </c>
      <c r="U26" s="879"/>
    </row>
    <row r="27" spans="1:23" ht="15" customHeight="1" x14ac:dyDescent="0.2">
      <c r="A27" s="869"/>
      <c r="B27" s="870"/>
      <c r="C27" s="872"/>
      <c r="D27" s="1692"/>
      <c r="E27" s="1625"/>
      <c r="F27" s="867"/>
      <c r="G27" s="889"/>
      <c r="H27" s="115"/>
      <c r="I27" s="115"/>
      <c r="J27" s="120"/>
      <c r="K27" s="881"/>
      <c r="L27" s="885"/>
      <c r="M27" s="177"/>
      <c r="N27" s="120"/>
      <c r="O27" s="885"/>
      <c r="P27" s="120"/>
      <c r="Q27" s="417" t="s">
        <v>204</v>
      </c>
      <c r="R27" s="289"/>
      <c r="S27" s="418"/>
      <c r="T27" s="737"/>
      <c r="U27" s="421"/>
    </row>
    <row r="28" spans="1:23" ht="13.5" customHeight="1" x14ac:dyDescent="0.2">
      <c r="A28" s="869"/>
      <c r="B28" s="870"/>
      <c r="C28" s="872"/>
      <c r="D28" s="234"/>
      <c r="E28" s="1625"/>
      <c r="F28" s="867"/>
      <c r="G28" s="889"/>
      <c r="H28" s="115"/>
      <c r="I28" s="115"/>
      <c r="J28" s="120"/>
      <c r="K28" s="881"/>
      <c r="L28" s="885"/>
      <c r="M28" s="177"/>
      <c r="N28" s="120"/>
      <c r="O28" s="885"/>
      <c r="P28" s="120"/>
      <c r="Q28" s="888" t="s">
        <v>112</v>
      </c>
      <c r="R28" s="95">
        <v>13</v>
      </c>
      <c r="S28" s="880">
        <v>13</v>
      </c>
      <c r="T28" s="155">
        <v>13</v>
      </c>
      <c r="U28" s="879"/>
    </row>
    <row r="29" spans="1:23" ht="13.5" customHeight="1" x14ac:dyDescent="0.2">
      <c r="A29" s="869"/>
      <c r="B29" s="870"/>
      <c r="C29" s="872"/>
      <c r="D29" s="234"/>
      <c r="E29" s="1625"/>
      <c r="F29" s="867"/>
      <c r="G29" s="889"/>
      <c r="H29" s="115"/>
      <c r="I29" s="115"/>
      <c r="J29" s="120"/>
      <c r="K29" s="881"/>
      <c r="L29" s="885"/>
      <c r="M29" s="177"/>
      <c r="N29" s="120"/>
      <c r="O29" s="885"/>
      <c r="P29" s="120"/>
      <c r="Q29" s="868" t="s">
        <v>33</v>
      </c>
      <c r="R29" s="39" t="s">
        <v>205</v>
      </c>
      <c r="S29" s="188" t="s">
        <v>205</v>
      </c>
      <c r="T29" s="312" t="s">
        <v>205</v>
      </c>
      <c r="U29" s="421"/>
    </row>
    <row r="30" spans="1:23" ht="15" customHeight="1" x14ac:dyDescent="0.2">
      <c r="A30" s="869"/>
      <c r="B30" s="870"/>
      <c r="C30" s="872"/>
      <c r="D30" s="234"/>
      <c r="E30" s="1625"/>
      <c r="F30" s="867"/>
      <c r="G30" s="889"/>
      <c r="H30" s="115"/>
      <c r="I30" s="115"/>
      <c r="J30" s="120"/>
      <c r="K30" s="881"/>
      <c r="L30" s="885"/>
      <c r="M30" s="177"/>
      <c r="N30" s="120"/>
      <c r="O30" s="885"/>
      <c r="P30" s="120"/>
      <c r="Q30" s="868" t="s">
        <v>85</v>
      </c>
      <c r="R30" s="39" t="s">
        <v>206</v>
      </c>
      <c r="S30" s="188" t="s">
        <v>206</v>
      </c>
      <c r="T30" s="312" t="s">
        <v>206</v>
      </c>
      <c r="U30" s="421"/>
    </row>
    <row r="31" spans="1:23" ht="12.75" customHeight="1" x14ac:dyDescent="0.2">
      <c r="A31" s="869"/>
      <c r="B31" s="870"/>
      <c r="C31" s="872"/>
      <c r="D31" s="234"/>
      <c r="E31" s="1625"/>
      <c r="F31" s="867"/>
      <c r="G31" s="889"/>
      <c r="H31" s="115"/>
      <c r="I31" s="115"/>
      <c r="J31" s="120"/>
      <c r="K31" s="881"/>
      <c r="L31" s="885"/>
      <c r="M31" s="177"/>
      <c r="N31" s="120"/>
      <c r="O31" s="885"/>
      <c r="P31" s="120"/>
      <c r="Q31" s="868" t="s">
        <v>207</v>
      </c>
      <c r="R31" s="39" t="s">
        <v>208</v>
      </c>
      <c r="S31" s="188" t="s">
        <v>208</v>
      </c>
      <c r="T31" s="312" t="s">
        <v>208</v>
      </c>
      <c r="U31" s="421"/>
    </row>
    <row r="32" spans="1:23" ht="17.25" customHeight="1" x14ac:dyDescent="0.2">
      <c r="A32" s="869"/>
      <c r="B32" s="870"/>
      <c r="C32" s="872"/>
      <c r="D32" s="234"/>
      <c r="E32" s="1625"/>
      <c r="F32" s="867"/>
      <c r="G32" s="889"/>
      <c r="H32" s="115"/>
      <c r="I32" s="115"/>
      <c r="J32" s="120"/>
      <c r="K32" s="881"/>
      <c r="L32" s="885"/>
      <c r="M32" s="177"/>
      <c r="N32" s="120"/>
      <c r="O32" s="885"/>
      <c r="P32" s="120"/>
      <c r="Q32" s="172" t="s">
        <v>209</v>
      </c>
      <c r="R32" s="231" t="s">
        <v>210</v>
      </c>
      <c r="S32" s="232" t="s">
        <v>210</v>
      </c>
      <c r="T32" s="372" t="s">
        <v>210</v>
      </c>
      <c r="U32" s="421"/>
    </row>
    <row r="33" spans="1:21" ht="14.25" customHeight="1" x14ac:dyDescent="0.2">
      <c r="A33" s="869"/>
      <c r="B33" s="870"/>
      <c r="C33" s="872"/>
      <c r="D33" s="234"/>
      <c r="E33" s="1625"/>
      <c r="F33" s="867"/>
      <c r="G33" s="889"/>
      <c r="H33" s="115"/>
      <c r="I33" s="115"/>
      <c r="J33" s="120"/>
      <c r="K33" s="881"/>
      <c r="L33" s="885"/>
      <c r="M33" s="177"/>
      <c r="N33" s="120"/>
      <c r="O33" s="885"/>
      <c r="P33" s="120"/>
      <c r="Q33" s="422" t="s">
        <v>211</v>
      </c>
      <c r="R33" s="289"/>
      <c r="S33" s="418"/>
      <c r="T33" s="737"/>
      <c r="U33" s="421"/>
    </row>
    <row r="34" spans="1:21" ht="13.5" customHeight="1" x14ac:dyDescent="0.2">
      <c r="A34" s="869"/>
      <c r="B34" s="870"/>
      <c r="C34" s="872"/>
      <c r="D34" s="234"/>
      <c r="E34" s="1625"/>
      <c r="F34" s="867"/>
      <c r="G34" s="889"/>
      <c r="H34" s="115"/>
      <c r="I34" s="115"/>
      <c r="J34" s="120"/>
      <c r="K34" s="881"/>
      <c r="L34" s="885"/>
      <c r="M34" s="177"/>
      <c r="N34" s="120"/>
      <c r="O34" s="885"/>
      <c r="P34" s="120"/>
      <c r="Q34" s="868" t="s">
        <v>168</v>
      </c>
      <c r="R34" s="164" t="s">
        <v>212</v>
      </c>
      <c r="S34" s="423" t="s">
        <v>212</v>
      </c>
      <c r="T34" s="508" t="s">
        <v>212</v>
      </c>
      <c r="U34" s="424"/>
    </row>
    <row r="35" spans="1:21" ht="16.5" customHeight="1" x14ac:dyDescent="0.2">
      <c r="A35" s="869"/>
      <c r="B35" s="870"/>
      <c r="C35" s="872"/>
      <c r="D35" s="234"/>
      <c r="E35" s="1625"/>
      <c r="F35" s="867"/>
      <c r="G35" s="889"/>
      <c r="H35" s="115"/>
      <c r="I35" s="115"/>
      <c r="J35" s="120"/>
      <c r="K35" s="881"/>
      <c r="L35" s="885"/>
      <c r="M35" s="177"/>
      <c r="N35" s="120"/>
      <c r="O35" s="885"/>
      <c r="P35" s="120"/>
      <c r="Q35" s="518" t="s">
        <v>167</v>
      </c>
      <c r="R35" s="231" t="s">
        <v>145</v>
      </c>
      <c r="S35" s="232" t="s">
        <v>145</v>
      </c>
      <c r="T35" s="372" t="s">
        <v>145</v>
      </c>
      <c r="U35" s="421"/>
    </row>
    <row r="36" spans="1:21" ht="15" customHeight="1" x14ac:dyDescent="0.2">
      <c r="A36" s="869"/>
      <c r="B36" s="870"/>
      <c r="C36" s="872"/>
      <c r="D36" s="234"/>
      <c r="E36" s="1625"/>
      <c r="F36" s="867"/>
      <c r="G36" s="889"/>
      <c r="H36" s="115"/>
      <c r="I36" s="115"/>
      <c r="J36" s="120"/>
      <c r="K36" s="881"/>
      <c r="L36" s="885"/>
      <c r="M36" s="177"/>
      <c r="N36" s="120"/>
      <c r="O36" s="885"/>
      <c r="P36" s="120"/>
      <c r="Q36" s="422" t="s">
        <v>289</v>
      </c>
      <c r="R36" s="164"/>
      <c r="S36" s="423"/>
      <c r="T36" s="508"/>
      <c r="U36" s="424"/>
    </row>
    <row r="37" spans="1:21" ht="12.75" customHeight="1" x14ac:dyDescent="0.2">
      <c r="A37" s="869"/>
      <c r="B37" s="870"/>
      <c r="C37" s="872"/>
      <c r="D37" s="234"/>
      <c r="E37" s="1625"/>
      <c r="F37" s="867"/>
      <c r="G37" s="889"/>
      <c r="H37" s="115"/>
      <c r="I37" s="115"/>
      <c r="J37" s="120"/>
      <c r="K37" s="881"/>
      <c r="L37" s="885"/>
      <c r="M37" s="177"/>
      <c r="N37" s="120"/>
      <c r="O37" s="885"/>
      <c r="P37" s="120"/>
      <c r="Q37" s="868" t="s">
        <v>160</v>
      </c>
      <c r="R37" s="164">
        <v>150</v>
      </c>
      <c r="S37" s="423">
        <v>150</v>
      </c>
      <c r="T37" s="508">
        <v>150</v>
      </c>
      <c r="U37" s="424"/>
    </row>
    <row r="38" spans="1:21" ht="12.75" customHeight="1" x14ac:dyDescent="0.2">
      <c r="A38" s="869"/>
      <c r="B38" s="870"/>
      <c r="C38" s="872"/>
      <c r="D38" s="234"/>
      <c r="E38" s="1625"/>
      <c r="F38" s="867"/>
      <c r="G38" s="889"/>
      <c r="H38" s="115"/>
      <c r="I38" s="115"/>
      <c r="J38" s="120"/>
      <c r="K38" s="881"/>
      <c r="L38" s="885"/>
      <c r="M38" s="177"/>
      <c r="N38" s="120"/>
      <c r="O38" s="885"/>
      <c r="P38" s="120"/>
      <c r="Q38" s="868" t="s">
        <v>161</v>
      </c>
      <c r="R38" s="164">
        <v>870</v>
      </c>
      <c r="S38" s="423">
        <v>870</v>
      </c>
      <c r="T38" s="508">
        <v>870</v>
      </c>
      <c r="U38" s="424"/>
    </row>
    <row r="39" spans="1:21" ht="27.75" customHeight="1" x14ac:dyDescent="0.2">
      <c r="A39" s="869"/>
      <c r="B39" s="870"/>
      <c r="C39" s="872"/>
      <c r="D39" s="234"/>
      <c r="E39" s="1625"/>
      <c r="F39" s="867"/>
      <c r="G39" s="889"/>
      <c r="H39" s="115"/>
      <c r="I39" s="115"/>
      <c r="J39" s="120"/>
      <c r="K39" s="881"/>
      <c r="L39" s="885"/>
      <c r="M39" s="177"/>
      <c r="N39" s="120"/>
      <c r="O39" s="885"/>
      <c r="P39" s="120"/>
      <c r="Q39" s="56" t="s">
        <v>214</v>
      </c>
      <c r="R39" s="231">
        <v>1</v>
      </c>
      <c r="S39" s="232">
        <v>1</v>
      </c>
      <c r="T39" s="372">
        <v>1</v>
      </c>
      <c r="U39" s="421"/>
    </row>
    <row r="40" spans="1:21" ht="29.25" customHeight="1" x14ac:dyDescent="0.2">
      <c r="A40" s="896"/>
      <c r="B40" s="900"/>
      <c r="C40" s="898"/>
      <c r="D40" s="235"/>
      <c r="E40" s="1693"/>
      <c r="F40" s="878"/>
      <c r="G40" s="354"/>
      <c r="H40" s="119"/>
      <c r="I40" s="886"/>
      <c r="J40" s="119"/>
      <c r="K40" s="882"/>
      <c r="L40" s="886"/>
      <c r="M40" s="178"/>
      <c r="N40" s="119"/>
      <c r="O40" s="886"/>
      <c r="P40" s="119"/>
      <c r="Q40" s="251" t="s">
        <v>281</v>
      </c>
      <c r="R40" s="290">
        <v>2</v>
      </c>
      <c r="S40" s="521"/>
      <c r="T40" s="738"/>
      <c r="U40" s="424"/>
    </row>
    <row r="41" spans="1:21" ht="26.25" customHeight="1" x14ac:dyDescent="0.2">
      <c r="A41" s="639"/>
      <c r="B41" s="640"/>
      <c r="C41" s="679"/>
      <c r="D41" s="1617" t="s">
        <v>152</v>
      </c>
      <c r="E41" s="1694" t="s">
        <v>155</v>
      </c>
      <c r="F41" s="867"/>
      <c r="G41" s="28"/>
      <c r="H41" s="881"/>
      <c r="I41" s="885"/>
      <c r="J41" s="120"/>
      <c r="K41" s="881"/>
      <c r="L41" s="885"/>
      <c r="M41" s="177"/>
      <c r="N41" s="120"/>
      <c r="O41" s="885"/>
      <c r="P41" s="120"/>
      <c r="Q41" s="922" t="s">
        <v>175</v>
      </c>
      <c r="R41" s="41">
        <v>100</v>
      </c>
      <c r="S41" s="162"/>
      <c r="T41" s="927"/>
      <c r="U41" s="313"/>
    </row>
    <row r="42" spans="1:21" ht="14.25" customHeight="1" x14ac:dyDescent="0.2">
      <c r="A42" s="639"/>
      <c r="B42" s="640"/>
      <c r="C42" s="679"/>
      <c r="D42" s="1617"/>
      <c r="E42" s="1695"/>
      <c r="F42" s="632"/>
      <c r="G42" s="28"/>
      <c r="H42" s="317"/>
      <c r="I42" s="356"/>
      <c r="J42" s="120"/>
      <c r="K42" s="317"/>
      <c r="L42" s="356"/>
      <c r="M42" s="177"/>
      <c r="N42" s="120"/>
      <c r="O42" s="356"/>
      <c r="P42" s="120"/>
      <c r="Q42" s="917" t="s">
        <v>154</v>
      </c>
      <c r="R42" s="928">
        <v>1</v>
      </c>
      <c r="S42" s="928"/>
      <c r="T42" s="929"/>
      <c r="U42" s="313"/>
    </row>
    <row r="43" spans="1:21" ht="15" customHeight="1" x14ac:dyDescent="0.2">
      <c r="A43" s="639"/>
      <c r="B43" s="640"/>
      <c r="C43" s="82"/>
      <c r="D43" s="1610" t="s">
        <v>142</v>
      </c>
      <c r="E43" s="1695"/>
      <c r="F43" s="1697"/>
      <c r="G43" s="28"/>
      <c r="H43" s="317"/>
      <c r="I43" s="356"/>
      <c r="J43" s="120"/>
      <c r="K43" s="317"/>
      <c r="L43" s="356"/>
      <c r="M43" s="177"/>
      <c r="N43" s="120"/>
      <c r="O43" s="356"/>
      <c r="P43" s="120"/>
      <c r="Q43" s="644" t="s">
        <v>175</v>
      </c>
      <c r="R43" s="95">
        <v>50</v>
      </c>
      <c r="S43" s="206">
        <v>100</v>
      </c>
      <c r="T43" s="512"/>
      <c r="U43" s="313"/>
    </row>
    <row r="44" spans="1:21" ht="12" customHeight="1" x14ac:dyDescent="0.2">
      <c r="A44" s="639"/>
      <c r="B44" s="640"/>
      <c r="C44" s="635"/>
      <c r="D44" s="1611"/>
      <c r="E44" s="1696"/>
      <c r="F44" s="1698"/>
      <c r="G44" s="354"/>
      <c r="H44" s="119"/>
      <c r="I44" s="357"/>
      <c r="J44" s="119"/>
      <c r="K44" s="98"/>
      <c r="L44" s="357"/>
      <c r="M44" s="178"/>
      <c r="N44" s="98"/>
      <c r="O44" s="357"/>
      <c r="P44" s="119"/>
      <c r="Q44" s="426"/>
      <c r="R44" s="90"/>
      <c r="S44" s="90"/>
      <c r="T44" s="611"/>
      <c r="U44" s="313"/>
    </row>
    <row r="45" spans="1:21" ht="25.5" customHeight="1" x14ac:dyDescent="0.2">
      <c r="A45" s="639"/>
      <c r="B45" s="640"/>
      <c r="C45" s="82"/>
      <c r="D45" s="1618" t="s">
        <v>124</v>
      </c>
      <c r="E45" s="1606" t="s">
        <v>109</v>
      </c>
      <c r="F45" s="1603"/>
      <c r="G45" s="28"/>
      <c r="H45" s="120"/>
      <c r="I45" s="356"/>
      <c r="J45" s="120"/>
      <c r="K45" s="317"/>
      <c r="L45" s="356"/>
      <c r="M45" s="177"/>
      <c r="N45" s="120"/>
      <c r="O45" s="356"/>
      <c r="P45" s="120"/>
      <c r="Q45" s="644" t="s">
        <v>176</v>
      </c>
      <c r="R45" s="41">
        <v>100</v>
      </c>
      <c r="S45" s="207"/>
      <c r="T45" s="711"/>
      <c r="U45" s="313"/>
    </row>
    <row r="46" spans="1:21" ht="17.25" customHeight="1" x14ac:dyDescent="0.2">
      <c r="A46" s="639"/>
      <c r="B46" s="640"/>
      <c r="C46" s="635"/>
      <c r="D46" s="1605"/>
      <c r="E46" s="1607"/>
      <c r="F46" s="1699"/>
      <c r="G46" s="71"/>
      <c r="H46" s="119"/>
      <c r="I46" s="357"/>
      <c r="J46" s="119"/>
      <c r="K46" s="98"/>
      <c r="L46" s="357"/>
      <c r="M46" s="178"/>
      <c r="N46" s="98"/>
      <c r="O46" s="357"/>
      <c r="P46" s="119"/>
      <c r="Q46" s="456"/>
      <c r="R46" s="90"/>
      <c r="S46" s="90"/>
      <c r="T46" s="611"/>
      <c r="U46" s="313"/>
    </row>
    <row r="47" spans="1:21" ht="15.75" customHeight="1" x14ac:dyDescent="0.2">
      <c r="A47" s="639"/>
      <c r="B47" s="640"/>
      <c r="C47" s="82"/>
      <c r="D47" s="1604" t="s">
        <v>146</v>
      </c>
      <c r="E47" s="1612" t="s">
        <v>155</v>
      </c>
      <c r="F47" s="1700"/>
      <c r="G47" s="70"/>
      <c r="H47" s="146"/>
      <c r="I47" s="167"/>
      <c r="J47" s="146"/>
      <c r="K47" s="129"/>
      <c r="L47" s="167"/>
      <c r="M47" s="179"/>
      <c r="N47" s="146"/>
      <c r="O47" s="167"/>
      <c r="P47" s="146"/>
      <c r="Q47" s="677" t="s">
        <v>98</v>
      </c>
      <c r="R47" s="95">
        <v>1</v>
      </c>
      <c r="S47" s="156"/>
      <c r="T47" s="197"/>
      <c r="U47" s="313"/>
    </row>
    <row r="48" spans="1:21" ht="26.25" customHeight="1" x14ac:dyDescent="0.2">
      <c r="A48" s="639"/>
      <c r="B48" s="640"/>
      <c r="C48" s="635"/>
      <c r="D48" s="1605"/>
      <c r="E48" s="1613"/>
      <c r="F48" s="1609"/>
      <c r="G48" s="354"/>
      <c r="H48" s="119"/>
      <c r="I48" s="357"/>
      <c r="J48" s="119"/>
      <c r="K48" s="98"/>
      <c r="L48" s="357"/>
      <c r="M48" s="178"/>
      <c r="N48" s="119"/>
      <c r="O48" s="357"/>
      <c r="P48" s="119"/>
      <c r="Q48" s="360" t="s">
        <v>131</v>
      </c>
      <c r="R48" s="90"/>
      <c r="S48" s="157">
        <v>100</v>
      </c>
      <c r="T48" s="198"/>
      <c r="U48" s="313"/>
    </row>
    <row r="49" spans="1:21" ht="18" customHeight="1" x14ac:dyDescent="0.2">
      <c r="A49" s="639"/>
      <c r="B49" s="640"/>
      <c r="C49" s="82"/>
      <c r="D49" s="1618" t="s">
        <v>122</v>
      </c>
      <c r="E49" s="1606" t="s">
        <v>109</v>
      </c>
      <c r="F49" s="1608"/>
      <c r="G49" s="28"/>
      <c r="H49" s="120"/>
      <c r="I49" s="356"/>
      <c r="J49" s="120"/>
      <c r="K49" s="317"/>
      <c r="L49" s="356"/>
      <c r="M49" s="177"/>
      <c r="N49" s="120"/>
      <c r="O49" s="356"/>
      <c r="P49" s="120"/>
      <c r="Q49" s="650" t="s">
        <v>123</v>
      </c>
      <c r="R49" s="95">
        <v>1</v>
      </c>
      <c r="S49" s="155"/>
      <c r="T49" s="740"/>
      <c r="U49" s="1085"/>
    </row>
    <row r="50" spans="1:21" ht="25.5" customHeight="1" x14ac:dyDescent="0.2">
      <c r="A50" s="639"/>
      <c r="B50" s="640"/>
      <c r="C50" s="635"/>
      <c r="D50" s="1605"/>
      <c r="E50" s="1607"/>
      <c r="F50" s="1609"/>
      <c r="G50" s="354"/>
      <c r="H50" s="119"/>
      <c r="I50" s="357"/>
      <c r="J50" s="119"/>
      <c r="K50" s="98"/>
      <c r="L50" s="357"/>
      <c r="M50" s="178"/>
      <c r="N50" s="119"/>
      <c r="O50" s="357"/>
      <c r="P50" s="119"/>
      <c r="Q50" s="360" t="s">
        <v>130</v>
      </c>
      <c r="R50" s="90">
        <v>10</v>
      </c>
      <c r="S50" s="157">
        <v>100</v>
      </c>
      <c r="T50" s="741"/>
      <c r="U50" s="1086"/>
    </row>
    <row r="51" spans="1:21" ht="15" customHeight="1" x14ac:dyDescent="0.2">
      <c r="A51" s="639"/>
      <c r="B51" s="640"/>
      <c r="C51" s="82"/>
      <c r="D51" s="1604" t="s">
        <v>261</v>
      </c>
      <c r="E51" s="1606" t="s">
        <v>109</v>
      </c>
      <c r="F51" s="1608"/>
      <c r="G51" s="28"/>
      <c r="H51" s="120"/>
      <c r="I51" s="356"/>
      <c r="J51" s="120"/>
      <c r="K51" s="317"/>
      <c r="L51" s="356"/>
      <c r="M51" s="177"/>
      <c r="N51" s="120"/>
      <c r="O51" s="356"/>
      <c r="P51" s="120"/>
      <c r="Q51" s="650" t="s">
        <v>147</v>
      </c>
      <c r="R51" s="95">
        <v>1</v>
      </c>
      <c r="S51" s="155"/>
      <c r="T51" s="740"/>
      <c r="U51" s="1085"/>
    </row>
    <row r="52" spans="1:21" ht="42.75" customHeight="1" x14ac:dyDescent="0.2">
      <c r="A52" s="639"/>
      <c r="B52" s="640"/>
      <c r="C52" s="635"/>
      <c r="D52" s="1605"/>
      <c r="E52" s="1607"/>
      <c r="F52" s="1609"/>
      <c r="G52" s="354"/>
      <c r="H52" s="119"/>
      <c r="I52" s="357"/>
      <c r="J52" s="119"/>
      <c r="K52" s="98"/>
      <c r="L52" s="357"/>
      <c r="M52" s="178"/>
      <c r="N52" s="119"/>
      <c r="O52" s="357"/>
      <c r="P52" s="119"/>
      <c r="Q52" s="360" t="s">
        <v>262</v>
      </c>
      <c r="R52" s="577" t="s">
        <v>363</v>
      </c>
      <c r="S52" s="157"/>
      <c r="T52" s="741"/>
      <c r="U52" s="1096"/>
    </row>
    <row r="53" spans="1:21" ht="24.75" customHeight="1" x14ac:dyDescent="0.2">
      <c r="A53" s="639"/>
      <c r="B53" s="640"/>
      <c r="C53" s="679"/>
      <c r="D53" s="1610" t="s">
        <v>238</v>
      </c>
      <c r="E53" s="1612" t="s">
        <v>155</v>
      </c>
      <c r="F53" s="434"/>
      <c r="G53" s="70"/>
      <c r="H53" s="146"/>
      <c r="I53" s="167"/>
      <c r="J53" s="146"/>
      <c r="K53" s="129"/>
      <c r="L53" s="167"/>
      <c r="M53" s="179"/>
      <c r="N53" s="146"/>
      <c r="O53" s="167"/>
      <c r="P53" s="146"/>
      <c r="Q53" s="693" t="s">
        <v>174</v>
      </c>
      <c r="R53" s="207"/>
      <c r="S53" s="207">
        <v>100</v>
      </c>
      <c r="T53" s="711"/>
      <c r="U53" s="313"/>
    </row>
    <row r="54" spans="1:21" ht="19.5" customHeight="1" x14ac:dyDescent="0.2">
      <c r="A54" s="639"/>
      <c r="B54" s="640"/>
      <c r="C54" s="679"/>
      <c r="D54" s="1611"/>
      <c r="E54" s="1613"/>
      <c r="F54" s="695"/>
      <c r="G54" s="71"/>
      <c r="H54" s="119"/>
      <c r="I54" s="357"/>
      <c r="J54" s="119"/>
      <c r="K54" s="98"/>
      <c r="L54" s="357"/>
      <c r="M54" s="178"/>
      <c r="N54" s="119"/>
      <c r="O54" s="357"/>
      <c r="P54" s="119"/>
      <c r="Q54" s="426"/>
      <c r="R54" s="90"/>
      <c r="S54" s="90"/>
      <c r="T54" s="611"/>
      <c r="U54" s="313"/>
    </row>
    <row r="55" spans="1:21" ht="21" customHeight="1" x14ac:dyDescent="0.2">
      <c r="A55" s="639"/>
      <c r="B55" s="640"/>
      <c r="C55" s="679"/>
      <c r="D55" s="1617" t="s">
        <v>151</v>
      </c>
      <c r="E55" s="1606" t="s">
        <v>155</v>
      </c>
      <c r="F55" s="632"/>
      <c r="G55" s="28" t="s">
        <v>49</v>
      </c>
      <c r="H55" s="120">
        <v>10</v>
      </c>
      <c r="I55" s="356">
        <v>10</v>
      </c>
      <c r="J55" s="120"/>
      <c r="K55" s="317"/>
      <c r="L55" s="356"/>
      <c r="M55" s="177"/>
      <c r="N55" s="120"/>
      <c r="O55" s="356"/>
      <c r="P55" s="120"/>
      <c r="Q55" s="650" t="s">
        <v>123</v>
      </c>
      <c r="R55" s="95">
        <v>1</v>
      </c>
      <c r="S55" s="207"/>
      <c r="T55" s="742"/>
      <c r="U55" s="22"/>
    </row>
    <row r="56" spans="1:21" ht="25.5" customHeight="1" x14ac:dyDescent="0.2">
      <c r="A56" s="639"/>
      <c r="B56" s="640"/>
      <c r="C56" s="679"/>
      <c r="D56" s="1611"/>
      <c r="E56" s="1613"/>
      <c r="F56" s="645"/>
      <c r="G56" s="71"/>
      <c r="H56" s="119"/>
      <c r="I56" s="357"/>
      <c r="J56" s="119"/>
      <c r="K56" s="98"/>
      <c r="L56" s="357"/>
      <c r="M56" s="178"/>
      <c r="N56" s="119"/>
      <c r="O56" s="357"/>
      <c r="P56" s="119"/>
      <c r="Q56" s="273" t="s">
        <v>174</v>
      </c>
      <c r="R56" s="90"/>
      <c r="S56" s="90"/>
      <c r="T56" s="739">
        <v>100</v>
      </c>
      <c r="U56" s="764"/>
    </row>
    <row r="57" spans="1:21" ht="15" customHeight="1" x14ac:dyDescent="0.2">
      <c r="A57" s="639"/>
      <c r="B57" s="640"/>
      <c r="C57" s="679"/>
      <c r="D57" s="1617" t="s">
        <v>290</v>
      </c>
      <c r="E57" s="1606" t="s">
        <v>155</v>
      </c>
      <c r="F57" s="632"/>
      <c r="G57" s="28"/>
      <c r="H57" s="120"/>
      <c r="I57" s="356"/>
      <c r="J57" s="120"/>
      <c r="K57" s="317"/>
      <c r="L57" s="356"/>
      <c r="M57" s="177"/>
      <c r="N57" s="120"/>
      <c r="O57" s="356"/>
      <c r="P57" s="120"/>
      <c r="Q57" s="650" t="s">
        <v>240</v>
      </c>
      <c r="R57" s="95"/>
      <c r="S57" s="207">
        <v>1</v>
      </c>
      <c r="T57" s="711"/>
      <c r="U57" s="313"/>
    </row>
    <row r="58" spans="1:21" ht="29.25" customHeight="1" x14ac:dyDescent="0.2">
      <c r="A58" s="639"/>
      <c r="B58" s="640"/>
      <c r="C58" s="679"/>
      <c r="D58" s="1611"/>
      <c r="E58" s="1613"/>
      <c r="F58" s="645"/>
      <c r="G58" s="71"/>
      <c r="H58" s="119"/>
      <c r="I58" s="357"/>
      <c r="J58" s="119"/>
      <c r="K58" s="98"/>
      <c r="L58" s="357"/>
      <c r="M58" s="119"/>
      <c r="N58" s="98"/>
      <c r="O58" s="357"/>
      <c r="P58" s="178"/>
      <c r="Q58" s="360" t="s">
        <v>239</v>
      </c>
      <c r="R58" s="90"/>
      <c r="S58" s="90">
        <v>100</v>
      </c>
      <c r="T58" s="611"/>
      <c r="U58" s="313"/>
    </row>
    <row r="59" spans="1:21" ht="26.25" customHeight="1" x14ac:dyDescent="0.2">
      <c r="A59" s="639"/>
      <c r="B59" s="640"/>
      <c r="C59" s="679"/>
      <c r="D59" s="1610" t="s">
        <v>173</v>
      </c>
      <c r="E59" s="1612" t="s">
        <v>155</v>
      </c>
      <c r="F59" s="632"/>
      <c r="G59" s="28"/>
      <c r="H59" s="120"/>
      <c r="I59" s="356"/>
      <c r="J59" s="120"/>
      <c r="K59" s="317"/>
      <c r="L59" s="356"/>
      <c r="M59" s="120"/>
      <c r="N59" s="317"/>
      <c r="O59" s="356"/>
      <c r="P59" s="177"/>
      <c r="Q59" s="1614" t="s">
        <v>177</v>
      </c>
      <c r="R59" s="95">
        <v>100</v>
      </c>
      <c r="S59" s="207"/>
      <c r="T59" s="711"/>
      <c r="U59" s="313"/>
    </row>
    <row r="60" spans="1:21" ht="24.75" customHeight="1" x14ac:dyDescent="0.2">
      <c r="A60" s="639"/>
      <c r="B60" s="640"/>
      <c r="C60" s="679"/>
      <c r="D60" s="1611"/>
      <c r="E60" s="1613"/>
      <c r="F60" s="645"/>
      <c r="G60" s="71"/>
      <c r="H60" s="119"/>
      <c r="I60" s="357"/>
      <c r="J60" s="119"/>
      <c r="K60" s="98"/>
      <c r="L60" s="357"/>
      <c r="M60" s="119"/>
      <c r="N60" s="98"/>
      <c r="O60" s="357"/>
      <c r="P60" s="178"/>
      <c r="Q60" s="1615"/>
      <c r="R60" s="90"/>
      <c r="S60" s="90"/>
      <c r="T60" s="611"/>
      <c r="U60" s="263"/>
    </row>
    <row r="61" spans="1:21" ht="17.25" customHeight="1" x14ac:dyDescent="0.2">
      <c r="A61" s="639"/>
      <c r="B61" s="640"/>
      <c r="C61" s="635"/>
      <c r="D61" s="1610" t="s">
        <v>111</v>
      </c>
      <c r="E61" s="1612" t="s">
        <v>109</v>
      </c>
      <c r="F61" s="632" t="s">
        <v>46</v>
      </c>
      <c r="G61" s="648" t="s">
        <v>180</v>
      </c>
      <c r="H61" s="320">
        <v>443</v>
      </c>
      <c r="I61" s="934">
        <f>443-1.1</f>
        <v>441.9</v>
      </c>
      <c r="J61" s="935">
        <f>I61-H61</f>
        <v>-1.1000000000000001</v>
      </c>
      <c r="K61" s="170"/>
      <c r="L61" s="355"/>
      <c r="M61" s="320"/>
      <c r="N61" s="317"/>
      <c r="O61" s="356"/>
      <c r="P61" s="177"/>
      <c r="Q61" s="1837" t="s">
        <v>178</v>
      </c>
      <c r="R61" s="95">
        <v>100</v>
      </c>
      <c r="S61" s="95"/>
      <c r="T61" s="155"/>
      <c r="U61" s="1601" t="s">
        <v>355</v>
      </c>
    </row>
    <row r="62" spans="1:21" ht="17.25" customHeight="1" x14ac:dyDescent="0.2">
      <c r="A62" s="639"/>
      <c r="B62" s="640"/>
      <c r="C62" s="635"/>
      <c r="D62" s="1616"/>
      <c r="E62" s="1616"/>
      <c r="F62" s="632"/>
      <c r="G62" s="648" t="s">
        <v>24</v>
      </c>
      <c r="H62" s="120">
        <f>463.5-443</f>
        <v>20.5</v>
      </c>
      <c r="I62" s="865">
        <v>0</v>
      </c>
      <c r="J62" s="866">
        <f>I62-H62</f>
        <v>-20.5</v>
      </c>
      <c r="K62" s="170"/>
      <c r="L62" s="355"/>
      <c r="M62" s="320"/>
      <c r="N62" s="317"/>
      <c r="O62" s="356"/>
      <c r="P62" s="177"/>
      <c r="Q62" s="1838"/>
      <c r="R62" s="95"/>
      <c r="S62" s="95"/>
      <c r="T62" s="420"/>
      <c r="U62" s="1842"/>
    </row>
    <row r="63" spans="1:21" ht="15.75" customHeight="1" x14ac:dyDescent="0.2">
      <c r="A63" s="639"/>
      <c r="B63" s="640"/>
      <c r="C63" s="635"/>
      <c r="D63" s="1616"/>
      <c r="E63" s="1616"/>
      <c r="F63" s="632"/>
      <c r="G63" s="354"/>
      <c r="H63" s="119"/>
      <c r="I63" s="357"/>
      <c r="J63" s="119"/>
      <c r="K63" s="698"/>
      <c r="L63" s="294"/>
      <c r="M63" s="713"/>
      <c r="N63" s="98"/>
      <c r="O63" s="357"/>
      <c r="P63" s="178"/>
      <c r="Q63" s="1839"/>
      <c r="R63" s="95"/>
      <c r="S63" s="95"/>
      <c r="T63" s="420"/>
      <c r="U63" s="1842"/>
    </row>
    <row r="64" spans="1:21" ht="20.25" customHeight="1" thickBot="1" x14ac:dyDescent="0.25">
      <c r="A64" s="657"/>
      <c r="B64" s="327"/>
      <c r="C64" s="660"/>
      <c r="D64" s="612"/>
      <c r="E64" s="613"/>
      <c r="F64" s="614"/>
      <c r="G64" s="27" t="s">
        <v>6</v>
      </c>
      <c r="H64" s="209">
        <f t="shared" ref="H64:O64" si="0">SUM(H15:H62)</f>
        <v>2560.8000000000002</v>
      </c>
      <c r="I64" s="574">
        <f>SUM(I15:I62)</f>
        <v>2527.3000000000002</v>
      </c>
      <c r="J64" s="895">
        <f t="shared" si="0"/>
        <v>-33.5</v>
      </c>
      <c r="K64" s="209">
        <f t="shared" si="0"/>
        <v>2368.6</v>
      </c>
      <c r="L64" s="574">
        <f>SUM(L15:L62)</f>
        <v>2380.5</v>
      </c>
      <c r="M64" s="895">
        <f t="shared" si="0"/>
        <v>11.9</v>
      </c>
      <c r="N64" s="209">
        <f t="shared" si="0"/>
        <v>469</v>
      </c>
      <c r="O64" s="574">
        <f t="shared" si="0"/>
        <v>469</v>
      </c>
      <c r="P64" s="573"/>
      <c r="Q64" s="527"/>
      <c r="R64" s="51"/>
      <c r="S64" s="51"/>
      <c r="T64" s="712"/>
      <c r="U64" s="556"/>
    </row>
    <row r="65" spans="1:21" ht="14.25" customHeight="1" x14ac:dyDescent="0.2">
      <c r="A65" s="639" t="s">
        <v>5</v>
      </c>
      <c r="B65" s="646" t="s">
        <v>5</v>
      </c>
      <c r="C65" s="635" t="s">
        <v>7</v>
      </c>
      <c r="D65" s="1622" t="s">
        <v>53</v>
      </c>
      <c r="E65" s="1625"/>
      <c r="F65" s="632" t="s">
        <v>27</v>
      </c>
      <c r="G65" s="648" t="s">
        <v>24</v>
      </c>
      <c r="H65" s="189">
        <f>3077.1-110</f>
        <v>2967.1</v>
      </c>
      <c r="I65" s="189">
        <f>3077.1-110</f>
        <v>2967.1</v>
      </c>
      <c r="J65" s="866"/>
      <c r="K65" s="317">
        <v>3016.9</v>
      </c>
      <c r="L65" s="925">
        <f>3016.9</f>
        <v>3016.9</v>
      </c>
      <c r="M65" s="866"/>
      <c r="N65" s="149">
        <v>3016.9</v>
      </c>
      <c r="O65" s="189">
        <v>3016.9</v>
      </c>
      <c r="P65" s="227"/>
      <c r="Q65" s="341"/>
      <c r="R65" s="355"/>
      <c r="S65" s="355"/>
      <c r="T65" s="320"/>
      <c r="U65" s="1843"/>
    </row>
    <row r="66" spans="1:21" ht="15" customHeight="1" x14ac:dyDescent="0.2">
      <c r="A66" s="639"/>
      <c r="B66" s="646"/>
      <c r="C66" s="635"/>
      <c r="D66" s="1623"/>
      <c r="E66" s="1626"/>
      <c r="F66" s="632"/>
      <c r="G66" s="648" t="s">
        <v>40</v>
      </c>
      <c r="H66" s="317">
        <f>0.8</f>
        <v>0.8</v>
      </c>
      <c r="I66" s="356">
        <f>0.8</f>
        <v>0.8</v>
      </c>
      <c r="J66" s="120"/>
      <c r="K66" s="317">
        <v>0.8</v>
      </c>
      <c r="L66" s="356">
        <v>0.8</v>
      </c>
      <c r="M66" s="120"/>
      <c r="N66" s="317">
        <v>0.8</v>
      </c>
      <c r="O66" s="356">
        <v>0.8</v>
      </c>
      <c r="P66" s="177"/>
      <c r="Q66" s="341"/>
      <c r="R66" s="355"/>
      <c r="S66" s="355"/>
      <c r="T66" s="320"/>
      <c r="U66" s="1844"/>
    </row>
    <row r="67" spans="1:21" ht="18.75" customHeight="1" x14ac:dyDescent="0.2">
      <c r="A67" s="639"/>
      <c r="B67" s="646"/>
      <c r="C67" s="635"/>
      <c r="D67" s="1624"/>
      <c r="E67" s="1626"/>
      <c r="F67" s="632"/>
      <c r="G67" s="354" t="s">
        <v>58</v>
      </c>
      <c r="H67" s="98">
        <v>50</v>
      </c>
      <c r="I67" s="357">
        <v>50</v>
      </c>
      <c r="J67" s="119"/>
      <c r="K67" s="98"/>
      <c r="L67" s="357"/>
      <c r="M67" s="119"/>
      <c r="N67" s="98"/>
      <c r="O67" s="357"/>
      <c r="P67" s="178"/>
      <c r="Q67" s="293"/>
      <c r="R67" s="294"/>
      <c r="S67" s="294"/>
      <c r="T67" s="713"/>
      <c r="U67" s="1844"/>
    </row>
    <row r="68" spans="1:21" ht="33.75" customHeight="1" x14ac:dyDescent="0.2">
      <c r="A68" s="1632"/>
      <c r="B68" s="1701"/>
      <c r="C68" s="1634"/>
      <c r="D68" s="1610" t="s">
        <v>70</v>
      </c>
      <c r="E68" s="1625"/>
      <c r="F68" s="1603"/>
      <c r="G68" s="9"/>
      <c r="H68" s="129"/>
      <c r="I68" s="167"/>
      <c r="J68" s="146"/>
      <c r="K68" s="129"/>
      <c r="L68" s="167"/>
      <c r="M68" s="146"/>
      <c r="N68" s="129"/>
      <c r="O68" s="167"/>
      <c r="P68" s="177"/>
      <c r="Q68" s="69" t="s">
        <v>291</v>
      </c>
      <c r="R68" s="355">
        <v>8.6</v>
      </c>
      <c r="S68" s="355">
        <v>8.6</v>
      </c>
      <c r="T68" s="320">
        <v>8.6</v>
      </c>
      <c r="U68" s="1844"/>
    </row>
    <row r="69" spans="1:21" ht="23.25" customHeight="1" x14ac:dyDescent="0.2">
      <c r="A69" s="1632"/>
      <c r="B69" s="1701"/>
      <c r="C69" s="1634"/>
      <c r="D69" s="1623"/>
      <c r="E69" s="1625"/>
      <c r="F69" s="1603"/>
      <c r="G69" s="648"/>
      <c r="H69" s="317"/>
      <c r="I69" s="356"/>
      <c r="J69" s="120"/>
      <c r="K69" s="317"/>
      <c r="L69" s="356"/>
      <c r="M69" s="120"/>
      <c r="N69" s="317"/>
      <c r="O69" s="356"/>
      <c r="P69" s="177"/>
      <c r="Q69" s="543" t="s">
        <v>195</v>
      </c>
      <c r="R69" s="577" t="s">
        <v>263</v>
      </c>
      <c r="S69" s="157"/>
      <c r="T69" s="157"/>
      <c r="U69" s="1844"/>
    </row>
    <row r="70" spans="1:21" ht="18" customHeight="1" x14ac:dyDescent="0.2">
      <c r="A70" s="1632"/>
      <c r="B70" s="1701"/>
      <c r="C70" s="1634"/>
      <c r="D70" s="1604" t="s">
        <v>37</v>
      </c>
      <c r="E70" s="875"/>
      <c r="F70" s="867"/>
      <c r="G70" s="9"/>
      <c r="H70" s="129"/>
      <c r="I70" s="167"/>
      <c r="J70" s="146"/>
      <c r="K70" s="129"/>
      <c r="L70" s="167"/>
      <c r="M70" s="146"/>
      <c r="N70" s="129"/>
      <c r="O70" s="167"/>
      <c r="P70" s="179"/>
      <c r="Q70" s="883" t="s">
        <v>39</v>
      </c>
      <c r="R70" s="94">
        <v>57</v>
      </c>
      <c r="S70" s="94">
        <v>57</v>
      </c>
      <c r="T70" s="708">
        <v>57</v>
      </c>
      <c r="U70" s="905"/>
    </row>
    <row r="71" spans="1:21" ht="27.75" customHeight="1" x14ac:dyDescent="0.2">
      <c r="A71" s="1632"/>
      <c r="B71" s="1701"/>
      <c r="C71" s="1634"/>
      <c r="D71" s="1618"/>
      <c r="E71" s="875"/>
      <c r="F71" s="867"/>
      <c r="G71" s="889"/>
      <c r="H71" s="881"/>
      <c r="I71" s="885"/>
      <c r="J71" s="120"/>
      <c r="K71" s="881"/>
      <c r="L71" s="885"/>
      <c r="M71" s="120"/>
      <c r="N71" s="881"/>
      <c r="O71" s="885"/>
      <c r="P71" s="177"/>
      <c r="Q71" s="245" t="s">
        <v>71</v>
      </c>
      <c r="R71" s="592">
        <v>2900</v>
      </c>
      <c r="S71" s="592">
        <v>2900</v>
      </c>
      <c r="T71" s="714">
        <v>2900</v>
      </c>
      <c r="U71" s="765"/>
    </row>
    <row r="72" spans="1:21" ht="30" customHeight="1" x14ac:dyDescent="0.2">
      <c r="A72" s="1632"/>
      <c r="B72" s="1701"/>
      <c r="C72" s="1634"/>
      <c r="D72" s="1619"/>
      <c r="E72" s="877"/>
      <c r="F72" s="878"/>
      <c r="G72" s="26"/>
      <c r="H72" s="882"/>
      <c r="I72" s="886"/>
      <c r="J72" s="119"/>
      <c r="K72" s="882"/>
      <c r="L72" s="886"/>
      <c r="M72" s="119"/>
      <c r="N72" s="882"/>
      <c r="O72" s="886"/>
      <c r="P72" s="178"/>
      <c r="Q72" s="884" t="s">
        <v>172</v>
      </c>
      <c r="R72" s="229">
        <v>1</v>
      </c>
      <c r="S72" s="371"/>
      <c r="T72" s="371"/>
      <c r="U72" s="424"/>
    </row>
    <row r="73" spans="1:21" ht="15.75" customHeight="1" x14ac:dyDescent="0.2">
      <c r="A73" s="639"/>
      <c r="B73" s="646"/>
      <c r="C73" s="635"/>
      <c r="D73" s="1618" t="s">
        <v>129</v>
      </c>
      <c r="E73" s="637"/>
      <c r="F73" s="632"/>
      <c r="G73" s="889"/>
      <c r="H73" s="881"/>
      <c r="I73" s="885"/>
      <c r="J73" s="120"/>
      <c r="K73" s="881"/>
      <c r="L73" s="885"/>
      <c r="M73" s="120"/>
      <c r="N73" s="881"/>
      <c r="O73" s="885"/>
      <c r="P73" s="177"/>
      <c r="Q73" s="887" t="s">
        <v>162</v>
      </c>
      <c r="R73" s="231" t="s">
        <v>126</v>
      </c>
      <c r="S73" s="372" t="s">
        <v>126</v>
      </c>
      <c r="T73" s="372" t="s">
        <v>126</v>
      </c>
      <c r="U73" s="421"/>
    </row>
    <row r="74" spans="1:21" ht="15.75" customHeight="1" x14ac:dyDescent="0.2">
      <c r="A74" s="639"/>
      <c r="B74" s="646"/>
      <c r="C74" s="635"/>
      <c r="D74" s="1620"/>
      <c r="E74" s="637"/>
      <c r="F74" s="632"/>
      <c r="G74" s="648"/>
      <c r="H74" s="317"/>
      <c r="I74" s="356"/>
      <c r="J74" s="120"/>
      <c r="K74" s="317"/>
      <c r="L74" s="356"/>
      <c r="M74" s="120"/>
      <c r="N74" s="317"/>
      <c r="O74" s="356"/>
      <c r="P74" s="177"/>
      <c r="Q74" s="543" t="s">
        <v>163</v>
      </c>
      <c r="R74" s="231" t="s">
        <v>125</v>
      </c>
      <c r="S74" s="372" t="s">
        <v>125</v>
      </c>
      <c r="T74" s="372" t="s">
        <v>125</v>
      </c>
      <c r="U74" s="421"/>
    </row>
    <row r="75" spans="1:21" ht="27.75" customHeight="1" x14ac:dyDescent="0.2">
      <c r="A75" s="639"/>
      <c r="B75" s="646"/>
      <c r="C75" s="635"/>
      <c r="D75" s="1620"/>
      <c r="E75" s="637"/>
      <c r="F75" s="632"/>
      <c r="G75" s="648"/>
      <c r="H75" s="317"/>
      <c r="I75" s="356"/>
      <c r="J75" s="120"/>
      <c r="K75" s="317"/>
      <c r="L75" s="356"/>
      <c r="M75" s="120"/>
      <c r="N75" s="317"/>
      <c r="O75" s="356"/>
      <c r="P75" s="177"/>
      <c r="Q75" s="462" t="s">
        <v>215</v>
      </c>
      <c r="R75" s="47" t="s">
        <v>250</v>
      </c>
      <c r="S75" s="428"/>
      <c r="T75" s="428"/>
      <c r="U75" s="421"/>
    </row>
    <row r="76" spans="1:21" ht="30" customHeight="1" x14ac:dyDescent="0.2">
      <c r="A76" s="639"/>
      <c r="B76" s="646"/>
      <c r="C76" s="635"/>
      <c r="D76" s="1621"/>
      <c r="E76" s="637"/>
      <c r="F76" s="632"/>
      <c r="G76" s="354"/>
      <c r="H76" s="98"/>
      <c r="I76" s="357"/>
      <c r="J76" s="119"/>
      <c r="K76" s="98"/>
      <c r="L76" s="357"/>
      <c r="M76" s="119"/>
      <c r="N76" s="98"/>
      <c r="O76" s="357"/>
      <c r="P76" s="178"/>
      <c r="Q76" s="576" t="s">
        <v>156</v>
      </c>
      <c r="R76" s="39" t="s">
        <v>148</v>
      </c>
      <c r="S76" s="373"/>
      <c r="T76" s="373"/>
      <c r="U76" s="421"/>
    </row>
    <row r="77" spans="1:21" ht="26.25" customHeight="1" x14ac:dyDescent="0.2">
      <c r="A77" s="639"/>
      <c r="B77" s="646"/>
      <c r="C77" s="635"/>
      <c r="D77" s="647" t="s">
        <v>57</v>
      </c>
      <c r="E77" s="637"/>
      <c r="F77" s="632"/>
      <c r="G77" s="26"/>
      <c r="H77" s="98"/>
      <c r="I77" s="357"/>
      <c r="J77" s="119"/>
      <c r="K77" s="98"/>
      <c r="L77" s="357"/>
      <c r="M77" s="119"/>
      <c r="N77" s="98"/>
      <c r="O77" s="357"/>
      <c r="P77" s="178"/>
      <c r="Q77" s="150" t="s">
        <v>38</v>
      </c>
      <c r="R77" s="41">
        <v>10</v>
      </c>
      <c r="S77" s="156">
        <v>10</v>
      </c>
      <c r="T77" s="156">
        <v>10</v>
      </c>
      <c r="U77" s="905"/>
    </row>
    <row r="78" spans="1:21" ht="18" customHeight="1" thickBot="1" x14ac:dyDescent="0.25">
      <c r="A78" s="639"/>
      <c r="B78" s="646"/>
      <c r="C78" s="635"/>
      <c r="D78" s="643"/>
      <c r="E78" s="638"/>
      <c r="F78" s="645"/>
      <c r="G78" s="27" t="s">
        <v>6</v>
      </c>
      <c r="H78" s="209">
        <f>SUM(H65:H77)</f>
        <v>3017.9</v>
      </c>
      <c r="I78" s="574">
        <f>SUM(I65:I77)</f>
        <v>3017.9</v>
      </c>
      <c r="J78" s="895"/>
      <c r="K78" s="209">
        <f t="shared" ref="K78:N78" si="1">SUM(K65:K77)</f>
        <v>3017.7</v>
      </c>
      <c r="L78" s="574">
        <f t="shared" ref="L78" si="2">SUM(L65:L77)</f>
        <v>3017.7</v>
      </c>
      <c r="M78" s="490"/>
      <c r="N78" s="209">
        <f t="shared" si="1"/>
        <v>3017.7</v>
      </c>
      <c r="O78" s="574">
        <f t="shared" ref="O78" si="3">SUM(O65:O77)</f>
        <v>3017.7</v>
      </c>
      <c r="P78" s="573"/>
      <c r="Q78" s="598"/>
      <c r="R78" s="90"/>
      <c r="S78" s="157"/>
      <c r="T78" s="157"/>
      <c r="U78" s="239"/>
    </row>
    <row r="79" spans="1:21" ht="15" customHeight="1" x14ac:dyDescent="0.2">
      <c r="A79" s="653" t="s">
        <v>5</v>
      </c>
      <c r="B79" s="654" t="s">
        <v>5</v>
      </c>
      <c r="C79" s="285" t="s">
        <v>26</v>
      </c>
      <c r="D79" s="1706" t="s">
        <v>54</v>
      </c>
      <c r="E79" s="299"/>
      <c r="F79" s="285" t="s">
        <v>27</v>
      </c>
      <c r="G79" s="219" t="s">
        <v>24</v>
      </c>
      <c r="H79" s="189">
        <f>1097.6+12.5+14.3</f>
        <v>1124.4000000000001</v>
      </c>
      <c r="I79" s="189">
        <f>1097.6+12.5+14.3</f>
        <v>1124.4000000000001</v>
      </c>
      <c r="J79" s="864"/>
      <c r="K79" s="149">
        <v>913</v>
      </c>
      <c r="L79" s="189">
        <v>913</v>
      </c>
      <c r="M79" s="227"/>
      <c r="N79" s="149">
        <v>1123.7</v>
      </c>
      <c r="O79" s="189">
        <v>1123.7</v>
      </c>
      <c r="P79" s="227"/>
      <c r="Q79" s="857"/>
      <c r="R79" s="292"/>
      <c r="S79" s="292"/>
      <c r="T79" s="715"/>
      <c r="U79" s="1843"/>
    </row>
    <row r="80" spans="1:21" ht="14.25" customHeight="1" x14ac:dyDescent="0.2">
      <c r="A80" s="639"/>
      <c r="B80" s="646"/>
      <c r="C80" s="679"/>
      <c r="D80" s="1623"/>
      <c r="E80" s="298"/>
      <c r="F80" s="679"/>
      <c r="G80" s="648" t="s">
        <v>40</v>
      </c>
      <c r="H80" s="120">
        <v>32.700000000000003</v>
      </c>
      <c r="I80" s="356">
        <v>32.700000000000003</v>
      </c>
      <c r="J80" s="120"/>
      <c r="K80" s="317">
        <v>32.700000000000003</v>
      </c>
      <c r="L80" s="356">
        <v>32.700000000000003</v>
      </c>
      <c r="M80" s="177"/>
      <c r="N80" s="854">
        <v>32.700000000000003</v>
      </c>
      <c r="O80" s="850">
        <v>32.700000000000003</v>
      </c>
      <c r="P80" s="177"/>
      <c r="Q80" s="852"/>
      <c r="R80" s="355"/>
      <c r="S80" s="355"/>
      <c r="T80" s="320"/>
      <c r="U80" s="1844"/>
    </row>
    <row r="81" spans="1:23" ht="13.5" customHeight="1" x14ac:dyDescent="0.2">
      <c r="A81" s="639"/>
      <c r="B81" s="646"/>
      <c r="C81" s="679"/>
      <c r="D81" s="1623"/>
      <c r="E81" s="298"/>
      <c r="F81" s="679"/>
      <c r="G81" s="913" t="s">
        <v>90</v>
      </c>
      <c r="H81" s="120">
        <v>3.6</v>
      </c>
      <c r="I81" s="1037">
        <v>3.6</v>
      </c>
      <c r="J81" s="866"/>
      <c r="K81" s="911"/>
      <c r="L81" s="909"/>
      <c r="M81" s="177"/>
      <c r="N81" s="854"/>
      <c r="O81" s="850"/>
      <c r="P81" s="177"/>
      <c r="Q81" s="852"/>
      <c r="R81" s="355"/>
      <c r="S81" s="355"/>
      <c r="T81" s="320"/>
      <c r="U81" s="1844"/>
    </row>
    <row r="82" spans="1:23" ht="15.75" customHeight="1" x14ac:dyDescent="0.2">
      <c r="A82" s="639"/>
      <c r="B82" s="646"/>
      <c r="C82" s="679"/>
      <c r="D82" s="1624"/>
      <c r="E82" s="298"/>
      <c r="F82" s="679"/>
      <c r="G82" s="354" t="s">
        <v>68</v>
      </c>
      <c r="H82" s="119">
        <v>14.3</v>
      </c>
      <c r="I82" s="910">
        <v>14.3</v>
      </c>
      <c r="J82" s="119"/>
      <c r="K82" s="912"/>
      <c r="L82" s="910"/>
      <c r="M82" s="178"/>
      <c r="N82" s="855"/>
      <c r="O82" s="851"/>
      <c r="P82" s="178"/>
      <c r="Q82" s="858"/>
      <c r="R82" s="336"/>
      <c r="S82" s="336"/>
      <c r="T82" s="716"/>
      <c r="U82" s="1858"/>
    </row>
    <row r="83" spans="1:23" ht="27" customHeight="1" x14ac:dyDescent="0.2">
      <c r="A83" s="639"/>
      <c r="B83" s="646"/>
      <c r="C83" s="679"/>
      <c r="D83" s="1707" t="s">
        <v>116</v>
      </c>
      <c r="E83" s="1625" t="s">
        <v>66</v>
      </c>
      <c r="F83" s="679"/>
      <c r="G83" s="28"/>
      <c r="H83" s="120"/>
      <c r="I83" s="356"/>
      <c r="J83" s="120"/>
      <c r="K83" s="317"/>
      <c r="L83" s="356"/>
      <c r="M83" s="177"/>
      <c r="N83" s="863"/>
      <c r="O83" s="751"/>
      <c r="P83" s="185"/>
      <c r="Q83" s="859" t="s">
        <v>244</v>
      </c>
      <c r="R83" s="435">
        <v>80</v>
      </c>
      <c r="S83" s="435">
        <v>100</v>
      </c>
      <c r="T83" s="717"/>
      <c r="U83" s="766"/>
    </row>
    <row r="84" spans="1:23" ht="18.75" customHeight="1" x14ac:dyDescent="0.2">
      <c r="A84" s="639"/>
      <c r="B84" s="646"/>
      <c r="C84" s="679"/>
      <c r="D84" s="1617"/>
      <c r="E84" s="1625"/>
      <c r="F84" s="679"/>
      <c r="G84" s="28"/>
      <c r="H84" s="120"/>
      <c r="I84" s="356"/>
      <c r="J84" s="120"/>
      <c r="K84" s="317"/>
      <c r="L84" s="356"/>
      <c r="M84" s="177"/>
      <c r="N84" s="863"/>
      <c r="O84" s="751"/>
      <c r="P84" s="185"/>
      <c r="Q84" s="860" t="s">
        <v>218</v>
      </c>
      <c r="R84" s="248">
        <v>40</v>
      </c>
      <c r="S84" s="248">
        <v>40</v>
      </c>
      <c r="T84" s="718"/>
      <c r="U84" s="744"/>
    </row>
    <row r="85" spans="1:23" ht="25.5" customHeight="1" x14ac:dyDescent="0.2">
      <c r="A85" s="639"/>
      <c r="B85" s="646"/>
      <c r="C85" s="679"/>
      <c r="D85" s="1617"/>
      <c r="E85" s="1625"/>
      <c r="F85" s="679"/>
      <c r="G85" s="28"/>
      <c r="H85" s="120"/>
      <c r="I85" s="356"/>
      <c r="J85" s="120"/>
      <c r="K85" s="317"/>
      <c r="L85" s="356"/>
      <c r="M85" s="177"/>
      <c r="N85" s="863"/>
      <c r="O85" s="751"/>
      <c r="P85" s="185"/>
      <c r="Q85" s="860" t="s">
        <v>292</v>
      </c>
      <c r="R85" s="248">
        <v>15</v>
      </c>
      <c r="S85" s="248">
        <v>15</v>
      </c>
      <c r="T85" s="718"/>
      <c r="U85" s="744"/>
    </row>
    <row r="86" spans="1:23" ht="27" customHeight="1" x14ac:dyDescent="0.2">
      <c r="A86" s="639"/>
      <c r="B86" s="646"/>
      <c r="C86" s="679"/>
      <c r="D86" s="1617"/>
      <c r="E86" s="1625"/>
      <c r="F86" s="679"/>
      <c r="G86" s="28"/>
      <c r="H86" s="120"/>
      <c r="I86" s="356"/>
      <c r="J86" s="120"/>
      <c r="K86" s="317"/>
      <c r="L86" s="356"/>
      <c r="M86" s="177"/>
      <c r="N86" s="863"/>
      <c r="O86" s="751"/>
      <c r="P86" s="185"/>
      <c r="Q86" s="860" t="s">
        <v>293</v>
      </c>
      <c r="R86" s="248">
        <v>4</v>
      </c>
      <c r="S86" s="248">
        <v>4</v>
      </c>
      <c r="T86" s="718"/>
      <c r="U86" s="744"/>
    </row>
    <row r="87" spans="1:23" ht="55.5" customHeight="1" x14ac:dyDescent="0.2">
      <c r="A87" s="639"/>
      <c r="B87" s="646"/>
      <c r="C87" s="679"/>
      <c r="D87" s="1708"/>
      <c r="E87" s="1626"/>
      <c r="F87" s="679"/>
      <c r="G87" s="28"/>
      <c r="H87" s="120"/>
      <c r="I87" s="356"/>
      <c r="J87" s="120"/>
      <c r="K87" s="317"/>
      <c r="L87" s="356"/>
      <c r="M87" s="177"/>
      <c r="N87" s="863"/>
      <c r="O87" s="751"/>
      <c r="P87" s="185"/>
      <c r="Q87" s="856" t="s">
        <v>282</v>
      </c>
      <c r="R87" s="451">
        <v>50</v>
      </c>
      <c r="S87" s="248">
        <v>100</v>
      </c>
      <c r="T87" s="718"/>
      <c r="U87" s="1861"/>
    </row>
    <row r="88" spans="1:23" ht="18.75" customHeight="1" x14ac:dyDescent="0.2">
      <c r="A88" s="639"/>
      <c r="B88" s="646"/>
      <c r="C88" s="679"/>
      <c r="D88" s="1617"/>
      <c r="E88" s="103"/>
      <c r="F88" s="679"/>
      <c r="G88" s="28"/>
      <c r="H88" s="120"/>
      <c r="I88" s="356"/>
      <c r="J88" s="120"/>
      <c r="K88" s="317"/>
      <c r="L88" s="356"/>
      <c r="M88" s="177"/>
      <c r="N88" s="863"/>
      <c r="O88" s="751"/>
      <c r="P88" s="185"/>
      <c r="Q88" s="1845" t="s">
        <v>283</v>
      </c>
      <c r="R88" s="1859">
        <v>50</v>
      </c>
      <c r="S88" s="301">
        <v>100</v>
      </c>
      <c r="T88" s="719"/>
      <c r="U88" s="1842"/>
    </row>
    <row r="89" spans="1:23" ht="33.75" customHeight="1" x14ac:dyDescent="0.2">
      <c r="A89" s="639"/>
      <c r="B89" s="646"/>
      <c r="C89" s="679"/>
      <c r="D89" s="1617"/>
      <c r="E89" s="103"/>
      <c r="F89" s="679"/>
      <c r="G89" s="28"/>
      <c r="H89" s="120"/>
      <c r="I89" s="356"/>
      <c r="J89" s="120"/>
      <c r="K89" s="317"/>
      <c r="L89" s="356"/>
      <c r="M89" s="177"/>
      <c r="N89" s="863"/>
      <c r="O89" s="751"/>
      <c r="P89" s="185"/>
      <c r="Q89" s="1846"/>
      <c r="R89" s="1860"/>
      <c r="S89" s="160"/>
      <c r="T89" s="705"/>
      <c r="U89" s="1862"/>
    </row>
    <row r="90" spans="1:23" ht="29.25" customHeight="1" x14ac:dyDescent="0.2">
      <c r="A90" s="639"/>
      <c r="B90" s="646"/>
      <c r="C90" s="679"/>
      <c r="D90" s="1617"/>
      <c r="E90" s="103"/>
      <c r="F90" s="679"/>
      <c r="G90" s="28"/>
      <c r="H90" s="120"/>
      <c r="I90" s="356"/>
      <c r="J90" s="120"/>
      <c r="K90" s="317"/>
      <c r="L90" s="356"/>
      <c r="M90" s="177"/>
      <c r="N90" s="854"/>
      <c r="O90" s="850"/>
      <c r="P90" s="177"/>
      <c r="Q90" s="462" t="s">
        <v>294</v>
      </c>
      <c r="R90" s="374">
        <v>100</v>
      </c>
      <c r="S90" s="374"/>
      <c r="T90" s="720"/>
      <c r="U90" s="744"/>
    </row>
    <row r="91" spans="1:23" ht="24.75" customHeight="1" x14ac:dyDescent="0.2">
      <c r="A91" s="639"/>
      <c r="B91" s="646"/>
      <c r="C91" s="679"/>
      <c r="D91" s="1709"/>
      <c r="E91" s="112"/>
      <c r="F91" s="679"/>
      <c r="G91" s="28"/>
      <c r="H91" s="120"/>
      <c r="I91" s="356"/>
      <c r="J91" s="120"/>
      <c r="K91" s="317"/>
      <c r="L91" s="356"/>
      <c r="M91" s="177"/>
      <c r="N91" s="854"/>
      <c r="O91" s="850"/>
      <c r="P91" s="177"/>
      <c r="Q91" s="856" t="s">
        <v>295</v>
      </c>
      <c r="R91" s="248">
        <v>1</v>
      </c>
      <c r="S91" s="248"/>
      <c r="T91" s="718"/>
      <c r="U91" s="744"/>
    </row>
    <row r="92" spans="1:23" ht="27.75" customHeight="1" x14ac:dyDescent="0.2">
      <c r="A92" s="639"/>
      <c r="B92" s="646"/>
      <c r="C92" s="679"/>
      <c r="D92" s="634"/>
      <c r="E92" s="103"/>
      <c r="F92" s="679"/>
      <c r="G92" s="28"/>
      <c r="H92" s="120"/>
      <c r="I92" s="356"/>
      <c r="J92" s="120"/>
      <c r="K92" s="317"/>
      <c r="L92" s="356"/>
      <c r="M92" s="177"/>
      <c r="N92" s="863"/>
      <c r="O92" s="751"/>
      <c r="P92" s="185"/>
      <c r="Q92" s="856" t="s">
        <v>296</v>
      </c>
      <c r="R92" s="248">
        <v>4</v>
      </c>
      <c r="S92" s="248"/>
      <c r="T92" s="718"/>
      <c r="U92" s="744"/>
    </row>
    <row r="93" spans="1:23" ht="24.75" customHeight="1" x14ac:dyDescent="0.2">
      <c r="A93" s="639"/>
      <c r="B93" s="646"/>
      <c r="C93" s="679"/>
      <c r="D93" s="634"/>
      <c r="E93" s="103"/>
      <c r="F93" s="679"/>
      <c r="G93" s="28"/>
      <c r="H93" s="120"/>
      <c r="I93" s="356"/>
      <c r="J93" s="120"/>
      <c r="K93" s="317"/>
      <c r="L93" s="356"/>
      <c r="M93" s="177"/>
      <c r="N93" s="854"/>
      <c r="O93" s="850"/>
      <c r="P93" s="177"/>
      <c r="Q93" s="853" t="s">
        <v>105</v>
      </c>
      <c r="R93" s="160">
        <v>4</v>
      </c>
      <c r="S93" s="160"/>
      <c r="T93" s="705"/>
      <c r="U93" s="744"/>
    </row>
    <row r="94" spans="1:23" ht="31.5" customHeight="1" x14ac:dyDescent="0.2">
      <c r="A94" s="639"/>
      <c r="B94" s="646"/>
      <c r="C94" s="679"/>
      <c r="D94" s="661"/>
      <c r="E94" s="103"/>
      <c r="F94" s="679"/>
      <c r="G94" s="28"/>
      <c r="H94" s="120"/>
      <c r="I94" s="356"/>
      <c r="J94" s="120"/>
      <c r="K94" s="317"/>
      <c r="L94" s="356"/>
      <c r="M94" s="177"/>
      <c r="N94" s="854"/>
      <c r="O94" s="850"/>
      <c r="P94" s="177"/>
      <c r="Q94" s="462" t="s">
        <v>331</v>
      </c>
      <c r="R94" s="1040"/>
      <c r="S94" s="374">
        <v>1</v>
      </c>
      <c r="T94" s="720"/>
      <c r="U94" s="1840"/>
      <c r="V94" s="916"/>
    </row>
    <row r="95" spans="1:23" ht="44.25" customHeight="1" x14ac:dyDescent="0.2">
      <c r="A95" s="639"/>
      <c r="B95" s="646"/>
      <c r="C95" s="679"/>
      <c r="D95" s="641"/>
      <c r="E95" s="103"/>
      <c r="F95" s="691"/>
      <c r="G95" s="71"/>
      <c r="H95" s="119"/>
      <c r="I95" s="903"/>
      <c r="J95" s="119"/>
      <c r="K95" s="904"/>
      <c r="L95" s="903"/>
      <c r="M95" s="178"/>
      <c r="N95" s="904"/>
      <c r="O95" s="903"/>
      <c r="P95" s="178"/>
      <c r="Q95" s="894" t="s">
        <v>256</v>
      </c>
      <c r="R95" s="528">
        <v>2</v>
      </c>
      <c r="S95" s="528">
        <v>2</v>
      </c>
      <c r="T95" s="721">
        <v>2</v>
      </c>
      <c r="U95" s="1841"/>
      <c r="V95" s="941"/>
      <c r="W95" s="10"/>
    </row>
    <row r="96" spans="1:23" ht="12.75" customHeight="1" x14ac:dyDescent="0.2">
      <c r="A96" s="869"/>
      <c r="B96" s="871"/>
      <c r="C96" s="872"/>
      <c r="D96" s="1617" t="s">
        <v>128</v>
      </c>
      <c r="E96" s="876"/>
      <c r="F96" s="874"/>
      <c r="G96" s="889"/>
      <c r="H96" s="120"/>
      <c r="I96" s="885"/>
      <c r="J96" s="120"/>
      <c r="K96" s="881"/>
      <c r="L96" s="885"/>
      <c r="M96" s="177"/>
      <c r="N96" s="881"/>
      <c r="O96" s="885"/>
      <c r="P96" s="177"/>
      <c r="Q96" s="1630" t="s">
        <v>326</v>
      </c>
      <c r="R96" s="160">
        <v>1</v>
      </c>
      <c r="S96" s="160">
        <v>1</v>
      </c>
      <c r="T96" s="705">
        <v>1</v>
      </c>
      <c r="U96" s="744"/>
      <c r="V96" s="10"/>
      <c r="W96" s="10"/>
    </row>
    <row r="97" spans="1:23" ht="42" customHeight="1" x14ac:dyDescent="0.2">
      <c r="A97" s="896"/>
      <c r="B97" s="897"/>
      <c r="C97" s="898"/>
      <c r="D97" s="1611"/>
      <c r="E97" s="877"/>
      <c r="F97" s="1033"/>
      <c r="G97" s="26"/>
      <c r="H97" s="119"/>
      <c r="I97" s="886"/>
      <c r="J97" s="119"/>
      <c r="K97" s="882"/>
      <c r="L97" s="886"/>
      <c r="M97" s="178"/>
      <c r="N97" s="882"/>
      <c r="O97" s="886"/>
      <c r="P97" s="178"/>
      <c r="Q97" s="1854"/>
      <c r="R97" s="90"/>
      <c r="S97" s="90"/>
      <c r="T97" s="710"/>
      <c r="U97" s="239"/>
      <c r="V97" s="10"/>
      <c r="W97" s="10"/>
    </row>
    <row r="98" spans="1:23" ht="15.75" customHeight="1" x14ac:dyDescent="0.2">
      <c r="A98" s="639"/>
      <c r="B98" s="646"/>
      <c r="C98" s="679"/>
      <c r="D98" s="1617" t="s">
        <v>89</v>
      </c>
      <c r="E98" s="1705" t="s">
        <v>66</v>
      </c>
      <c r="F98" s="1032"/>
      <c r="G98" s="648"/>
      <c r="H98" s="447"/>
      <c r="I98" s="446"/>
      <c r="J98" s="447"/>
      <c r="K98" s="607"/>
      <c r="L98" s="183"/>
      <c r="M98" s="180"/>
      <c r="N98" s="607"/>
      <c r="O98" s="183"/>
      <c r="P98" s="180"/>
      <c r="Q98" s="861" t="s">
        <v>133</v>
      </c>
      <c r="R98" s="891">
        <v>22.5</v>
      </c>
      <c r="S98" s="891">
        <v>22.5</v>
      </c>
      <c r="T98" s="892">
        <v>22.5</v>
      </c>
      <c r="U98" s="1857" t="s">
        <v>357</v>
      </c>
    </row>
    <row r="99" spans="1:23" ht="15.75" customHeight="1" x14ac:dyDescent="0.2">
      <c r="A99" s="639"/>
      <c r="B99" s="646"/>
      <c r="C99" s="679"/>
      <c r="D99" s="1617"/>
      <c r="E99" s="1705"/>
      <c r="F99" s="679"/>
      <c r="G99" s="936" t="s">
        <v>24</v>
      </c>
      <c r="H99" s="866"/>
      <c r="I99" s="865">
        <v>2.4</v>
      </c>
      <c r="J99" s="866">
        <f>I99-H99</f>
        <v>2.4</v>
      </c>
      <c r="K99" s="1078"/>
      <c r="L99" s="1079"/>
      <c r="M99" s="177"/>
      <c r="N99" s="1078"/>
      <c r="O99" s="1079"/>
      <c r="P99" s="177"/>
      <c r="Q99" s="861" t="s">
        <v>134</v>
      </c>
      <c r="R99" s="1063" t="s">
        <v>356</v>
      </c>
      <c r="S99" s="1063" t="s">
        <v>356</v>
      </c>
      <c r="T99" s="1063" t="s">
        <v>356</v>
      </c>
      <c r="U99" s="1842"/>
    </row>
    <row r="100" spans="1:23" ht="15.75" customHeight="1" x14ac:dyDescent="0.2">
      <c r="A100" s="639"/>
      <c r="B100" s="640"/>
      <c r="C100" s="635"/>
      <c r="D100" s="1617"/>
      <c r="E100" s="1705"/>
      <c r="F100" s="679"/>
      <c r="G100" s="587"/>
      <c r="H100" s="1081"/>
      <c r="I100" s="1082"/>
      <c r="J100" s="1081"/>
      <c r="K100" s="169"/>
      <c r="L100" s="1044"/>
      <c r="M100" s="181"/>
      <c r="N100" s="169"/>
      <c r="O100" s="1044"/>
      <c r="P100" s="181"/>
      <c r="Q100" s="862" t="s">
        <v>132</v>
      </c>
      <c r="R100" s="451">
        <v>5</v>
      </c>
      <c r="S100" s="451">
        <v>5</v>
      </c>
      <c r="T100" s="722">
        <v>5</v>
      </c>
      <c r="U100" s="1842"/>
    </row>
    <row r="101" spans="1:23" ht="30" customHeight="1" x14ac:dyDescent="0.2">
      <c r="A101" s="639"/>
      <c r="B101" s="646"/>
      <c r="C101" s="679"/>
      <c r="D101" s="1617"/>
      <c r="E101" s="1705"/>
      <c r="F101" s="679"/>
      <c r="G101" s="648"/>
      <c r="H101" s="449"/>
      <c r="I101" s="478"/>
      <c r="J101" s="449"/>
      <c r="K101" s="317"/>
      <c r="L101" s="356"/>
      <c r="M101" s="177"/>
      <c r="N101" s="854"/>
      <c r="O101" s="850"/>
      <c r="P101" s="177"/>
      <c r="Q101" s="1080" t="s">
        <v>169</v>
      </c>
      <c r="R101" s="481">
        <v>1</v>
      </c>
      <c r="S101" s="482">
        <v>1</v>
      </c>
      <c r="T101" s="723">
        <v>1</v>
      </c>
      <c r="U101" s="1842"/>
    </row>
    <row r="102" spans="1:23" ht="15" customHeight="1" x14ac:dyDescent="0.2">
      <c r="A102" s="639"/>
      <c r="B102" s="646"/>
      <c r="C102" s="679"/>
      <c r="D102" s="1617"/>
      <c r="E102" s="1705"/>
      <c r="F102" s="679"/>
      <c r="G102" s="648"/>
      <c r="H102" s="120"/>
      <c r="I102" s="356"/>
      <c r="J102" s="120"/>
      <c r="K102" s="317"/>
      <c r="L102" s="356"/>
      <c r="M102" s="177"/>
      <c r="N102" s="120"/>
      <c r="O102" s="356"/>
      <c r="P102" s="120"/>
      <c r="Q102" s="1855" t="s">
        <v>297</v>
      </c>
      <c r="R102" s="289">
        <v>1</v>
      </c>
      <c r="S102" s="289">
        <v>1</v>
      </c>
      <c r="T102" s="418">
        <v>1</v>
      </c>
      <c r="U102" s="1842"/>
    </row>
    <row r="103" spans="1:23" ht="14.25" customHeight="1" x14ac:dyDescent="0.2">
      <c r="A103" s="639"/>
      <c r="B103" s="646"/>
      <c r="C103" s="679"/>
      <c r="D103" s="529"/>
      <c r="E103" s="1705"/>
      <c r="F103" s="679"/>
      <c r="G103" s="648"/>
      <c r="H103" s="120"/>
      <c r="I103" s="356"/>
      <c r="J103" s="120"/>
      <c r="K103" s="317"/>
      <c r="L103" s="356"/>
      <c r="M103" s="177"/>
      <c r="N103" s="120"/>
      <c r="O103" s="356"/>
      <c r="P103" s="120"/>
      <c r="Q103" s="1856"/>
      <c r="R103" s="231"/>
      <c r="S103" s="231"/>
      <c r="T103" s="232"/>
      <c r="U103" s="1842"/>
    </row>
    <row r="104" spans="1:23" ht="90" customHeight="1" x14ac:dyDescent="0.2">
      <c r="A104" s="639"/>
      <c r="B104" s="646"/>
      <c r="C104" s="679"/>
      <c r="D104" s="1617"/>
      <c r="E104" s="651"/>
      <c r="F104" s="679"/>
      <c r="G104" s="648"/>
      <c r="H104" s="120"/>
      <c r="I104" s="356"/>
      <c r="J104" s="120"/>
      <c r="K104" s="317"/>
      <c r="L104" s="356"/>
      <c r="M104" s="177"/>
      <c r="N104" s="120"/>
      <c r="O104" s="356"/>
      <c r="P104" s="120"/>
      <c r="Q104" s="931" t="s">
        <v>286</v>
      </c>
      <c r="R104" s="482">
        <v>135</v>
      </c>
      <c r="S104" s="907">
        <v>3</v>
      </c>
      <c r="T104" s="932"/>
      <c r="U104" s="905"/>
    </row>
    <row r="105" spans="1:23" ht="29.25" customHeight="1" x14ac:dyDescent="0.2">
      <c r="A105" s="918"/>
      <c r="B105" s="919"/>
      <c r="C105" s="921"/>
      <c r="D105" s="1617"/>
      <c r="E105" s="920"/>
      <c r="F105" s="921"/>
      <c r="G105" s="926"/>
      <c r="H105" s="120"/>
      <c r="I105" s="865"/>
      <c r="J105" s="866"/>
      <c r="K105" s="924"/>
      <c r="L105" s="925"/>
      <c r="M105" s="177"/>
      <c r="N105" s="120"/>
      <c r="O105" s="925"/>
      <c r="P105" s="120"/>
      <c r="Q105" s="530" t="s">
        <v>327</v>
      </c>
      <c r="R105" s="444">
        <v>7</v>
      </c>
      <c r="S105" s="95"/>
      <c r="T105" s="923"/>
      <c r="U105" s="1774"/>
    </row>
    <row r="106" spans="1:23" ht="44.25" customHeight="1" x14ac:dyDescent="0.2">
      <c r="A106" s="639"/>
      <c r="B106" s="646"/>
      <c r="C106" s="679"/>
      <c r="D106" s="1617"/>
      <c r="E106" s="651"/>
      <c r="F106" s="679"/>
      <c r="G106" s="11"/>
      <c r="H106" s="449"/>
      <c r="I106" s="478"/>
      <c r="J106" s="449"/>
      <c r="K106" s="317"/>
      <c r="L106" s="356"/>
      <c r="M106" s="177"/>
      <c r="N106" s="120"/>
      <c r="O106" s="356"/>
      <c r="P106" s="120"/>
      <c r="Q106" s="479" t="s">
        <v>298</v>
      </c>
      <c r="R106" s="241"/>
      <c r="S106" s="241">
        <v>50</v>
      </c>
      <c r="T106" s="724">
        <v>100</v>
      </c>
      <c r="U106" s="1774"/>
      <c r="V106" s="942"/>
      <c r="W106" s="942"/>
    </row>
    <row r="107" spans="1:23" ht="15" customHeight="1" x14ac:dyDescent="0.2">
      <c r="A107" s="639"/>
      <c r="B107" s="646"/>
      <c r="C107" s="679"/>
      <c r="D107" s="1617"/>
      <c r="E107" s="651"/>
      <c r="F107" s="679"/>
      <c r="G107" s="648"/>
      <c r="H107" s="120"/>
      <c r="I107" s="356"/>
      <c r="J107" s="120"/>
      <c r="K107" s="317"/>
      <c r="L107" s="356"/>
      <c r="M107" s="177"/>
      <c r="N107" s="120"/>
      <c r="O107" s="356"/>
      <c r="P107" s="120"/>
      <c r="Q107" s="519" t="s">
        <v>224</v>
      </c>
      <c r="R107" s="482">
        <v>1</v>
      </c>
      <c r="S107" s="242"/>
      <c r="T107" s="725"/>
      <c r="U107" s="1774"/>
    </row>
    <row r="108" spans="1:23" ht="15.75" customHeight="1" x14ac:dyDescent="0.2">
      <c r="A108" s="639"/>
      <c r="B108" s="640"/>
      <c r="C108" s="635"/>
      <c r="D108" s="634"/>
      <c r="E108" s="651"/>
      <c r="F108" s="679"/>
      <c r="G108" s="648"/>
      <c r="H108" s="449"/>
      <c r="I108" s="478"/>
      <c r="J108" s="449"/>
      <c r="K108" s="317"/>
      <c r="L108" s="356"/>
      <c r="M108" s="177"/>
      <c r="N108" s="120"/>
      <c r="O108" s="356"/>
      <c r="P108" s="120"/>
      <c r="Q108" s="761" t="s">
        <v>226</v>
      </c>
      <c r="R108" s="506">
        <v>1</v>
      </c>
      <c r="S108" s="483"/>
      <c r="T108" s="726"/>
      <c r="U108" s="1853"/>
    </row>
    <row r="109" spans="1:23" ht="12" customHeight="1" x14ac:dyDescent="0.2">
      <c r="A109" s="1632"/>
      <c r="B109" s="1633"/>
      <c r="C109" s="1634"/>
      <c r="D109" s="1610" t="s">
        <v>339</v>
      </c>
      <c r="E109" s="1702"/>
      <c r="F109" s="1603"/>
      <c r="G109" s="649"/>
      <c r="H109" s="146"/>
      <c r="I109" s="167"/>
      <c r="J109" s="146"/>
      <c r="K109" s="129"/>
      <c r="L109" s="167"/>
      <c r="M109" s="179"/>
      <c r="N109" s="146"/>
      <c r="O109" s="167"/>
      <c r="P109" s="146"/>
      <c r="Q109" s="656" t="s">
        <v>157</v>
      </c>
      <c r="R109" s="933" t="s">
        <v>340</v>
      </c>
      <c r="S109" s="933" t="s">
        <v>340</v>
      </c>
      <c r="T109" s="933" t="s">
        <v>340</v>
      </c>
      <c r="U109" s="1774" t="s">
        <v>358</v>
      </c>
    </row>
    <row r="110" spans="1:23" ht="13.5" customHeight="1" x14ac:dyDescent="0.2">
      <c r="A110" s="1632"/>
      <c r="B110" s="1633"/>
      <c r="C110" s="1634"/>
      <c r="D110" s="1617"/>
      <c r="E110" s="1703"/>
      <c r="F110" s="1603"/>
      <c r="G110" s="936" t="s">
        <v>24</v>
      </c>
      <c r="H110" s="866"/>
      <c r="I110" s="865">
        <v>9.5</v>
      </c>
      <c r="J110" s="866">
        <f>I110-H110</f>
        <v>9.5</v>
      </c>
      <c r="K110" s="317"/>
      <c r="L110" s="356"/>
      <c r="M110" s="177"/>
      <c r="N110" s="120"/>
      <c r="O110" s="356"/>
      <c r="P110" s="120"/>
      <c r="Q110" s="663" t="s">
        <v>134</v>
      </c>
      <c r="R110" s="933" t="s">
        <v>341</v>
      </c>
      <c r="S110" s="933" t="s">
        <v>341</v>
      </c>
      <c r="T110" s="933" t="s">
        <v>341</v>
      </c>
      <c r="U110" s="1842"/>
    </row>
    <row r="111" spans="1:23" ht="49.5" customHeight="1" x14ac:dyDescent="0.2">
      <c r="A111" s="1632"/>
      <c r="B111" s="1633"/>
      <c r="C111" s="1634"/>
      <c r="D111" s="1611"/>
      <c r="E111" s="1704"/>
      <c r="F111" s="1603"/>
      <c r="G111" s="354"/>
      <c r="H111" s="119"/>
      <c r="I111" s="357"/>
      <c r="J111" s="119"/>
      <c r="K111" s="98"/>
      <c r="L111" s="357"/>
      <c r="M111" s="178"/>
      <c r="N111" s="119"/>
      <c r="O111" s="357"/>
      <c r="P111" s="119"/>
      <c r="Q111" s="664" t="s">
        <v>242</v>
      </c>
      <c r="R111" s="90">
        <v>100</v>
      </c>
      <c r="S111" s="90"/>
      <c r="T111" s="710"/>
      <c r="U111" s="1602"/>
    </row>
    <row r="112" spans="1:23" ht="26.25" customHeight="1" x14ac:dyDescent="0.2">
      <c r="A112" s="639"/>
      <c r="B112" s="646"/>
      <c r="C112" s="635"/>
      <c r="D112" s="634" t="s">
        <v>63</v>
      </c>
      <c r="E112" s="651"/>
      <c r="F112" s="1006"/>
      <c r="G112" s="354"/>
      <c r="H112" s="119"/>
      <c r="I112" s="357"/>
      <c r="J112" s="119"/>
      <c r="K112" s="98"/>
      <c r="L112" s="357"/>
      <c r="M112" s="178"/>
      <c r="N112" s="119"/>
      <c r="O112" s="357"/>
      <c r="P112" s="178"/>
      <c r="Q112" s="546" t="s">
        <v>133</v>
      </c>
      <c r="R112" s="405">
        <v>2</v>
      </c>
      <c r="S112" s="405">
        <v>2</v>
      </c>
      <c r="T112" s="1021">
        <v>2</v>
      </c>
      <c r="U112" s="239"/>
    </row>
    <row r="113" spans="1:21" ht="20.25" customHeight="1" x14ac:dyDescent="0.2">
      <c r="A113" s="1632"/>
      <c r="B113" s="1633"/>
      <c r="C113" s="1634"/>
      <c r="D113" s="1610" t="s">
        <v>334</v>
      </c>
      <c r="E113" s="1702"/>
      <c r="F113" s="1869" t="s">
        <v>46</v>
      </c>
      <c r="G113" s="1039" t="s">
        <v>24</v>
      </c>
      <c r="H113" s="146"/>
      <c r="I113" s="167"/>
      <c r="J113" s="146"/>
      <c r="K113" s="129">
        <v>40</v>
      </c>
      <c r="L113" s="167">
        <v>40</v>
      </c>
      <c r="M113" s="179"/>
      <c r="N113" s="146"/>
      <c r="O113" s="167"/>
      <c r="P113" s="146"/>
      <c r="Q113" s="1034" t="s">
        <v>98</v>
      </c>
      <c r="R113" s="95"/>
      <c r="S113" s="1036">
        <v>1</v>
      </c>
      <c r="T113" s="41"/>
      <c r="U113" s="1601"/>
    </row>
    <row r="114" spans="1:21" ht="13.5" customHeight="1" x14ac:dyDescent="0.2">
      <c r="A114" s="1632"/>
      <c r="B114" s="1633"/>
      <c r="C114" s="1634"/>
      <c r="D114" s="1617"/>
      <c r="E114" s="1703"/>
      <c r="F114" s="1603"/>
      <c r="G114" s="1038"/>
      <c r="H114" s="120"/>
      <c r="I114" s="1037"/>
      <c r="J114" s="120"/>
      <c r="K114" s="1035"/>
      <c r="L114" s="1037"/>
      <c r="M114" s="177"/>
      <c r="N114" s="120"/>
      <c r="O114" s="1037"/>
      <c r="P114" s="120"/>
      <c r="Q114" s="1034"/>
      <c r="R114" s="95"/>
      <c r="S114" s="95"/>
      <c r="T114" s="1030"/>
      <c r="U114" s="1870"/>
    </row>
    <row r="115" spans="1:21" ht="18" customHeight="1" x14ac:dyDescent="0.2">
      <c r="A115" s="1632"/>
      <c r="B115" s="1633"/>
      <c r="C115" s="1634"/>
      <c r="D115" s="1611"/>
      <c r="E115" s="1704"/>
      <c r="F115" s="1699"/>
      <c r="G115" s="354"/>
      <c r="H115" s="119"/>
      <c r="I115" s="910"/>
      <c r="J115" s="119"/>
      <c r="K115" s="912"/>
      <c r="L115" s="910"/>
      <c r="M115" s="178"/>
      <c r="N115" s="119"/>
      <c r="O115" s="910"/>
      <c r="P115" s="119"/>
      <c r="Q115" s="1031"/>
      <c r="R115" s="90"/>
      <c r="S115" s="90"/>
      <c r="T115" s="710"/>
      <c r="U115" s="1871"/>
    </row>
    <row r="116" spans="1:21" ht="18" customHeight="1" thickBot="1" x14ac:dyDescent="0.25">
      <c r="A116" s="657"/>
      <c r="B116" s="658"/>
      <c r="C116" s="660"/>
      <c r="D116" s="552"/>
      <c r="E116" s="553"/>
      <c r="F116" s="40"/>
      <c r="G116" s="27" t="s">
        <v>6</v>
      </c>
      <c r="H116" s="490">
        <f>SUM(H79:H112)</f>
        <v>1175</v>
      </c>
      <c r="I116" s="574">
        <f>SUM(I79:I112)</f>
        <v>1186.9000000000001</v>
      </c>
      <c r="J116" s="574">
        <f>SUM(J79:J112)</f>
        <v>11.9</v>
      </c>
      <c r="K116" s="209">
        <f>SUM(K79:K114)</f>
        <v>985.7</v>
      </c>
      <c r="L116" s="574">
        <f>SUM(L79:L115)</f>
        <v>985.7</v>
      </c>
      <c r="M116" s="574">
        <f>SUM(M79:M115)</f>
        <v>0</v>
      </c>
      <c r="N116" s="758">
        <f>SUM(N79:N112)</f>
        <v>1156.4000000000001</v>
      </c>
      <c r="O116" s="574">
        <f>SUM(O79:O115)</f>
        <v>1156.4000000000001</v>
      </c>
      <c r="P116" s="574">
        <f>SUM(P79:P115)</f>
        <v>0</v>
      </c>
      <c r="Q116" s="554"/>
      <c r="R116" s="51"/>
      <c r="S116" s="555"/>
      <c r="T116" s="555"/>
      <c r="U116" s="556"/>
    </row>
    <row r="117" spans="1:21" ht="12" customHeight="1" x14ac:dyDescent="0.2">
      <c r="A117" s="1710" t="s">
        <v>5</v>
      </c>
      <c r="B117" s="1712" t="s">
        <v>5</v>
      </c>
      <c r="C117" s="1714" t="s">
        <v>34</v>
      </c>
      <c r="D117" s="1872" t="s">
        <v>55</v>
      </c>
      <c r="E117" s="1875" t="s">
        <v>118</v>
      </c>
      <c r="F117" s="1868" t="s">
        <v>27</v>
      </c>
      <c r="G117" s="219" t="s">
        <v>24</v>
      </c>
      <c r="H117" s="189">
        <v>2186</v>
      </c>
      <c r="I117" s="189">
        <v>2186</v>
      </c>
      <c r="J117" s="864"/>
      <c r="K117" s="149">
        <v>2266</v>
      </c>
      <c r="L117" s="189">
        <v>2266</v>
      </c>
      <c r="M117" s="147"/>
      <c r="N117" s="149">
        <v>2322.5</v>
      </c>
      <c r="O117" s="189">
        <v>2322.5</v>
      </c>
      <c r="P117" s="227"/>
      <c r="Q117" s="1730"/>
      <c r="R117" s="52"/>
      <c r="S117" s="52"/>
      <c r="T117" s="1877"/>
      <c r="U117" s="1849"/>
    </row>
    <row r="118" spans="1:21" ht="14.25" customHeight="1" x14ac:dyDescent="0.2">
      <c r="A118" s="1632"/>
      <c r="B118" s="1701"/>
      <c r="C118" s="1634"/>
      <c r="D118" s="1873"/>
      <c r="E118" s="1876"/>
      <c r="F118" s="1603"/>
      <c r="G118" s="648" t="s">
        <v>68</v>
      </c>
      <c r="H118" s="1037">
        <v>65.599999999999994</v>
      </c>
      <c r="I118" s="1037">
        <v>65.599999999999994</v>
      </c>
      <c r="J118" s="120"/>
      <c r="K118" s="317"/>
      <c r="L118" s="356"/>
      <c r="M118" s="120"/>
      <c r="N118" s="317"/>
      <c r="O118" s="356"/>
      <c r="P118" s="177"/>
      <c r="Q118" s="1743"/>
      <c r="R118" s="95"/>
      <c r="S118" s="95"/>
      <c r="T118" s="1878"/>
      <c r="U118" s="1774"/>
    </row>
    <row r="119" spans="1:21" ht="14.25" customHeight="1" x14ac:dyDescent="0.2">
      <c r="A119" s="1632"/>
      <c r="B119" s="1701"/>
      <c r="C119" s="1634"/>
      <c r="D119" s="1874"/>
      <c r="E119" s="1876"/>
      <c r="F119" s="1603"/>
      <c r="G119" s="354" t="s">
        <v>58</v>
      </c>
      <c r="H119" s="910">
        <f>12.1+112.7</f>
        <v>124.8</v>
      </c>
      <c r="I119" s="910">
        <f>12.1+112.7</f>
        <v>124.8</v>
      </c>
      <c r="J119" s="565"/>
      <c r="K119" s="98"/>
      <c r="L119" s="357"/>
      <c r="M119" s="119"/>
      <c r="N119" s="98"/>
      <c r="O119" s="357"/>
      <c r="P119" s="178"/>
      <c r="Q119" s="1744"/>
      <c r="R119" s="95"/>
      <c r="S119" s="95"/>
      <c r="T119" s="1878"/>
      <c r="U119" s="1774"/>
    </row>
    <row r="120" spans="1:21" ht="15.75" customHeight="1" x14ac:dyDescent="0.2">
      <c r="A120" s="1632"/>
      <c r="B120" s="1633"/>
      <c r="C120" s="1634"/>
      <c r="D120" s="1617" t="s">
        <v>106</v>
      </c>
      <c r="E120" s="1864" t="s">
        <v>69</v>
      </c>
      <c r="F120" s="1603"/>
      <c r="G120" s="1072"/>
      <c r="H120" s="146"/>
      <c r="I120" s="167"/>
      <c r="J120" s="146"/>
      <c r="K120" s="129"/>
      <c r="L120" s="167"/>
      <c r="M120" s="146"/>
      <c r="N120" s="129"/>
      <c r="O120" s="167"/>
      <c r="P120" s="179"/>
      <c r="Q120" s="753" t="s">
        <v>72</v>
      </c>
      <c r="R120" s="166">
        <v>16.2</v>
      </c>
      <c r="S120" s="166">
        <v>16.899999999999999</v>
      </c>
      <c r="T120" s="728">
        <v>17.5</v>
      </c>
      <c r="U120" s="906"/>
    </row>
    <row r="121" spans="1:21" ht="21.75" customHeight="1" x14ac:dyDescent="0.2">
      <c r="A121" s="1632"/>
      <c r="B121" s="1633"/>
      <c r="C121" s="1634"/>
      <c r="D121" s="1611"/>
      <c r="E121" s="1865"/>
      <c r="F121" s="1603"/>
      <c r="G121" s="354"/>
      <c r="H121" s="119"/>
      <c r="I121" s="910"/>
      <c r="J121" s="119"/>
      <c r="K121" s="912"/>
      <c r="L121" s="910"/>
      <c r="M121" s="119"/>
      <c r="N121" s="912"/>
      <c r="O121" s="910"/>
      <c r="P121" s="178"/>
      <c r="Q121" s="576" t="s">
        <v>51</v>
      </c>
      <c r="R121" s="294">
        <v>11.7</v>
      </c>
      <c r="S121" s="618">
        <v>11.8</v>
      </c>
      <c r="T121" s="618">
        <v>11.9</v>
      </c>
      <c r="U121" s="743"/>
    </row>
    <row r="122" spans="1:21" ht="13.5" customHeight="1" x14ac:dyDescent="0.2">
      <c r="A122" s="639"/>
      <c r="B122" s="646"/>
      <c r="C122" s="635"/>
      <c r="D122" s="1610" t="s">
        <v>196</v>
      </c>
      <c r="E122" s="762"/>
      <c r="F122" s="939"/>
      <c r="G122" s="1071"/>
      <c r="H122" s="120"/>
      <c r="I122" s="1069"/>
      <c r="J122" s="120"/>
      <c r="K122" s="1724"/>
      <c r="L122" s="1726"/>
      <c r="M122" s="120"/>
      <c r="N122" s="1725"/>
      <c r="O122" s="1863"/>
      <c r="P122" s="177"/>
      <c r="Q122" s="1866" t="s">
        <v>51</v>
      </c>
      <c r="R122" s="452">
        <v>0.7</v>
      </c>
      <c r="S122" s="452">
        <v>0.7</v>
      </c>
      <c r="T122" s="452">
        <v>0.7</v>
      </c>
      <c r="U122" s="743"/>
    </row>
    <row r="123" spans="1:21" ht="10.5" customHeight="1" x14ac:dyDescent="0.2">
      <c r="A123" s="639"/>
      <c r="B123" s="646"/>
      <c r="C123" s="635"/>
      <c r="D123" s="1617"/>
      <c r="E123" s="696"/>
      <c r="F123" s="939"/>
      <c r="G123" s="1071"/>
      <c r="H123" s="120"/>
      <c r="I123" s="1069"/>
      <c r="J123" s="120"/>
      <c r="K123" s="1724"/>
      <c r="L123" s="1726"/>
      <c r="M123" s="120"/>
      <c r="N123" s="1725"/>
      <c r="O123" s="1863"/>
      <c r="P123" s="177"/>
      <c r="Q123" s="1867"/>
      <c r="R123" s="454"/>
      <c r="S123" s="454"/>
      <c r="T123" s="454"/>
      <c r="U123" s="743"/>
    </row>
    <row r="124" spans="1:21" ht="18.75" customHeight="1" x14ac:dyDescent="0.2">
      <c r="A124" s="639"/>
      <c r="B124" s="646"/>
      <c r="C124" s="635"/>
      <c r="D124" s="1617"/>
      <c r="E124" s="1119"/>
      <c r="F124" s="939"/>
      <c r="G124" s="1117"/>
      <c r="H124" s="120"/>
      <c r="I124" s="1115"/>
      <c r="J124" s="120"/>
      <c r="K124" s="1724"/>
      <c r="L124" s="1726"/>
      <c r="M124" s="120"/>
      <c r="N124" s="1725"/>
      <c r="O124" s="1863"/>
      <c r="P124" s="177"/>
      <c r="Q124" s="55" t="s">
        <v>101</v>
      </c>
      <c r="R124" s="1122">
        <v>1042</v>
      </c>
      <c r="S124" s="1122">
        <f>+R124+26</f>
        <v>1068</v>
      </c>
      <c r="T124" s="241">
        <f>+R124+26</f>
        <v>1068</v>
      </c>
      <c r="U124" s="424"/>
    </row>
    <row r="125" spans="1:21" ht="42" customHeight="1" x14ac:dyDescent="0.2">
      <c r="A125" s="1108"/>
      <c r="B125" s="1110"/>
      <c r="C125" s="1111"/>
      <c r="D125" s="1112"/>
      <c r="E125" s="1113"/>
      <c r="F125" s="1109"/>
      <c r="G125" s="354"/>
      <c r="H125" s="119"/>
      <c r="I125" s="1116"/>
      <c r="J125" s="119"/>
      <c r="K125" s="1114"/>
      <c r="L125" s="1116"/>
      <c r="M125" s="119"/>
      <c r="N125" s="1114"/>
      <c r="O125" s="1116"/>
      <c r="P125" s="178"/>
      <c r="Q125" s="1077" t="s">
        <v>351</v>
      </c>
      <c r="R125" s="1120">
        <v>3</v>
      </c>
      <c r="S125" s="1121">
        <v>3</v>
      </c>
      <c r="T125" s="915">
        <v>3</v>
      </c>
      <c r="U125" s="1064" t="s">
        <v>368</v>
      </c>
    </row>
    <row r="126" spans="1:21" ht="54" customHeight="1" x14ac:dyDescent="0.2">
      <c r="A126" s="639"/>
      <c r="B126" s="646"/>
      <c r="C126" s="635"/>
      <c r="D126" s="694" t="s">
        <v>60</v>
      </c>
      <c r="E126" s="637"/>
      <c r="F126" s="632"/>
      <c r="G126" s="648"/>
      <c r="H126" s="120"/>
      <c r="I126" s="865"/>
      <c r="J126" s="866"/>
      <c r="K126" s="317"/>
      <c r="L126" s="356"/>
      <c r="M126" s="120"/>
      <c r="N126" s="317"/>
      <c r="O126" s="356"/>
      <c r="P126" s="177"/>
      <c r="Q126" s="1067" t="s">
        <v>352</v>
      </c>
      <c r="R126" s="549">
        <v>1</v>
      </c>
      <c r="S126" s="1041">
        <v>100</v>
      </c>
      <c r="T126" s="768"/>
      <c r="U126" s="914"/>
    </row>
    <row r="127" spans="1:21" ht="43.5" customHeight="1" x14ac:dyDescent="0.2">
      <c r="A127" s="639"/>
      <c r="B127" s="646"/>
      <c r="C127" s="635"/>
      <c r="D127" s="647"/>
      <c r="E127" s="637"/>
      <c r="F127" s="632"/>
      <c r="G127" s="587"/>
      <c r="H127" s="1043"/>
      <c r="I127" s="1044"/>
      <c r="J127" s="181"/>
      <c r="K127" s="169"/>
      <c r="L127" s="1044"/>
      <c r="M127" s="1043"/>
      <c r="N127" s="169"/>
      <c r="O127" s="1044"/>
      <c r="P127" s="181"/>
      <c r="Q127" s="1068" t="s">
        <v>335</v>
      </c>
      <c r="R127" s="340">
        <v>1</v>
      </c>
      <c r="S127" s="563">
        <v>100</v>
      </c>
      <c r="T127" s="155"/>
      <c r="U127" s="978"/>
    </row>
    <row r="128" spans="1:21" ht="55.5" customHeight="1" x14ac:dyDescent="0.2">
      <c r="A128" s="896"/>
      <c r="B128" s="897"/>
      <c r="C128" s="898"/>
      <c r="D128" s="902"/>
      <c r="E128" s="899"/>
      <c r="F128" s="901"/>
      <c r="G128" s="469" t="s">
        <v>24</v>
      </c>
      <c r="H128" s="1099"/>
      <c r="I128" s="1100">
        <v>-136.80000000000001</v>
      </c>
      <c r="J128" s="1101">
        <f>I128-H128</f>
        <v>-136.80000000000001</v>
      </c>
      <c r="K128" s="187"/>
      <c r="L128" s="1100">
        <v>136.80000000000001</v>
      </c>
      <c r="M128" s="1101">
        <f>L128-K128</f>
        <v>136.80000000000001</v>
      </c>
      <c r="N128" s="187"/>
      <c r="O128" s="1102"/>
      <c r="P128" s="1103"/>
      <c r="Q128" s="55" t="s">
        <v>359</v>
      </c>
      <c r="R128" s="562" t="s">
        <v>353</v>
      </c>
      <c r="S128" s="562">
        <v>100</v>
      </c>
      <c r="T128" s="907"/>
      <c r="U128" s="1851" t="s">
        <v>366</v>
      </c>
    </row>
    <row r="129" spans="1:21" ht="105" customHeight="1" x14ac:dyDescent="0.2">
      <c r="A129" s="639"/>
      <c r="B129" s="646"/>
      <c r="C129" s="635"/>
      <c r="D129" s="647"/>
      <c r="E129" s="637"/>
      <c r="F129" s="632"/>
      <c r="G129" s="587"/>
      <c r="H129" s="1043"/>
      <c r="I129" s="1044"/>
      <c r="J129" s="181"/>
      <c r="K129" s="169"/>
      <c r="L129" s="1044"/>
      <c r="M129" s="1043"/>
      <c r="N129" s="169"/>
      <c r="O129" s="1044"/>
      <c r="P129" s="181"/>
      <c r="Q129" s="1098" t="s">
        <v>360</v>
      </c>
      <c r="R129" s="562" t="s">
        <v>353</v>
      </c>
      <c r="S129" s="562">
        <v>100</v>
      </c>
      <c r="T129" s="893"/>
      <c r="U129" s="1852"/>
    </row>
    <row r="130" spans="1:21" ht="52.5" customHeight="1" x14ac:dyDescent="0.2">
      <c r="A130" s="639"/>
      <c r="B130" s="646"/>
      <c r="C130" s="635"/>
      <c r="D130" s="1059"/>
      <c r="E130" s="1058"/>
      <c r="F130" s="632"/>
      <c r="G130" s="1097"/>
      <c r="H130" s="120"/>
      <c r="I130" s="1094"/>
      <c r="J130" s="120"/>
      <c r="K130" s="1095"/>
      <c r="L130" s="1094"/>
      <c r="M130" s="120"/>
      <c r="N130" s="1095"/>
      <c r="O130" s="1094"/>
      <c r="P130" s="177"/>
      <c r="Q130" s="1070" t="s">
        <v>336</v>
      </c>
      <c r="R130" s="340">
        <v>50</v>
      </c>
      <c r="S130" s="340">
        <v>100</v>
      </c>
      <c r="T130" s="155"/>
      <c r="U130" s="1093"/>
    </row>
    <row r="131" spans="1:21" ht="54" customHeight="1" x14ac:dyDescent="0.2">
      <c r="A131" s="1087"/>
      <c r="B131" s="1088"/>
      <c r="C131" s="1089"/>
      <c r="D131" s="1092"/>
      <c r="E131" s="1090"/>
      <c r="F131" s="1091"/>
      <c r="G131" s="354"/>
      <c r="H131" s="119"/>
      <c r="I131" s="1116"/>
      <c r="J131" s="119"/>
      <c r="K131" s="1114"/>
      <c r="L131" s="1116"/>
      <c r="M131" s="119"/>
      <c r="N131" s="1114"/>
      <c r="O131" s="1116"/>
      <c r="P131" s="178"/>
      <c r="Q131" s="251" t="s">
        <v>365</v>
      </c>
      <c r="R131" s="575" t="s">
        <v>364</v>
      </c>
      <c r="S131" s="566"/>
      <c r="T131" s="1028"/>
      <c r="U131" s="1093"/>
    </row>
    <row r="132" spans="1:21" ht="30" customHeight="1" x14ac:dyDescent="0.2">
      <c r="A132" s="639"/>
      <c r="B132" s="646"/>
      <c r="C132" s="635"/>
      <c r="D132" s="633" t="s">
        <v>115</v>
      </c>
      <c r="E132" s="636"/>
      <c r="F132" s="632"/>
      <c r="G132" s="354"/>
      <c r="H132" s="119"/>
      <c r="I132" s="357"/>
      <c r="J132" s="119"/>
      <c r="K132" s="98"/>
      <c r="L132" s="357"/>
      <c r="M132" s="119"/>
      <c r="N132" s="98"/>
      <c r="O132" s="357"/>
      <c r="P132" s="178"/>
      <c r="Q132" s="150" t="s">
        <v>170</v>
      </c>
      <c r="R132" s="340">
        <v>100</v>
      </c>
      <c r="S132" s="1121"/>
      <c r="T132" s="316"/>
      <c r="U132" s="331"/>
    </row>
    <row r="133" spans="1:21" ht="18" customHeight="1" thickBot="1" x14ac:dyDescent="0.25">
      <c r="A133" s="657"/>
      <c r="B133" s="658"/>
      <c r="C133" s="660"/>
      <c r="D133" s="612"/>
      <c r="E133" s="553"/>
      <c r="F133" s="614"/>
      <c r="G133" s="27" t="s">
        <v>6</v>
      </c>
      <c r="H133" s="209">
        <f t="shared" ref="H133:M133" si="4">SUM(H117:H132)</f>
        <v>2376.4</v>
      </c>
      <c r="I133" s="574">
        <f t="shared" si="4"/>
        <v>2239.6</v>
      </c>
      <c r="J133" s="574">
        <f t="shared" si="4"/>
        <v>-136.80000000000001</v>
      </c>
      <c r="K133" s="209">
        <f t="shared" si="4"/>
        <v>2266</v>
      </c>
      <c r="L133" s="574">
        <f t="shared" si="4"/>
        <v>2402.8000000000002</v>
      </c>
      <c r="M133" s="574">
        <f t="shared" si="4"/>
        <v>136.80000000000001</v>
      </c>
      <c r="N133" s="209">
        <f>SUM(N117:N126)</f>
        <v>2322.5</v>
      </c>
      <c r="O133" s="574">
        <f>SUM(O117:O126)</f>
        <v>2322.5</v>
      </c>
      <c r="P133" s="573"/>
      <c r="Q133" s="754"/>
      <c r="R133" s="51"/>
      <c r="S133" s="555"/>
      <c r="T133" s="555"/>
      <c r="U133" s="556"/>
    </row>
    <row r="134" spans="1:21" ht="19.5" customHeight="1" x14ac:dyDescent="0.2">
      <c r="A134" s="1632" t="s">
        <v>5</v>
      </c>
      <c r="B134" s="1701" t="s">
        <v>5</v>
      </c>
      <c r="C134" s="1634" t="s">
        <v>35</v>
      </c>
      <c r="D134" s="1617" t="s">
        <v>237</v>
      </c>
      <c r="E134" s="1719"/>
      <c r="F134" s="1722" t="s">
        <v>50</v>
      </c>
      <c r="G134" s="570" t="s">
        <v>24</v>
      </c>
      <c r="H134" s="317">
        <v>271.8</v>
      </c>
      <c r="I134" s="356">
        <v>271.8</v>
      </c>
      <c r="J134" s="177"/>
      <c r="K134" s="317">
        <v>185</v>
      </c>
      <c r="L134" s="356">
        <v>185</v>
      </c>
      <c r="M134" s="120"/>
      <c r="N134" s="317">
        <v>185</v>
      </c>
      <c r="O134" s="356">
        <v>185</v>
      </c>
      <c r="P134" s="177"/>
      <c r="Q134" s="753" t="s">
        <v>135</v>
      </c>
      <c r="R134" s="1847" t="s">
        <v>337</v>
      </c>
      <c r="S134" s="1847" t="s">
        <v>337</v>
      </c>
      <c r="T134" s="1847" t="s">
        <v>337</v>
      </c>
      <c r="U134" s="1849"/>
    </row>
    <row r="135" spans="1:21" ht="14.25" customHeight="1" x14ac:dyDescent="0.2">
      <c r="A135" s="1632"/>
      <c r="B135" s="1701"/>
      <c r="C135" s="1634"/>
      <c r="D135" s="1617"/>
      <c r="E135" s="1719"/>
      <c r="F135" s="1722"/>
      <c r="G135" s="567" t="s">
        <v>58</v>
      </c>
      <c r="H135" s="98">
        <v>110</v>
      </c>
      <c r="I135" s="357">
        <v>110</v>
      </c>
      <c r="J135" s="178"/>
      <c r="K135" s="98"/>
      <c r="L135" s="357"/>
      <c r="M135" s="119"/>
      <c r="N135" s="98"/>
      <c r="O135" s="357"/>
      <c r="P135" s="358"/>
      <c r="Q135" s="753"/>
      <c r="R135" s="1848"/>
      <c r="S135" s="1848"/>
      <c r="T135" s="1848"/>
      <c r="U135" s="1842"/>
    </row>
    <row r="136" spans="1:21" ht="16.5" customHeight="1" thickBot="1" x14ac:dyDescent="0.25">
      <c r="A136" s="1711"/>
      <c r="B136" s="1713"/>
      <c r="C136" s="1715"/>
      <c r="D136" s="1717"/>
      <c r="E136" s="1720"/>
      <c r="F136" s="1723"/>
      <c r="G136" s="42" t="s">
        <v>6</v>
      </c>
      <c r="H136" s="209">
        <f>SUM(H134:H135)</f>
        <v>381.8</v>
      </c>
      <c r="I136" s="574">
        <f>SUM(I134:I135)</f>
        <v>381.8</v>
      </c>
      <c r="J136" s="573"/>
      <c r="K136" s="209">
        <f t="shared" ref="K136:N136" si="5">SUM(K134:K134)</f>
        <v>185</v>
      </c>
      <c r="L136" s="574">
        <f t="shared" ref="L136" si="6">SUM(L134:L134)</f>
        <v>185</v>
      </c>
      <c r="M136" s="490"/>
      <c r="N136" s="209">
        <f t="shared" si="5"/>
        <v>185</v>
      </c>
      <c r="O136" s="574">
        <f t="shared" ref="O136" si="7">SUM(O134:O134)</f>
        <v>185</v>
      </c>
      <c r="P136" s="573"/>
      <c r="Q136" s="620"/>
      <c r="R136" s="51"/>
      <c r="S136" s="51"/>
      <c r="T136" s="712"/>
      <c r="U136" s="1850"/>
    </row>
    <row r="137" spans="1:21" ht="23.25" customHeight="1" x14ac:dyDescent="0.2">
      <c r="A137" s="1710" t="s">
        <v>5</v>
      </c>
      <c r="B137" s="1712" t="s">
        <v>5</v>
      </c>
      <c r="C137" s="1714" t="s">
        <v>28</v>
      </c>
      <c r="D137" s="1716" t="s">
        <v>300</v>
      </c>
      <c r="E137" s="1718"/>
      <c r="F137" s="1721" t="s">
        <v>50</v>
      </c>
      <c r="G137" s="572" t="s">
        <v>24</v>
      </c>
      <c r="H137" s="149">
        <v>26.1</v>
      </c>
      <c r="I137" s="189">
        <v>26.1</v>
      </c>
      <c r="J137" s="227"/>
      <c r="K137" s="149">
        <v>26.1</v>
      </c>
      <c r="L137" s="189">
        <v>26.1</v>
      </c>
      <c r="M137" s="147"/>
      <c r="N137" s="149">
        <v>26.1</v>
      </c>
      <c r="O137" s="189">
        <v>26.1</v>
      </c>
      <c r="P137" s="227"/>
      <c r="Q137" s="1730" t="s">
        <v>299</v>
      </c>
      <c r="R137" s="52">
        <v>2</v>
      </c>
      <c r="S137" s="52">
        <v>2</v>
      </c>
      <c r="T137" s="420">
        <v>2</v>
      </c>
      <c r="U137" s="50"/>
    </row>
    <row r="138" spans="1:21" ht="15.75" customHeight="1" x14ac:dyDescent="0.2">
      <c r="A138" s="1632"/>
      <c r="B138" s="1701"/>
      <c r="C138" s="1634"/>
      <c r="D138" s="1617"/>
      <c r="E138" s="1719"/>
      <c r="F138" s="1722"/>
      <c r="G138" s="567"/>
      <c r="H138" s="593"/>
      <c r="I138" s="749"/>
      <c r="J138" s="597"/>
      <c r="K138" s="593"/>
      <c r="L138" s="749"/>
      <c r="M138" s="565"/>
      <c r="N138" s="593"/>
      <c r="O138" s="749"/>
      <c r="P138" s="769"/>
      <c r="Q138" s="1731"/>
      <c r="R138" s="95"/>
      <c r="S138" s="95"/>
      <c r="T138" s="420"/>
      <c r="U138" s="50"/>
    </row>
    <row r="139" spans="1:21" ht="16.5" customHeight="1" thickBot="1" x14ac:dyDescent="0.25">
      <c r="A139" s="1711"/>
      <c r="B139" s="1713"/>
      <c r="C139" s="1715"/>
      <c r="D139" s="1717"/>
      <c r="E139" s="1720"/>
      <c r="F139" s="1723"/>
      <c r="G139" s="42" t="s">
        <v>6</v>
      </c>
      <c r="H139" s="209">
        <f>H137</f>
        <v>26.1</v>
      </c>
      <c r="I139" s="574">
        <f>I137</f>
        <v>26.1</v>
      </c>
      <c r="J139" s="573"/>
      <c r="K139" s="209">
        <f t="shared" ref="K139:N139" si="8">K137</f>
        <v>26.1</v>
      </c>
      <c r="L139" s="574">
        <f t="shared" ref="L139" si="9">L137</f>
        <v>26.1</v>
      </c>
      <c r="M139" s="490"/>
      <c r="N139" s="209">
        <f t="shared" si="8"/>
        <v>26.1</v>
      </c>
      <c r="O139" s="574">
        <f t="shared" ref="O139" si="10">O137</f>
        <v>26.1</v>
      </c>
      <c r="P139" s="573"/>
      <c r="Q139" s="620"/>
      <c r="R139" s="51"/>
      <c r="S139" s="51"/>
      <c r="T139" s="712"/>
      <c r="U139" s="556"/>
    </row>
    <row r="140" spans="1:21" ht="15.75" customHeight="1" x14ac:dyDescent="0.2">
      <c r="A140" s="653" t="s">
        <v>5</v>
      </c>
      <c r="B140" s="654" t="s">
        <v>5</v>
      </c>
      <c r="C140" s="659" t="s">
        <v>36</v>
      </c>
      <c r="D140" s="1732" t="s">
        <v>165</v>
      </c>
      <c r="E140" s="275" t="s">
        <v>47</v>
      </c>
      <c r="F140" s="655" t="s">
        <v>46</v>
      </c>
      <c r="G140" s="79" t="s">
        <v>24</v>
      </c>
      <c r="H140" s="149">
        <v>976.4</v>
      </c>
      <c r="I140" s="189">
        <v>976.4</v>
      </c>
      <c r="J140" s="147"/>
      <c r="K140" s="149">
        <v>2614.8000000000002</v>
      </c>
      <c r="L140" s="189">
        <v>2614.8000000000002</v>
      </c>
      <c r="M140" s="147"/>
      <c r="N140" s="149">
        <v>1526.3</v>
      </c>
      <c r="O140" s="189">
        <v>1526.3</v>
      </c>
      <c r="P140" s="227"/>
      <c r="Q140" s="1734"/>
      <c r="R140" s="141"/>
      <c r="S140" s="141"/>
      <c r="T140" s="729"/>
      <c r="U140" s="237"/>
    </row>
    <row r="141" spans="1:21" ht="15" customHeight="1" x14ac:dyDescent="0.2">
      <c r="A141" s="639"/>
      <c r="B141" s="646"/>
      <c r="C141" s="635"/>
      <c r="D141" s="1733"/>
      <c r="E141" s="319"/>
      <c r="F141" s="632"/>
      <c r="G141" s="80" t="s">
        <v>247</v>
      </c>
      <c r="H141" s="317">
        <v>32.5</v>
      </c>
      <c r="I141" s="356">
        <v>32.5</v>
      </c>
      <c r="J141" s="120"/>
      <c r="K141" s="317">
        <v>553.20000000000005</v>
      </c>
      <c r="L141" s="356">
        <v>553.20000000000005</v>
      </c>
      <c r="M141" s="120"/>
      <c r="N141" s="317">
        <v>519.6</v>
      </c>
      <c r="O141" s="356">
        <v>519.6</v>
      </c>
      <c r="P141" s="177"/>
      <c r="Q141" s="1735"/>
      <c r="R141" s="142"/>
      <c r="S141" s="142"/>
      <c r="T141" s="375"/>
      <c r="U141" s="238"/>
    </row>
    <row r="142" spans="1:21" ht="13.5" customHeight="1" x14ac:dyDescent="0.2">
      <c r="A142" s="639"/>
      <c r="B142" s="646"/>
      <c r="C142" s="635"/>
      <c r="D142" s="1733"/>
      <c r="E142" s="319"/>
      <c r="F142" s="632"/>
      <c r="G142" s="80" t="s">
        <v>48</v>
      </c>
      <c r="H142" s="317">
        <v>366.8</v>
      </c>
      <c r="I142" s="356">
        <v>366.8</v>
      </c>
      <c r="J142" s="120"/>
      <c r="K142" s="317">
        <v>6269.4</v>
      </c>
      <c r="L142" s="356">
        <v>6269.4</v>
      </c>
      <c r="M142" s="120"/>
      <c r="N142" s="317">
        <v>5887.7</v>
      </c>
      <c r="O142" s="356">
        <v>5887.7</v>
      </c>
      <c r="P142" s="177"/>
      <c r="Q142" s="1735"/>
      <c r="R142" s="142"/>
      <c r="S142" s="142"/>
      <c r="T142" s="375"/>
      <c r="U142" s="238"/>
    </row>
    <row r="143" spans="1:21" ht="15" customHeight="1" x14ac:dyDescent="0.2">
      <c r="A143" s="639"/>
      <c r="B143" s="646"/>
      <c r="C143" s="635"/>
      <c r="D143" s="1733"/>
      <c r="E143" s="651"/>
      <c r="F143" s="632"/>
      <c r="G143" s="80" t="s">
        <v>58</v>
      </c>
      <c r="H143" s="317">
        <v>50.5</v>
      </c>
      <c r="I143" s="356">
        <v>50.5</v>
      </c>
      <c r="J143" s="120"/>
      <c r="K143" s="317"/>
      <c r="L143" s="356"/>
      <c r="M143" s="120"/>
      <c r="N143" s="317"/>
      <c r="O143" s="356"/>
      <c r="P143" s="177"/>
      <c r="Q143" s="1735"/>
      <c r="R143" s="142"/>
      <c r="S143" s="142"/>
      <c r="T143" s="375"/>
      <c r="U143" s="238"/>
    </row>
    <row r="144" spans="1:21" ht="16.5" customHeight="1" x14ac:dyDescent="0.2">
      <c r="A144" s="639"/>
      <c r="B144" s="646"/>
      <c r="C144" s="635"/>
      <c r="D144" s="1610" t="s">
        <v>190</v>
      </c>
      <c r="E144" s="1736" t="s">
        <v>99</v>
      </c>
      <c r="F144" s="1603"/>
      <c r="G144" s="649"/>
      <c r="H144" s="129"/>
      <c r="I144" s="167"/>
      <c r="J144" s="146"/>
      <c r="K144" s="129"/>
      <c r="L144" s="167"/>
      <c r="M144" s="146"/>
      <c r="N144" s="129"/>
      <c r="O144" s="167"/>
      <c r="P144" s="179"/>
      <c r="Q144" s="466" t="s">
        <v>98</v>
      </c>
      <c r="R144" s="41">
        <v>1</v>
      </c>
      <c r="S144" s="41"/>
      <c r="T144" s="156"/>
      <c r="U144" s="240"/>
    </row>
    <row r="145" spans="1:21" ht="12.75" customHeight="1" x14ac:dyDescent="0.2">
      <c r="A145" s="639"/>
      <c r="B145" s="646"/>
      <c r="C145" s="635"/>
      <c r="D145" s="1617"/>
      <c r="E145" s="1737"/>
      <c r="F145" s="1603"/>
      <c r="G145" s="648"/>
      <c r="H145" s="317"/>
      <c r="I145" s="356"/>
      <c r="J145" s="120"/>
      <c r="K145" s="317"/>
      <c r="L145" s="356"/>
      <c r="M145" s="120"/>
      <c r="N145" s="317"/>
      <c r="O145" s="356"/>
      <c r="P145" s="177"/>
      <c r="Q145" s="1739" t="s">
        <v>136</v>
      </c>
      <c r="R145" s="95">
        <v>20</v>
      </c>
      <c r="S145" s="95">
        <v>50</v>
      </c>
      <c r="T145" s="155">
        <v>100</v>
      </c>
      <c r="U145" s="50"/>
    </row>
    <row r="146" spans="1:21" ht="14.25" customHeight="1" x14ac:dyDescent="0.2">
      <c r="A146" s="639"/>
      <c r="B146" s="646"/>
      <c r="C146" s="635"/>
      <c r="D146" s="1611"/>
      <c r="E146" s="1738"/>
      <c r="F146" s="1603"/>
      <c r="G146" s="648"/>
      <c r="H146" s="317"/>
      <c r="I146" s="356"/>
      <c r="J146" s="120"/>
      <c r="K146" s="317"/>
      <c r="L146" s="356"/>
      <c r="M146" s="120"/>
      <c r="N146" s="317"/>
      <c r="O146" s="356"/>
      <c r="P146" s="177"/>
      <c r="Q146" s="1740"/>
      <c r="R146" s="90"/>
      <c r="S146" s="90"/>
      <c r="T146" s="157"/>
      <c r="U146" s="239"/>
    </row>
    <row r="147" spans="1:21" ht="15" customHeight="1" x14ac:dyDescent="0.2">
      <c r="A147" s="639"/>
      <c r="B147" s="646"/>
      <c r="C147" s="635"/>
      <c r="D147" s="1610" t="s">
        <v>258</v>
      </c>
      <c r="E147" s="1627" t="s">
        <v>65</v>
      </c>
      <c r="F147" s="1603"/>
      <c r="G147" s="648"/>
      <c r="H147" s="170"/>
      <c r="I147" s="355"/>
      <c r="J147" s="320"/>
      <c r="K147" s="317"/>
      <c r="L147" s="356"/>
      <c r="M147" s="120"/>
      <c r="N147" s="317"/>
      <c r="O147" s="356"/>
      <c r="P147" s="177"/>
      <c r="Q147" s="466" t="s">
        <v>98</v>
      </c>
      <c r="R147" s="41">
        <v>1</v>
      </c>
      <c r="S147" s="41"/>
      <c r="T147" s="156"/>
      <c r="U147" s="1601"/>
    </row>
    <row r="148" spans="1:21" ht="26.25" customHeight="1" x14ac:dyDescent="0.2">
      <c r="A148" s="639"/>
      <c r="B148" s="646"/>
      <c r="C148" s="635"/>
      <c r="D148" s="1617"/>
      <c r="E148" s="1628"/>
      <c r="F148" s="1603"/>
      <c r="G148" s="936"/>
      <c r="H148" s="170"/>
      <c r="I148" s="934"/>
      <c r="J148" s="935"/>
      <c r="K148" s="317"/>
      <c r="L148" s="356"/>
      <c r="M148" s="120"/>
      <c r="N148" s="317"/>
      <c r="O148" s="356"/>
      <c r="P148" s="177"/>
      <c r="Q148" s="1630" t="s">
        <v>137</v>
      </c>
      <c r="R148" s="95"/>
      <c r="S148" s="95">
        <v>5</v>
      </c>
      <c r="T148" s="155">
        <v>50</v>
      </c>
      <c r="U148" s="1842"/>
    </row>
    <row r="149" spans="1:21" ht="3.75" customHeight="1" x14ac:dyDescent="0.2">
      <c r="A149" s="639"/>
      <c r="B149" s="646"/>
      <c r="C149" s="635"/>
      <c r="D149" s="1611"/>
      <c r="E149" s="1629"/>
      <c r="F149" s="1603"/>
      <c r="G149" s="648"/>
      <c r="H149" s="317"/>
      <c r="I149" s="356"/>
      <c r="J149" s="120"/>
      <c r="K149" s="170"/>
      <c r="L149" s="355"/>
      <c r="M149" s="320"/>
      <c r="N149" s="317"/>
      <c r="O149" s="356"/>
      <c r="P149" s="177"/>
      <c r="Q149" s="1631"/>
      <c r="R149" s="90"/>
      <c r="S149" s="90"/>
      <c r="T149" s="157"/>
      <c r="U149" s="1602"/>
    </row>
    <row r="150" spans="1:21" ht="15.75" customHeight="1" x14ac:dyDescent="0.2">
      <c r="A150" s="639"/>
      <c r="B150" s="646"/>
      <c r="C150" s="635"/>
      <c r="D150" s="1610" t="s">
        <v>254</v>
      </c>
      <c r="E150" s="1727" t="s">
        <v>99</v>
      </c>
      <c r="F150" s="1603"/>
      <c r="G150" s="648"/>
      <c r="H150" s="170"/>
      <c r="I150" s="355"/>
      <c r="J150" s="320"/>
      <c r="K150" s="317"/>
      <c r="L150" s="356"/>
      <c r="M150" s="120"/>
      <c r="N150" s="317"/>
      <c r="O150" s="356"/>
      <c r="P150" s="177"/>
      <c r="Q150" s="45" t="s">
        <v>98</v>
      </c>
      <c r="R150" s="95">
        <v>1</v>
      </c>
      <c r="S150" s="95"/>
      <c r="T150" s="155"/>
      <c r="U150" s="50"/>
    </row>
    <row r="151" spans="1:21" ht="27" customHeight="1" x14ac:dyDescent="0.2">
      <c r="A151" s="639"/>
      <c r="B151" s="646"/>
      <c r="C151" s="635"/>
      <c r="D151" s="1617"/>
      <c r="E151" s="1728"/>
      <c r="F151" s="1603"/>
      <c r="G151" s="648"/>
      <c r="H151" s="170"/>
      <c r="I151" s="355"/>
      <c r="J151" s="320"/>
      <c r="K151" s="317"/>
      <c r="L151" s="356"/>
      <c r="M151" s="120"/>
      <c r="N151" s="317"/>
      <c r="O151" s="356"/>
      <c r="P151" s="177"/>
      <c r="Q151" s="45" t="s">
        <v>138</v>
      </c>
      <c r="R151" s="95">
        <v>15</v>
      </c>
      <c r="S151" s="95">
        <v>90</v>
      </c>
      <c r="T151" s="155">
        <v>100</v>
      </c>
      <c r="U151" s="50"/>
    </row>
    <row r="152" spans="1:21" ht="21" customHeight="1" x14ac:dyDescent="0.2">
      <c r="A152" s="639"/>
      <c r="B152" s="646"/>
      <c r="C152" s="635"/>
      <c r="D152" s="1611"/>
      <c r="E152" s="1729"/>
      <c r="F152" s="1603"/>
      <c r="G152" s="11"/>
      <c r="H152" s="317"/>
      <c r="I152" s="356"/>
      <c r="J152" s="120"/>
      <c r="K152" s="317"/>
      <c r="L152" s="356"/>
      <c r="M152" s="120"/>
      <c r="N152" s="317"/>
      <c r="O152" s="356"/>
      <c r="P152" s="177"/>
      <c r="Q152" s="191"/>
      <c r="R152" s="90"/>
      <c r="S152" s="90"/>
      <c r="T152" s="157"/>
      <c r="U152" s="239"/>
    </row>
    <row r="153" spans="1:21" ht="17.25" customHeight="1" x14ac:dyDescent="0.2">
      <c r="A153" s="639"/>
      <c r="B153" s="646"/>
      <c r="C153" s="635"/>
      <c r="D153" s="1748" t="s">
        <v>324</v>
      </c>
      <c r="E153" s="1728" t="s">
        <v>84</v>
      </c>
      <c r="F153" s="632"/>
      <c r="G153" s="193"/>
      <c r="H153" s="317"/>
      <c r="I153" s="356"/>
      <c r="J153" s="120"/>
      <c r="K153" s="170"/>
      <c r="L153" s="355"/>
      <c r="M153" s="320"/>
      <c r="N153" s="170"/>
      <c r="O153" s="355"/>
      <c r="P153" s="158"/>
      <c r="Q153" s="45" t="s">
        <v>98</v>
      </c>
      <c r="R153" s="95">
        <v>1</v>
      </c>
      <c r="S153" s="155"/>
      <c r="T153" s="155"/>
      <c r="U153" s="50"/>
    </row>
    <row r="154" spans="1:21" ht="20.25" customHeight="1" x14ac:dyDescent="0.2">
      <c r="A154" s="639"/>
      <c r="B154" s="646"/>
      <c r="C154" s="635"/>
      <c r="D154" s="1749"/>
      <c r="E154" s="1728"/>
      <c r="F154" s="1603"/>
      <c r="G154" s="193"/>
      <c r="H154" s="317"/>
      <c r="I154" s="356"/>
      <c r="J154" s="120"/>
      <c r="K154" s="170"/>
      <c r="L154" s="355"/>
      <c r="M154" s="320"/>
      <c r="N154" s="170"/>
      <c r="O154" s="355"/>
      <c r="P154" s="158"/>
      <c r="Q154" s="1630" t="s">
        <v>301</v>
      </c>
      <c r="R154" s="95"/>
      <c r="S154" s="155">
        <v>20</v>
      </c>
      <c r="T154" s="155">
        <v>70</v>
      </c>
      <c r="U154" s="50"/>
    </row>
    <row r="155" spans="1:21" ht="8.25" customHeight="1" x14ac:dyDescent="0.2">
      <c r="A155" s="639"/>
      <c r="B155" s="646"/>
      <c r="C155" s="635"/>
      <c r="D155" s="1749"/>
      <c r="E155" s="1607"/>
      <c r="F155" s="1603"/>
      <c r="G155" s="619"/>
      <c r="H155" s="317"/>
      <c r="I155" s="356"/>
      <c r="J155" s="120"/>
      <c r="K155" s="317"/>
      <c r="L155" s="356"/>
      <c r="M155" s="120"/>
      <c r="N155" s="317"/>
      <c r="O155" s="356"/>
      <c r="P155" s="177"/>
      <c r="Q155" s="1631"/>
      <c r="R155" s="235"/>
      <c r="S155" s="236"/>
      <c r="T155" s="157"/>
      <c r="U155" s="239"/>
    </row>
    <row r="156" spans="1:21" ht="15.75" customHeight="1" x14ac:dyDescent="0.2">
      <c r="A156" s="639"/>
      <c r="B156" s="646"/>
      <c r="C156" s="635"/>
      <c r="D156" s="1610" t="s">
        <v>189</v>
      </c>
      <c r="E156" s="1727" t="s">
        <v>99</v>
      </c>
      <c r="F156" s="1603"/>
      <c r="G156" s="193"/>
      <c r="H156" s="317"/>
      <c r="I156" s="356"/>
      <c r="J156" s="120"/>
      <c r="K156" s="170"/>
      <c r="L156" s="355"/>
      <c r="M156" s="320"/>
      <c r="N156" s="170"/>
      <c r="O156" s="355"/>
      <c r="P156" s="158"/>
      <c r="Q156" s="45" t="s">
        <v>98</v>
      </c>
      <c r="R156" s="95">
        <v>1</v>
      </c>
      <c r="S156" s="155"/>
      <c r="T156" s="155"/>
      <c r="U156" s="50"/>
    </row>
    <row r="157" spans="1:21" ht="15.75" customHeight="1" x14ac:dyDescent="0.2">
      <c r="A157" s="639"/>
      <c r="B157" s="646"/>
      <c r="C157" s="635"/>
      <c r="D157" s="1617"/>
      <c r="E157" s="1728"/>
      <c r="F157" s="1603"/>
      <c r="G157" s="193"/>
      <c r="H157" s="317"/>
      <c r="I157" s="356"/>
      <c r="J157" s="120"/>
      <c r="K157" s="170"/>
      <c r="L157" s="355"/>
      <c r="M157" s="320"/>
      <c r="N157" s="170"/>
      <c r="O157" s="355"/>
      <c r="P157" s="158"/>
      <c r="Q157" s="1630" t="s">
        <v>185</v>
      </c>
      <c r="R157" s="95"/>
      <c r="S157" s="155">
        <v>70</v>
      </c>
      <c r="T157" s="155">
        <v>100</v>
      </c>
      <c r="U157" s="50"/>
    </row>
    <row r="158" spans="1:21" ht="17.25" customHeight="1" x14ac:dyDescent="0.2">
      <c r="A158" s="639"/>
      <c r="B158" s="646"/>
      <c r="C158" s="635"/>
      <c r="D158" s="1611"/>
      <c r="E158" s="1728"/>
      <c r="F158" s="1603"/>
      <c r="G158" s="193"/>
      <c r="H158" s="317"/>
      <c r="I158" s="356"/>
      <c r="J158" s="120"/>
      <c r="K158" s="317"/>
      <c r="L158" s="356"/>
      <c r="M158" s="120"/>
      <c r="N158" s="317"/>
      <c r="O158" s="356"/>
      <c r="P158" s="177"/>
      <c r="Q158" s="1631"/>
      <c r="R158" s="235"/>
      <c r="S158" s="157"/>
      <c r="T158" s="157"/>
      <c r="U158" s="239"/>
    </row>
    <row r="159" spans="1:21" ht="15.75" customHeight="1" x14ac:dyDescent="0.2">
      <c r="A159" s="639"/>
      <c r="B159" s="646"/>
      <c r="C159" s="635"/>
      <c r="D159" s="1741" t="s">
        <v>191</v>
      </c>
      <c r="E159" s="1727" t="s">
        <v>99</v>
      </c>
      <c r="F159" s="1603"/>
      <c r="G159" s="193"/>
      <c r="H159" s="317"/>
      <c r="I159" s="356"/>
      <c r="J159" s="120"/>
      <c r="K159" s="317"/>
      <c r="L159" s="356"/>
      <c r="M159" s="120"/>
      <c r="N159" s="317"/>
      <c r="O159" s="356"/>
      <c r="P159" s="177"/>
      <c r="Q159" s="45" t="s">
        <v>98</v>
      </c>
      <c r="R159" s="221"/>
      <c r="S159" s="196">
        <v>1</v>
      </c>
      <c r="T159" s="155"/>
      <c r="U159" s="50"/>
    </row>
    <row r="160" spans="1:21" ht="19.5" customHeight="1" x14ac:dyDescent="0.2">
      <c r="A160" s="639"/>
      <c r="B160" s="646"/>
      <c r="C160" s="635"/>
      <c r="D160" s="1746"/>
      <c r="E160" s="1728"/>
      <c r="F160" s="1603"/>
      <c r="G160" s="193"/>
      <c r="H160" s="1083"/>
      <c r="I160" s="1084"/>
      <c r="J160" s="120"/>
      <c r="K160" s="1083"/>
      <c r="L160" s="1084"/>
      <c r="M160" s="120"/>
      <c r="N160" s="170"/>
      <c r="O160" s="355"/>
      <c r="P160" s="158"/>
      <c r="Q160" s="1630" t="s">
        <v>236</v>
      </c>
      <c r="R160" s="95"/>
      <c r="S160" s="155">
        <v>50</v>
      </c>
      <c r="T160" s="155">
        <v>100</v>
      </c>
      <c r="U160" s="50"/>
    </row>
    <row r="161" spans="1:21" ht="14.25" customHeight="1" x14ac:dyDescent="0.2">
      <c r="A161" s="639"/>
      <c r="B161" s="646"/>
      <c r="C161" s="635"/>
      <c r="D161" s="1742"/>
      <c r="E161" s="1729"/>
      <c r="F161" s="679"/>
      <c r="G161" s="193"/>
      <c r="H161" s="1105"/>
      <c r="I161" s="1104"/>
      <c r="J161" s="120"/>
      <c r="K161" s="1105"/>
      <c r="L161" s="1104"/>
      <c r="M161" s="120"/>
      <c r="N161" s="1105"/>
      <c r="O161" s="1104"/>
      <c r="P161" s="177"/>
      <c r="Q161" s="1631"/>
      <c r="R161" s="90"/>
      <c r="S161" s="157"/>
      <c r="T161" s="157"/>
      <c r="U161" s="239"/>
    </row>
    <row r="162" spans="1:21" ht="17.25" customHeight="1" x14ac:dyDescent="0.2">
      <c r="A162" s="869"/>
      <c r="B162" s="871"/>
      <c r="C162" s="872"/>
      <c r="D162" s="1741" t="s">
        <v>303</v>
      </c>
      <c r="E162" s="1727"/>
      <c r="F162" s="82"/>
      <c r="G162" s="1106"/>
      <c r="H162" s="1105"/>
      <c r="I162" s="865"/>
      <c r="J162" s="866"/>
      <c r="K162" s="1105"/>
      <c r="L162" s="1104"/>
      <c r="M162" s="120"/>
      <c r="N162" s="1105"/>
      <c r="O162" s="1104"/>
      <c r="P162" s="177"/>
      <c r="Q162" s="1743" t="s">
        <v>302</v>
      </c>
      <c r="R162" s="230">
        <v>1</v>
      </c>
      <c r="S162" s="197"/>
      <c r="T162" s="156"/>
      <c r="U162" s="1601"/>
    </row>
    <row r="163" spans="1:21" ht="23.25" customHeight="1" x14ac:dyDescent="0.2">
      <c r="A163" s="896"/>
      <c r="B163" s="897"/>
      <c r="C163" s="898"/>
      <c r="D163" s="1742"/>
      <c r="E163" s="1729"/>
      <c r="F163" s="901"/>
      <c r="G163" s="1107"/>
      <c r="H163" s="1105"/>
      <c r="I163" s="1104"/>
      <c r="J163" s="120"/>
      <c r="K163" s="1105"/>
      <c r="L163" s="1104"/>
      <c r="M163" s="120"/>
      <c r="N163" s="1105"/>
      <c r="O163" s="1104"/>
      <c r="P163" s="177"/>
      <c r="Q163" s="1744"/>
      <c r="R163" s="90"/>
      <c r="S163" s="157"/>
      <c r="T163" s="157"/>
      <c r="U163" s="1602"/>
    </row>
    <row r="164" spans="1:21" ht="15.75" customHeight="1" x14ac:dyDescent="0.2">
      <c r="A164" s="639"/>
      <c r="B164" s="646"/>
      <c r="C164" s="635"/>
      <c r="D164" s="1745" t="s">
        <v>304</v>
      </c>
      <c r="E164" s="1728"/>
      <c r="F164" s="82"/>
      <c r="G164" s="193"/>
      <c r="H164" s="317"/>
      <c r="I164" s="356"/>
      <c r="J164" s="120"/>
      <c r="K164" s="317"/>
      <c r="L164" s="356"/>
      <c r="M164" s="120"/>
      <c r="N164" s="756"/>
      <c r="O164" s="203"/>
      <c r="P164" s="515"/>
      <c r="Q164" s="472" t="s">
        <v>248</v>
      </c>
      <c r="R164" s="474">
        <v>1</v>
      </c>
      <c r="S164" s="475"/>
      <c r="T164" s="707"/>
      <c r="U164" s="746"/>
    </row>
    <row r="165" spans="1:21" ht="14.25" customHeight="1" x14ac:dyDescent="0.2">
      <c r="A165" s="639"/>
      <c r="B165" s="646"/>
      <c r="C165" s="635"/>
      <c r="D165" s="1746"/>
      <c r="E165" s="1728"/>
      <c r="F165" s="679"/>
      <c r="G165" s="193"/>
      <c r="H165" s="317"/>
      <c r="I165" s="356"/>
      <c r="J165" s="120"/>
      <c r="K165" s="317"/>
      <c r="L165" s="356"/>
      <c r="M165" s="120"/>
      <c r="N165" s="570"/>
      <c r="O165" s="234"/>
      <c r="P165" s="757"/>
      <c r="Q165" s="472" t="s">
        <v>98</v>
      </c>
      <c r="R165" s="474"/>
      <c r="S165" s="475"/>
      <c r="T165" s="707" t="s">
        <v>249</v>
      </c>
      <c r="U165" s="746"/>
    </row>
    <row r="166" spans="1:21" ht="27.75" customHeight="1" x14ac:dyDescent="0.2">
      <c r="A166" s="639"/>
      <c r="B166" s="646"/>
      <c r="C166" s="635"/>
      <c r="D166" s="1747"/>
      <c r="E166" s="1728"/>
      <c r="F166" s="679"/>
      <c r="G166" s="122"/>
      <c r="H166" s="98"/>
      <c r="I166" s="357"/>
      <c r="J166" s="119"/>
      <c r="K166" s="98"/>
      <c r="L166" s="357"/>
      <c r="M166" s="119"/>
      <c r="N166" s="750"/>
      <c r="O166" s="599"/>
      <c r="P166" s="601"/>
      <c r="Q166" s="472" t="s">
        <v>253</v>
      </c>
      <c r="R166" s="531"/>
      <c r="S166" s="531">
        <v>70</v>
      </c>
      <c r="T166" s="707">
        <v>100</v>
      </c>
      <c r="U166" s="746"/>
    </row>
    <row r="167" spans="1:21" ht="15" customHeight="1" thickBot="1" x14ac:dyDescent="0.25">
      <c r="A167" s="32"/>
      <c r="B167" s="658"/>
      <c r="C167" s="40"/>
      <c r="D167" s="532"/>
      <c r="E167" s="626"/>
      <c r="F167" s="272"/>
      <c r="G167" s="42" t="s">
        <v>6</v>
      </c>
      <c r="H167" s="209">
        <f t="shared" ref="H167:O167" si="11">SUM(H140:H166)</f>
        <v>1426.2</v>
      </c>
      <c r="I167" s="574">
        <f t="shared" si="11"/>
        <v>1426.2</v>
      </c>
      <c r="J167" s="574">
        <f t="shared" si="11"/>
        <v>0</v>
      </c>
      <c r="K167" s="209">
        <f t="shared" si="11"/>
        <v>9437.4</v>
      </c>
      <c r="L167" s="574">
        <f t="shared" si="11"/>
        <v>9437.4</v>
      </c>
      <c r="M167" s="574">
        <f t="shared" si="11"/>
        <v>0</v>
      </c>
      <c r="N167" s="209">
        <f t="shared" si="11"/>
        <v>7933.6</v>
      </c>
      <c r="O167" s="574">
        <f t="shared" si="11"/>
        <v>7933.6</v>
      </c>
      <c r="P167" s="573"/>
      <c r="Q167" s="620"/>
      <c r="R167" s="51"/>
      <c r="S167" s="51"/>
      <c r="T167" s="712"/>
      <c r="U167" s="556"/>
    </row>
    <row r="168" spans="1:21" ht="14.25" customHeight="1" thickBot="1" x14ac:dyDescent="0.25">
      <c r="A168" s="33" t="s">
        <v>5</v>
      </c>
      <c r="B168" s="85" t="s">
        <v>5</v>
      </c>
      <c r="C168" s="1754" t="s">
        <v>8</v>
      </c>
      <c r="D168" s="1755"/>
      <c r="E168" s="1755"/>
      <c r="F168" s="1755"/>
      <c r="G168" s="1756"/>
      <c r="H168" s="210">
        <f t="shared" ref="H168:P168" si="12">SUM(H64,H78,H116,H133,H136,H139,H167)</f>
        <v>10964.2</v>
      </c>
      <c r="I168" s="307">
        <f t="shared" si="12"/>
        <v>10805.8</v>
      </c>
      <c r="J168" s="307">
        <f t="shared" si="12"/>
        <v>-158.4</v>
      </c>
      <c r="K168" s="210">
        <f t="shared" si="12"/>
        <v>18286.5</v>
      </c>
      <c r="L168" s="307">
        <f t="shared" si="12"/>
        <v>18435.2</v>
      </c>
      <c r="M168" s="307">
        <f t="shared" si="12"/>
        <v>148.69999999999999</v>
      </c>
      <c r="N168" s="210">
        <f t="shared" si="12"/>
        <v>15110.3</v>
      </c>
      <c r="O168" s="307">
        <f t="shared" si="12"/>
        <v>15110.3</v>
      </c>
      <c r="P168" s="307">
        <f t="shared" si="12"/>
        <v>0</v>
      </c>
      <c r="Q168" s="325"/>
      <c r="R168" s="325"/>
      <c r="S168" s="325"/>
      <c r="T168" s="325"/>
      <c r="U168" s="277"/>
    </row>
    <row r="169" spans="1:21" ht="17.25" customHeight="1" thickBot="1" x14ac:dyDescent="0.25">
      <c r="A169" s="33" t="s">
        <v>5</v>
      </c>
      <c r="B169" s="85" t="s">
        <v>7</v>
      </c>
      <c r="C169" s="1757" t="s">
        <v>42</v>
      </c>
      <c r="D169" s="1758"/>
      <c r="E169" s="1758"/>
      <c r="F169" s="1758"/>
      <c r="G169" s="1758"/>
      <c r="H169" s="1759"/>
      <c r="I169" s="1759"/>
      <c r="J169" s="1759"/>
      <c r="K169" s="1758"/>
      <c r="L169" s="1758"/>
      <c r="M169" s="1758"/>
      <c r="N169" s="1758"/>
      <c r="O169" s="1758"/>
      <c r="P169" s="1758"/>
      <c r="Q169" s="1758"/>
      <c r="R169" s="1758"/>
      <c r="S169" s="1758"/>
      <c r="T169" s="1758"/>
      <c r="U169" s="1760"/>
    </row>
    <row r="170" spans="1:21" ht="14.25" customHeight="1" x14ac:dyDescent="0.2">
      <c r="A170" s="96" t="s">
        <v>5</v>
      </c>
      <c r="B170" s="133" t="s">
        <v>7</v>
      </c>
      <c r="C170" s="525" t="s">
        <v>5</v>
      </c>
      <c r="D170" s="1761" t="s">
        <v>83</v>
      </c>
      <c r="E170" s="534"/>
      <c r="F170" s="302">
        <v>6</v>
      </c>
      <c r="G170" s="29" t="s">
        <v>24</v>
      </c>
      <c r="H170" s="147">
        <v>566.29999999999995</v>
      </c>
      <c r="I170" s="189">
        <v>566.29999999999995</v>
      </c>
      <c r="J170" s="147"/>
      <c r="K170" s="149">
        <v>574.5</v>
      </c>
      <c r="L170" s="189">
        <v>574.5</v>
      </c>
      <c r="M170" s="227"/>
      <c r="N170" s="149">
        <v>415</v>
      </c>
      <c r="O170" s="189">
        <v>415</v>
      </c>
      <c r="P170" s="227"/>
      <c r="Q170" s="535"/>
      <c r="R170" s="303"/>
      <c r="S170" s="304"/>
      <c r="T170" s="304"/>
      <c r="U170" s="305"/>
    </row>
    <row r="171" spans="1:21" ht="19.5" customHeight="1" x14ac:dyDescent="0.2">
      <c r="A171" s="97"/>
      <c r="B171" s="284"/>
      <c r="C171" s="697"/>
      <c r="D171" s="1762"/>
      <c r="E171" s="651"/>
      <c r="F171" s="64"/>
      <c r="G171" s="67" t="s">
        <v>58</v>
      </c>
      <c r="H171" s="536"/>
      <c r="I171" s="779"/>
      <c r="J171" s="536"/>
      <c r="K171" s="775"/>
      <c r="L171" s="779"/>
      <c r="M171" s="777"/>
      <c r="N171" s="775"/>
      <c r="O171" s="779"/>
      <c r="P171" s="777"/>
      <c r="Q171" s="382"/>
      <c r="R171" s="202"/>
      <c r="S171" s="215"/>
      <c r="T171" s="770"/>
      <c r="U171" s="102"/>
    </row>
    <row r="172" spans="1:21" ht="18.75" customHeight="1" x14ac:dyDescent="0.2">
      <c r="A172" s="97"/>
      <c r="B172" s="284"/>
      <c r="C172" s="692"/>
      <c r="D172" s="1751" t="s">
        <v>52</v>
      </c>
      <c r="E172" s="637"/>
      <c r="F172" s="64"/>
      <c r="G172" s="65"/>
      <c r="H172" s="470"/>
      <c r="I172" s="471"/>
      <c r="J172" s="470"/>
      <c r="K172" s="776"/>
      <c r="L172" s="471"/>
      <c r="M172" s="778"/>
      <c r="N172" s="776"/>
      <c r="O172" s="471"/>
      <c r="P172" s="778"/>
      <c r="Q172" s="544" t="s">
        <v>305</v>
      </c>
      <c r="R172" s="201">
        <v>350</v>
      </c>
      <c r="S172" s="214">
        <v>350</v>
      </c>
      <c r="T172" s="771">
        <v>350</v>
      </c>
      <c r="U172" s="101"/>
    </row>
    <row r="173" spans="1:21" ht="28.5" customHeight="1" x14ac:dyDescent="0.2">
      <c r="A173" s="97"/>
      <c r="B173" s="284"/>
      <c r="C173" s="692"/>
      <c r="D173" s="1763"/>
      <c r="E173" s="637"/>
      <c r="F173" s="64"/>
      <c r="G173" s="66"/>
      <c r="H173" s="126"/>
      <c r="I173" s="183"/>
      <c r="J173" s="126"/>
      <c r="K173" s="607"/>
      <c r="L173" s="183"/>
      <c r="M173" s="180"/>
      <c r="N173" s="607"/>
      <c r="O173" s="183"/>
      <c r="P173" s="180"/>
      <c r="Q173" s="545" t="s">
        <v>140</v>
      </c>
      <c r="R173" s="201">
        <v>300</v>
      </c>
      <c r="S173" s="214">
        <v>300</v>
      </c>
      <c r="T173" s="771">
        <v>300</v>
      </c>
      <c r="U173" s="101"/>
    </row>
    <row r="174" spans="1:21" ht="32.25" customHeight="1" x14ac:dyDescent="0.2">
      <c r="A174" s="97"/>
      <c r="B174" s="284"/>
      <c r="C174" s="692"/>
      <c r="D174" s="1752"/>
      <c r="E174" s="637"/>
      <c r="F174" s="64"/>
      <c r="G174" s="67"/>
      <c r="H174" s="127"/>
      <c r="I174" s="213"/>
      <c r="J174" s="127"/>
      <c r="K174" s="609"/>
      <c r="L174" s="213"/>
      <c r="M174" s="608"/>
      <c r="N174" s="609"/>
      <c r="O174" s="213"/>
      <c r="P174" s="608"/>
      <c r="Q174" s="576" t="s">
        <v>88</v>
      </c>
      <c r="R174" s="599">
        <v>36</v>
      </c>
      <c r="S174" s="600">
        <v>36</v>
      </c>
      <c r="T174" s="564">
        <v>36</v>
      </c>
      <c r="U174" s="601"/>
    </row>
    <row r="175" spans="1:21" ht="24.75" customHeight="1" x14ac:dyDescent="0.2">
      <c r="A175" s="97"/>
      <c r="B175" s="284"/>
      <c r="C175" s="679"/>
      <c r="D175" s="1763" t="s">
        <v>252</v>
      </c>
      <c r="E175" s="651"/>
      <c r="F175" s="64"/>
      <c r="G175" s="66"/>
      <c r="H175" s="126"/>
      <c r="I175" s="183"/>
      <c r="J175" s="126"/>
      <c r="K175" s="607"/>
      <c r="L175" s="183"/>
      <c r="M175" s="180"/>
      <c r="N175" s="607"/>
      <c r="O175" s="183"/>
      <c r="P175" s="180"/>
      <c r="Q175" s="543" t="s">
        <v>113</v>
      </c>
      <c r="R175" s="458">
        <v>18</v>
      </c>
      <c r="S175" s="458">
        <v>18</v>
      </c>
      <c r="T175" s="772">
        <v>18</v>
      </c>
      <c r="U175" s="459"/>
    </row>
    <row r="176" spans="1:21" ht="27.75" customHeight="1" x14ac:dyDescent="0.2">
      <c r="A176" s="97"/>
      <c r="B176" s="284"/>
      <c r="C176" s="679"/>
      <c r="D176" s="1764"/>
      <c r="E176" s="651"/>
      <c r="F176" s="64"/>
      <c r="G176" s="66"/>
      <c r="H176" s="126"/>
      <c r="I176" s="183"/>
      <c r="J176" s="126"/>
      <c r="K176" s="607"/>
      <c r="L176" s="183"/>
      <c r="M176" s="180"/>
      <c r="N176" s="607"/>
      <c r="O176" s="183"/>
      <c r="P176" s="180"/>
      <c r="Q176" s="493" t="s">
        <v>108</v>
      </c>
      <c r="R176" s="205">
        <v>32</v>
      </c>
      <c r="S176" s="376">
        <v>24</v>
      </c>
      <c r="T176" s="773"/>
      <c r="U176" s="101"/>
    </row>
    <row r="177" spans="1:21" ht="18.75" customHeight="1" x14ac:dyDescent="0.2">
      <c r="A177" s="97"/>
      <c r="B177" s="284"/>
      <c r="C177" s="679"/>
      <c r="D177" s="1764"/>
      <c r="E177" s="103"/>
      <c r="F177" s="93"/>
      <c r="G177" s="66"/>
      <c r="H177" s="126"/>
      <c r="I177" s="183"/>
      <c r="J177" s="126"/>
      <c r="K177" s="607"/>
      <c r="L177" s="183"/>
      <c r="M177" s="180"/>
      <c r="N177" s="607"/>
      <c r="O177" s="183"/>
      <c r="P177" s="180"/>
      <c r="Q177" s="495" t="s">
        <v>44</v>
      </c>
      <c r="R177" s="306">
        <v>57</v>
      </c>
      <c r="S177" s="496">
        <v>53</v>
      </c>
      <c r="T177" s="496">
        <v>53</v>
      </c>
      <c r="U177" s="101"/>
    </row>
    <row r="178" spans="1:21" ht="29.25" customHeight="1" x14ac:dyDescent="0.2">
      <c r="A178" s="97"/>
      <c r="B178" s="284"/>
      <c r="C178" s="679"/>
      <c r="D178" s="1764"/>
      <c r="E178" s="103"/>
      <c r="F178" s="93"/>
      <c r="G178" s="66"/>
      <c r="H178" s="126"/>
      <c r="I178" s="183"/>
      <c r="J178" s="126"/>
      <c r="K178" s="607"/>
      <c r="L178" s="183"/>
      <c r="M178" s="180"/>
      <c r="N178" s="607"/>
      <c r="O178" s="183"/>
      <c r="P178" s="180"/>
      <c r="Q178" s="493" t="s">
        <v>107</v>
      </c>
      <c r="R178" s="930">
        <v>1</v>
      </c>
      <c r="S178" s="376">
        <v>2</v>
      </c>
      <c r="T178" s="773">
        <v>2</v>
      </c>
      <c r="U178" s="101"/>
    </row>
    <row r="179" spans="1:21" ht="39.75" customHeight="1" x14ac:dyDescent="0.2">
      <c r="A179" s="97"/>
      <c r="B179" s="284"/>
      <c r="C179" s="679"/>
      <c r="D179" s="666"/>
      <c r="E179" s="103"/>
      <c r="F179" s="93"/>
      <c r="G179" s="66"/>
      <c r="H179" s="126"/>
      <c r="I179" s="183"/>
      <c r="J179" s="126"/>
      <c r="K179" s="607"/>
      <c r="L179" s="183"/>
      <c r="M179" s="180"/>
      <c r="N179" s="607"/>
      <c r="O179" s="183"/>
      <c r="P179" s="180"/>
      <c r="Q179" s="494" t="s">
        <v>306</v>
      </c>
      <c r="R179" s="204">
        <v>50</v>
      </c>
      <c r="S179" s="377">
        <v>80</v>
      </c>
      <c r="T179" s="774">
        <v>100</v>
      </c>
      <c r="U179" s="101"/>
    </row>
    <row r="180" spans="1:21" ht="51.75" customHeight="1" x14ac:dyDescent="0.2">
      <c r="A180" s="97"/>
      <c r="B180" s="284"/>
      <c r="C180" s="679"/>
      <c r="D180" s="666"/>
      <c r="E180" s="103"/>
      <c r="F180" s="93"/>
      <c r="G180" s="66"/>
      <c r="H180" s="126"/>
      <c r="I180" s="183"/>
      <c r="J180" s="126"/>
      <c r="K180" s="607"/>
      <c r="L180" s="183"/>
      <c r="M180" s="180"/>
      <c r="N180" s="607"/>
      <c r="O180" s="183"/>
      <c r="P180" s="180"/>
      <c r="Q180" s="493" t="s">
        <v>230</v>
      </c>
      <c r="R180" s="205">
        <v>100</v>
      </c>
      <c r="S180" s="376"/>
      <c r="T180" s="773"/>
      <c r="U180" s="101"/>
    </row>
    <row r="181" spans="1:21" ht="45" customHeight="1" x14ac:dyDescent="0.2">
      <c r="A181" s="97"/>
      <c r="B181" s="284"/>
      <c r="C181" s="679"/>
      <c r="D181" s="666"/>
      <c r="E181" s="103"/>
      <c r="F181" s="93"/>
      <c r="G181" s="66"/>
      <c r="H181" s="126"/>
      <c r="I181" s="183"/>
      <c r="J181" s="126"/>
      <c r="K181" s="607"/>
      <c r="L181" s="183"/>
      <c r="M181" s="180"/>
      <c r="N181" s="607"/>
      <c r="O181" s="183"/>
      <c r="P181" s="180"/>
      <c r="Q181" s="493" t="s">
        <v>307</v>
      </c>
      <c r="R181" s="908"/>
      <c r="S181" s="376">
        <v>2</v>
      </c>
      <c r="T181" s="773">
        <v>2</v>
      </c>
      <c r="U181" s="101"/>
    </row>
    <row r="182" spans="1:21" ht="54" customHeight="1" x14ac:dyDescent="0.2">
      <c r="A182" s="97"/>
      <c r="B182" s="284"/>
      <c r="C182" s="679"/>
      <c r="D182" s="666"/>
      <c r="E182" s="103"/>
      <c r="F182" s="93"/>
      <c r="G182" s="66"/>
      <c r="H182" s="126"/>
      <c r="I182" s="183"/>
      <c r="J182" s="126"/>
      <c r="K182" s="607"/>
      <c r="L182" s="183"/>
      <c r="M182" s="180"/>
      <c r="N182" s="607"/>
      <c r="O182" s="183"/>
      <c r="P182" s="180"/>
      <c r="Q182" s="493" t="s">
        <v>231</v>
      </c>
      <c r="R182" s="205">
        <v>50</v>
      </c>
      <c r="S182" s="376">
        <v>100</v>
      </c>
      <c r="T182" s="773"/>
      <c r="U182" s="101"/>
    </row>
    <row r="183" spans="1:21" ht="27" customHeight="1" x14ac:dyDescent="0.2">
      <c r="A183" s="97"/>
      <c r="B183" s="284"/>
      <c r="C183" s="679"/>
      <c r="D183" s="666"/>
      <c r="E183" s="103"/>
      <c r="F183" s="93"/>
      <c r="G183" s="66"/>
      <c r="H183" s="126"/>
      <c r="I183" s="183"/>
      <c r="J183" s="126"/>
      <c r="K183" s="607"/>
      <c r="L183" s="183"/>
      <c r="M183" s="180"/>
      <c r="N183" s="607"/>
      <c r="O183" s="183"/>
      <c r="P183" s="180"/>
      <c r="Q183" s="493" t="s">
        <v>308</v>
      </c>
      <c r="R183" s="205">
        <v>1700</v>
      </c>
      <c r="S183" s="376"/>
      <c r="T183" s="773"/>
      <c r="U183" s="101"/>
    </row>
    <row r="184" spans="1:21" ht="15" customHeight="1" x14ac:dyDescent="0.2">
      <c r="A184" s="97"/>
      <c r="B184" s="284"/>
      <c r="C184" s="679"/>
      <c r="D184" s="666"/>
      <c r="E184" s="103"/>
      <c r="F184" s="93"/>
      <c r="G184" s="66"/>
      <c r="H184" s="126"/>
      <c r="I184" s="183"/>
      <c r="J184" s="126"/>
      <c r="K184" s="607"/>
      <c r="L184" s="183"/>
      <c r="M184" s="180"/>
      <c r="N184" s="607"/>
      <c r="O184" s="183"/>
      <c r="P184" s="180"/>
      <c r="Q184" s="499" t="s">
        <v>228</v>
      </c>
      <c r="R184" s="205">
        <v>150</v>
      </c>
      <c r="S184" s="376"/>
      <c r="T184" s="773"/>
      <c r="U184" s="101"/>
    </row>
    <row r="185" spans="1:21" ht="41.25" customHeight="1" x14ac:dyDescent="0.2">
      <c r="A185" s="97"/>
      <c r="B185" s="284"/>
      <c r="C185" s="679"/>
      <c r="D185" s="666"/>
      <c r="E185" s="103"/>
      <c r="F185" s="93"/>
      <c r="G185" s="66"/>
      <c r="H185" s="126"/>
      <c r="I185" s="183"/>
      <c r="J185" s="126"/>
      <c r="K185" s="607"/>
      <c r="L185" s="183"/>
      <c r="M185" s="180"/>
      <c r="N185" s="607"/>
      <c r="O185" s="183"/>
      <c r="P185" s="180"/>
      <c r="Q185" s="493" t="s">
        <v>227</v>
      </c>
      <c r="R185" s="205">
        <v>10</v>
      </c>
      <c r="S185" s="376">
        <v>60</v>
      </c>
      <c r="T185" s="773">
        <v>100</v>
      </c>
      <c r="U185" s="101"/>
    </row>
    <row r="186" spans="1:21" ht="38.25" customHeight="1" x14ac:dyDescent="0.2">
      <c r="A186" s="97"/>
      <c r="B186" s="284"/>
      <c r="C186" s="679"/>
      <c r="D186" s="666"/>
      <c r="E186" s="103"/>
      <c r="F186" s="93"/>
      <c r="G186" s="67"/>
      <c r="H186" s="609"/>
      <c r="I186" s="213"/>
      <c r="J186" s="127"/>
      <c r="K186" s="609"/>
      <c r="L186" s="213"/>
      <c r="M186" s="608"/>
      <c r="N186" s="609"/>
      <c r="O186" s="213"/>
      <c r="P186" s="780"/>
      <c r="Q186" s="495" t="s">
        <v>243</v>
      </c>
      <c r="R186" s="306">
        <v>10</v>
      </c>
      <c r="S186" s="537">
        <v>100</v>
      </c>
      <c r="T186" s="496"/>
      <c r="U186" s="101"/>
    </row>
    <row r="187" spans="1:21" ht="15" customHeight="1" thickBot="1" x14ac:dyDescent="0.25">
      <c r="A187" s="32"/>
      <c r="B187" s="658"/>
      <c r="C187" s="40"/>
      <c r="D187" s="532"/>
      <c r="E187" s="533"/>
      <c r="F187" s="272"/>
      <c r="G187" s="42" t="s">
        <v>6</v>
      </c>
      <c r="H187" s="209">
        <f>SUM(H170:H186)</f>
        <v>566.29999999999995</v>
      </c>
      <c r="I187" s="574">
        <f>SUM(I170:I186)</f>
        <v>566.29999999999995</v>
      </c>
      <c r="J187" s="490"/>
      <c r="K187" s="209">
        <f>SUM(K170:K186)</f>
        <v>574.5</v>
      </c>
      <c r="L187" s="574">
        <f>SUM(L170:L186)</f>
        <v>574.5</v>
      </c>
      <c r="M187" s="573"/>
      <c r="N187" s="209">
        <f>SUM(N170:N186)</f>
        <v>415</v>
      </c>
      <c r="O187" s="574">
        <f>SUM(O170:O186)</f>
        <v>415</v>
      </c>
      <c r="P187" s="573"/>
      <c r="Q187" s="620"/>
      <c r="R187" s="51"/>
      <c r="S187" s="51"/>
      <c r="T187" s="712"/>
      <c r="U187" s="556"/>
    </row>
    <row r="188" spans="1:21" ht="14.25" customHeight="1" thickBot="1" x14ac:dyDescent="0.25">
      <c r="A188" s="34" t="s">
        <v>5</v>
      </c>
      <c r="B188" s="8" t="s">
        <v>7</v>
      </c>
      <c r="C188" s="1755" t="s">
        <v>8</v>
      </c>
      <c r="D188" s="1755"/>
      <c r="E188" s="1755"/>
      <c r="F188" s="1755"/>
      <c r="G188" s="1755"/>
      <c r="H188" s="210">
        <f>H187</f>
        <v>566.29999999999995</v>
      </c>
      <c r="I188" s="307">
        <f>I187</f>
        <v>566.29999999999995</v>
      </c>
      <c r="J188" s="125"/>
      <c r="K188" s="210">
        <f t="shared" ref="K188:N188" si="13">K187</f>
        <v>574.5</v>
      </c>
      <c r="L188" s="307">
        <f t="shared" ref="L188" si="14">L187</f>
        <v>574.5</v>
      </c>
      <c r="M188" s="491"/>
      <c r="N188" s="210">
        <f t="shared" si="13"/>
        <v>415</v>
      </c>
      <c r="O188" s="307">
        <f t="shared" ref="O188" si="15">O187</f>
        <v>415</v>
      </c>
      <c r="P188" s="491"/>
      <c r="Q188" s="325"/>
      <c r="R188" s="325"/>
      <c r="S188" s="325"/>
      <c r="T188" s="325"/>
      <c r="U188" s="277"/>
    </row>
    <row r="189" spans="1:21" ht="18" customHeight="1" thickBot="1" x14ac:dyDescent="0.25">
      <c r="A189" s="33" t="s">
        <v>5</v>
      </c>
      <c r="B189" s="8" t="s">
        <v>26</v>
      </c>
      <c r="C189" s="1765" t="s">
        <v>153</v>
      </c>
      <c r="D189" s="1766"/>
      <c r="E189" s="1766"/>
      <c r="F189" s="1766"/>
      <c r="G189" s="1766"/>
      <c r="H189" s="1767"/>
      <c r="I189" s="1767"/>
      <c r="J189" s="1767"/>
      <c r="K189" s="1767"/>
      <c r="L189" s="1768"/>
      <c r="M189" s="1768"/>
      <c r="N189" s="1768"/>
      <c r="O189" s="1768"/>
      <c r="P189" s="1768"/>
      <c r="Q189" s="1768"/>
      <c r="R189" s="328"/>
      <c r="S189" s="328"/>
      <c r="T189" s="328"/>
      <c r="U189" s="279"/>
    </row>
    <row r="190" spans="1:21" ht="13.5" customHeight="1" x14ac:dyDescent="0.2">
      <c r="A190" s="335" t="s">
        <v>5</v>
      </c>
      <c r="B190" s="326" t="s">
        <v>26</v>
      </c>
      <c r="C190" s="662" t="s">
        <v>5</v>
      </c>
      <c r="D190" s="1732" t="s">
        <v>103</v>
      </c>
      <c r="E190" s="344"/>
      <c r="F190" s="333">
        <v>6</v>
      </c>
      <c r="G190" s="219" t="s">
        <v>24</v>
      </c>
      <c r="H190" s="622">
        <f>1049-23.6</f>
        <v>1025.4000000000001</v>
      </c>
      <c r="I190" s="787">
        <f>1049-23.6</f>
        <v>1025.4000000000001</v>
      </c>
      <c r="J190" s="782"/>
      <c r="K190" s="622">
        <v>980</v>
      </c>
      <c r="L190" s="787">
        <v>980</v>
      </c>
      <c r="M190" s="782"/>
      <c r="N190" s="622">
        <v>945</v>
      </c>
      <c r="O190" s="787">
        <v>945</v>
      </c>
      <c r="P190" s="782"/>
      <c r="Q190" s="300"/>
      <c r="R190" s="345"/>
      <c r="S190" s="346"/>
      <c r="T190" s="346"/>
      <c r="U190" s="347"/>
    </row>
    <row r="191" spans="1:21" ht="11.25" customHeight="1" x14ac:dyDescent="0.2">
      <c r="A191" s="335"/>
      <c r="B191" s="326"/>
      <c r="C191" s="662"/>
      <c r="D191" s="1709"/>
      <c r="E191" s="255"/>
      <c r="F191" s="334"/>
      <c r="G191" s="648" t="s">
        <v>58</v>
      </c>
      <c r="H191" s="217">
        <v>556.70000000000005</v>
      </c>
      <c r="I191" s="788">
        <v>556.70000000000005</v>
      </c>
      <c r="J191" s="783"/>
      <c r="K191" s="217"/>
      <c r="L191" s="788"/>
      <c r="M191" s="783"/>
      <c r="N191" s="700"/>
      <c r="O191" s="791"/>
      <c r="P191" s="786"/>
      <c r="Q191" s="688"/>
      <c r="R191" s="342"/>
      <c r="S191" s="343"/>
      <c r="T191" s="794"/>
      <c r="U191" s="348"/>
    </row>
    <row r="192" spans="1:21" ht="7.5" customHeight="1" x14ac:dyDescent="0.2">
      <c r="A192" s="335"/>
      <c r="B192" s="326"/>
      <c r="C192" s="662"/>
      <c r="D192" s="1769"/>
      <c r="E192" s="255"/>
      <c r="F192" s="334"/>
      <c r="G192" s="354"/>
      <c r="H192" s="623"/>
      <c r="I192" s="789"/>
      <c r="J192" s="784"/>
      <c r="K192" s="623"/>
      <c r="L192" s="789"/>
      <c r="M192" s="784"/>
      <c r="N192" s="623"/>
      <c r="O192" s="789"/>
      <c r="P192" s="784"/>
      <c r="Q192" s="688"/>
      <c r="R192" s="505"/>
      <c r="S192" s="540"/>
      <c r="T192" s="795"/>
      <c r="U192" s="348"/>
    </row>
    <row r="193" spans="1:21" ht="16.5" customHeight="1" x14ac:dyDescent="0.2">
      <c r="A193" s="335"/>
      <c r="B193" s="326"/>
      <c r="C193" s="662"/>
      <c r="D193" s="1617" t="s">
        <v>104</v>
      </c>
      <c r="E193" s="1046" t="s">
        <v>47</v>
      </c>
      <c r="F193" s="334"/>
      <c r="G193" s="648"/>
      <c r="H193" s="217"/>
      <c r="I193" s="788"/>
      <c r="J193" s="783"/>
      <c r="K193" s="217"/>
      <c r="L193" s="788"/>
      <c r="M193" s="783"/>
      <c r="N193" s="217"/>
      <c r="O193" s="788"/>
      <c r="P193" s="783"/>
      <c r="Q193" s="252"/>
      <c r="R193" s="538"/>
      <c r="S193" s="3"/>
      <c r="T193" s="796"/>
      <c r="U193" s="539"/>
    </row>
    <row r="194" spans="1:21" ht="7.5" customHeight="1" x14ac:dyDescent="0.2">
      <c r="A194" s="335"/>
      <c r="B194" s="326"/>
      <c r="C194" s="662"/>
      <c r="D194" s="1764"/>
      <c r="E194" s="255"/>
      <c r="F194" s="334"/>
      <c r="G194" s="648"/>
      <c r="H194" s="317"/>
      <c r="I194" s="752"/>
      <c r="J194" s="120"/>
      <c r="K194" s="755"/>
      <c r="L194" s="752"/>
      <c r="M194" s="120"/>
      <c r="N194" s="317"/>
      <c r="O194" s="752"/>
      <c r="P194" s="120"/>
      <c r="Q194" s="379"/>
      <c r="R194" s="243"/>
      <c r="S194" s="591"/>
      <c r="T194" s="797"/>
      <c r="U194" s="381"/>
    </row>
    <row r="195" spans="1:21" ht="12.75" customHeight="1" x14ac:dyDescent="0.2">
      <c r="A195" s="335"/>
      <c r="B195" s="326"/>
      <c r="C195" s="662"/>
      <c r="D195" s="1764"/>
      <c r="E195" s="255"/>
      <c r="F195" s="334"/>
      <c r="G195" s="648"/>
      <c r="H195" s="317"/>
      <c r="I195" s="752"/>
      <c r="J195" s="120"/>
      <c r="K195" s="755"/>
      <c r="L195" s="752"/>
      <c r="M195" s="120"/>
      <c r="N195" s="317"/>
      <c r="O195" s="752"/>
      <c r="P195" s="120"/>
      <c r="Q195" s="379"/>
      <c r="R195" s="243"/>
      <c r="S195" s="591"/>
      <c r="T195" s="797"/>
      <c r="U195" s="381"/>
    </row>
    <row r="196" spans="1:21" ht="27" customHeight="1" x14ac:dyDescent="0.2">
      <c r="A196" s="335"/>
      <c r="B196" s="326"/>
      <c r="C196" s="662"/>
      <c r="D196" s="350" t="s">
        <v>158</v>
      </c>
      <c r="E196" s="255"/>
      <c r="F196" s="334"/>
      <c r="G196" s="648"/>
      <c r="H196" s="431"/>
      <c r="I196" s="748"/>
      <c r="J196" s="432"/>
      <c r="K196" s="747"/>
      <c r="L196" s="748"/>
      <c r="M196" s="432"/>
      <c r="N196" s="747"/>
      <c r="O196" s="748"/>
      <c r="P196" s="432"/>
      <c r="Q196" s="55" t="s">
        <v>345</v>
      </c>
      <c r="R196" s="463">
        <v>350</v>
      </c>
      <c r="S196" s="467">
        <v>182</v>
      </c>
      <c r="T196" s="798">
        <v>182</v>
      </c>
      <c r="U196" s="1774" t="s">
        <v>361</v>
      </c>
    </row>
    <row r="197" spans="1:21" ht="16.5" customHeight="1" x14ac:dyDescent="0.2">
      <c r="A197" s="335"/>
      <c r="B197" s="326"/>
      <c r="C197" s="662"/>
      <c r="D197" s="1770" t="s">
        <v>182</v>
      </c>
      <c r="E197" s="255"/>
      <c r="F197" s="334"/>
      <c r="G197" s="648"/>
      <c r="H197" s="317"/>
      <c r="I197" s="752"/>
      <c r="J197" s="120"/>
      <c r="K197" s="755"/>
      <c r="L197" s="752"/>
      <c r="M197" s="120"/>
      <c r="N197" s="755"/>
      <c r="O197" s="752"/>
      <c r="P197" s="120"/>
      <c r="Q197" s="1772" t="s">
        <v>344</v>
      </c>
      <c r="R197" s="513">
        <v>1000</v>
      </c>
      <c r="S197" s="510">
        <v>520</v>
      </c>
      <c r="T197" s="1047">
        <v>520</v>
      </c>
      <c r="U197" s="1774"/>
    </row>
    <row r="198" spans="1:21" ht="14.25" customHeight="1" x14ac:dyDescent="0.2">
      <c r="A198" s="335"/>
      <c r="B198" s="326"/>
      <c r="C198" s="662"/>
      <c r="D198" s="1771"/>
      <c r="E198" s="255"/>
      <c r="F198" s="334"/>
      <c r="G198" s="648"/>
      <c r="H198" s="317"/>
      <c r="I198" s="752"/>
      <c r="J198" s="120"/>
      <c r="K198" s="755"/>
      <c r="L198" s="752"/>
      <c r="M198" s="120"/>
      <c r="N198" s="755"/>
      <c r="O198" s="752"/>
      <c r="P198" s="120"/>
      <c r="Q198" s="1773"/>
      <c r="R198" s="514"/>
      <c r="S198" s="1048"/>
      <c r="T198" s="1029"/>
      <c r="U198" s="1774"/>
    </row>
    <row r="199" spans="1:21" ht="26.25" customHeight="1" x14ac:dyDescent="0.2">
      <c r="A199" s="335"/>
      <c r="B199" s="326"/>
      <c r="C199" s="662"/>
      <c r="D199" s="380" t="s">
        <v>183</v>
      </c>
      <c r="E199" s="349"/>
      <c r="F199" s="334"/>
      <c r="G199" s="354"/>
      <c r="H199" s="793"/>
      <c r="I199" s="792"/>
      <c r="J199" s="781"/>
      <c r="K199" s="793"/>
      <c r="L199" s="792"/>
      <c r="M199" s="781"/>
      <c r="N199" s="793"/>
      <c r="O199" s="792"/>
      <c r="P199" s="615"/>
      <c r="Q199" s="55" t="s">
        <v>184</v>
      </c>
      <c r="R199" s="430">
        <v>23.4</v>
      </c>
      <c r="S199" s="409">
        <v>12</v>
      </c>
      <c r="T199" s="800">
        <v>12</v>
      </c>
      <c r="U199" s="1774"/>
    </row>
    <row r="200" spans="1:21" ht="15" customHeight="1" x14ac:dyDescent="0.2">
      <c r="A200" s="1632"/>
      <c r="B200" s="1633"/>
      <c r="C200" s="1750"/>
      <c r="D200" s="1751" t="s">
        <v>159</v>
      </c>
      <c r="E200" s="1753"/>
      <c r="F200" s="334"/>
      <c r="G200" s="648"/>
      <c r="H200" s="317"/>
      <c r="I200" s="752"/>
      <c r="J200" s="120"/>
      <c r="K200" s="317"/>
      <c r="L200" s="752"/>
      <c r="M200" s="120"/>
      <c r="N200" s="755"/>
      <c r="O200" s="752"/>
      <c r="P200" s="120"/>
      <c r="Q200" s="689" t="s">
        <v>179</v>
      </c>
      <c r="R200" s="207">
        <v>1</v>
      </c>
      <c r="S200" s="207"/>
      <c r="T200" s="711"/>
      <c r="U200" s="313"/>
    </row>
    <row r="201" spans="1:21" ht="25.5" customHeight="1" x14ac:dyDescent="0.2">
      <c r="A201" s="1632"/>
      <c r="B201" s="1633"/>
      <c r="C201" s="1750"/>
      <c r="D201" s="1752"/>
      <c r="E201" s="1753"/>
      <c r="F201" s="334"/>
      <c r="G201" s="354"/>
      <c r="H201" s="98"/>
      <c r="I201" s="357"/>
      <c r="J201" s="119"/>
      <c r="K201" s="98"/>
      <c r="L201" s="357"/>
      <c r="M201" s="119"/>
      <c r="N201" s="98"/>
      <c r="O201" s="357"/>
      <c r="P201" s="119"/>
      <c r="Q201" s="690"/>
      <c r="R201" s="208"/>
      <c r="S201" s="208"/>
      <c r="T201" s="611"/>
      <c r="U201" s="263"/>
    </row>
    <row r="202" spans="1:21" ht="42" customHeight="1" x14ac:dyDescent="0.2">
      <c r="A202" s="639"/>
      <c r="B202" s="640"/>
      <c r="C202" s="662"/>
      <c r="D202" s="351" t="s">
        <v>309</v>
      </c>
      <c r="E202" s="682"/>
      <c r="F202" s="334"/>
      <c r="G202" s="937"/>
      <c r="H202" s="593"/>
      <c r="I202" s="749"/>
      <c r="J202" s="565"/>
      <c r="K202" s="98"/>
      <c r="L202" s="357"/>
      <c r="M202" s="119"/>
      <c r="N202" s="98"/>
      <c r="O202" s="357"/>
      <c r="P202" s="119"/>
      <c r="Q202" s="938" t="s">
        <v>325</v>
      </c>
      <c r="R202" s="940" t="s">
        <v>50</v>
      </c>
      <c r="S202" s="207"/>
      <c r="T202" s="711"/>
      <c r="U202" s="943"/>
    </row>
    <row r="203" spans="1:21" ht="24.75" customHeight="1" x14ac:dyDescent="0.2">
      <c r="A203" s="639"/>
      <c r="B203" s="640"/>
      <c r="C203" s="679"/>
      <c r="D203" s="1617" t="s">
        <v>278</v>
      </c>
      <c r="E203" s="637"/>
      <c r="F203" s="632"/>
      <c r="G203" s="648"/>
      <c r="H203" s="120"/>
      <c r="I203" s="865"/>
      <c r="J203" s="866"/>
      <c r="K203" s="755"/>
      <c r="L203" s="752"/>
      <c r="M203" s="177"/>
      <c r="N203" s="755"/>
      <c r="O203" s="752"/>
      <c r="P203" s="120"/>
      <c r="Q203" s="688" t="s">
        <v>232</v>
      </c>
      <c r="R203" s="464">
        <v>5</v>
      </c>
      <c r="S203" s="464">
        <v>5</v>
      </c>
      <c r="T203" s="801">
        <v>5</v>
      </c>
      <c r="U203" s="944"/>
    </row>
    <row r="204" spans="1:21" ht="27.75" customHeight="1" x14ac:dyDescent="0.2">
      <c r="A204" s="639"/>
      <c r="B204" s="640"/>
      <c r="C204" s="679"/>
      <c r="D204" s="1617"/>
      <c r="E204" s="637"/>
      <c r="F204" s="632"/>
      <c r="G204" s="1060"/>
      <c r="H204" s="120"/>
      <c r="I204" s="865"/>
      <c r="J204" s="866"/>
      <c r="K204" s="755"/>
      <c r="L204" s="752"/>
      <c r="M204" s="177"/>
      <c r="N204" s="120"/>
      <c r="O204" s="752"/>
      <c r="P204" s="120"/>
      <c r="Q204" s="1065" t="s">
        <v>233</v>
      </c>
      <c r="R204" s="241">
        <v>5</v>
      </c>
      <c r="S204" s="241">
        <v>8</v>
      </c>
      <c r="T204" s="724">
        <v>13</v>
      </c>
      <c r="U204" s="1062"/>
    </row>
    <row r="205" spans="1:21" ht="96" customHeight="1" x14ac:dyDescent="0.2">
      <c r="A205" s="31"/>
      <c r="B205" s="646"/>
      <c r="C205" s="517"/>
      <c r="D205" s="1816"/>
      <c r="E205" s="682"/>
      <c r="F205" s="334"/>
      <c r="G205" s="249" t="s">
        <v>24</v>
      </c>
      <c r="H205" s="1073"/>
      <c r="I205" s="1074">
        <v>9</v>
      </c>
      <c r="J205" s="1075">
        <f>I205-H205</f>
        <v>9</v>
      </c>
      <c r="K205" s="130"/>
      <c r="L205" s="1076"/>
      <c r="M205" s="1073"/>
      <c r="N205" s="130"/>
      <c r="O205" s="1076"/>
      <c r="P205" s="1073"/>
      <c r="Q205" s="38" t="s">
        <v>350</v>
      </c>
      <c r="R205" s="1029">
        <v>100</v>
      </c>
      <c r="S205" s="1029">
        <v>100</v>
      </c>
      <c r="T205" s="1048">
        <v>100</v>
      </c>
      <c r="U205" s="1061" t="s">
        <v>362</v>
      </c>
    </row>
    <row r="206" spans="1:21" ht="31.5" customHeight="1" x14ac:dyDescent="0.2">
      <c r="A206" s="31"/>
      <c r="B206" s="646"/>
      <c r="C206" s="517"/>
      <c r="D206" s="1620"/>
      <c r="E206" s="682"/>
      <c r="F206" s="334"/>
      <c r="G206" s="648"/>
      <c r="H206" s="755"/>
      <c r="I206" s="752"/>
      <c r="J206" s="120"/>
      <c r="K206" s="755"/>
      <c r="L206" s="752"/>
      <c r="M206" s="177"/>
      <c r="N206" s="755"/>
      <c r="O206" s="752"/>
      <c r="P206" s="120"/>
      <c r="Q206" s="1066" t="s">
        <v>234</v>
      </c>
      <c r="R206" s="220"/>
      <c r="S206" s="220">
        <v>5</v>
      </c>
      <c r="T206" s="467">
        <v>5</v>
      </c>
      <c r="U206" s="944"/>
    </row>
    <row r="207" spans="1:21" s="61" customFormat="1" ht="41.25" customHeight="1" x14ac:dyDescent="0.2">
      <c r="A207" s="484"/>
      <c r="B207" s="485"/>
      <c r="C207" s="542"/>
      <c r="D207" s="199"/>
      <c r="E207" s="489"/>
      <c r="F207" s="487"/>
      <c r="G207" s="624"/>
      <c r="H207" s="625"/>
      <c r="I207" s="790"/>
      <c r="J207" s="785"/>
      <c r="K207" s="625"/>
      <c r="L207" s="790"/>
      <c r="M207" s="699"/>
      <c r="N207" s="781"/>
      <c r="O207" s="792"/>
      <c r="P207" s="615"/>
      <c r="Q207" s="172" t="s">
        <v>251</v>
      </c>
      <c r="R207" s="512"/>
      <c r="S207" s="206">
        <v>1</v>
      </c>
      <c r="T207" s="196"/>
      <c r="U207" s="313"/>
    </row>
    <row r="208" spans="1:21" ht="15" customHeight="1" thickBot="1" x14ac:dyDescent="0.25">
      <c r="A208" s="32"/>
      <c r="B208" s="658"/>
      <c r="C208" s="40"/>
      <c r="D208" s="532"/>
      <c r="E208" s="533"/>
      <c r="F208" s="272"/>
      <c r="G208" s="42" t="s">
        <v>6</v>
      </c>
      <c r="H208" s="209">
        <f>SUM(H190:H207)</f>
        <v>1582.1</v>
      </c>
      <c r="I208" s="574">
        <f>SUM(I190:I207)</f>
        <v>1591.1</v>
      </c>
      <c r="J208" s="574">
        <f>SUM(J190:J207)</f>
        <v>9</v>
      </c>
      <c r="K208" s="209">
        <f>SUM(K190:K207)</f>
        <v>980</v>
      </c>
      <c r="L208" s="574">
        <f>SUM(L190:L207)</f>
        <v>980</v>
      </c>
      <c r="M208" s="573"/>
      <c r="N208" s="209">
        <f>SUM(N190:N207)</f>
        <v>945</v>
      </c>
      <c r="O208" s="574">
        <f>SUM(O190:O207)</f>
        <v>945</v>
      </c>
      <c r="P208" s="490"/>
      <c r="Q208" s="274"/>
      <c r="R208" s="51"/>
      <c r="S208" s="51"/>
      <c r="T208" s="712"/>
      <c r="U208" s="556"/>
    </row>
    <row r="209" spans="1:21" ht="27.75" customHeight="1" x14ac:dyDescent="0.2">
      <c r="A209" s="35" t="s">
        <v>5</v>
      </c>
      <c r="B209" s="280" t="s">
        <v>26</v>
      </c>
      <c r="C209" s="281" t="s">
        <v>7</v>
      </c>
      <c r="D209" s="681" t="s">
        <v>192</v>
      </c>
      <c r="E209" s="135"/>
      <c r="F209" s="655" t="s">
        <v>50</v>
      </c>
      <c r="G209" s="72" t="s">
        <v>24</v>
      </c>
      <c r="H209" s="116">
        <v>10.7</v>
      </c>
      <c r="I209" s="171">
        <v>10.7</v>
      </c>
      <c r="J209" s="118"/>
      <c r="K209" s="116">
        <v>3.6</v>
      </c>
      <c r="L209" s="171">
        <v>3.6</v>
      </c>
      <c r="M209" s="118"/>
      <c r="N209" s="116"/>
      <c r="O209" s="171"/>
      <c r="P209" s="118"/>
      <c r="Q209" s="621"/>
      <c r="R209" s="282"/>
      <c r="S209" s="282"/>
      <c r="T209" s="802"/>
      <c r="U209" s="805"/>
    </row>
    <row r="210" spans="1:21" ht="53.25" customHeight="1" x14ac:dyDescent="0.2">
      <c r="A210" s="335"/>
      <c r="B210" s="326"/>
      <c r="C210" s="662"/>
      <c r="D210" s="351" t="s">
        <v>186</v>
      </c>
      <c r="E210" s="682"/>
      <c r="F210" s="632"/>
      <c r="G210" s="648"/>
      <c r="H210" s="317"/>
      <c r="I210" s="752"/>
      <c r="J210" s="120"/>
      <c r="K210" s="317"/>
      <c r="L210" s="752"/>
      <c r="M210" s="120"/>
      <c r="N210" s="755"/>
      <c r="O210" s="752"/>
      <c r="P210" s="120"/>
      <c r="Q210" s="664" t="s">
        <v>171</v>
      </c>
      <c r="R210" s="488">
        <v>1</v>
      </c>
      <c r="S210" s="488"/>
      <c r="T210" s="803"/>
      <c r="U210" s="313"/>
    </row>
    <row r="211" spans="1:21" ht="40.5" customHeight="1" x14ac:dyDescent="0.2">
      <c r="A211" s="335"/>
      <c r="B211" s="326"/>
      <c r="C211" s="662"/>
      <c r="D211" s="351" t="s">
        <v>187</v>
      </c>
      <c r="E211" s="682"/>
      <c r="F211" s="632"/>
      <c r="G211" s="648"/>
      <c r="H211" s="317"/>
      <c r="I211" s="752"/>
      <c r="J211" s="120"/>
      <c r="K211" s="317"/>
      <c r="L211" s="752"/>
      <c r="M211" s="120"/>
      <c r="N211" s="755"/>
      <c r="O211" s="752"/>
      <c r="P211" s="120"/>
      <c r="Q211" s="546" t="s">
        <v>171</v>
      </c>
      <c r="R211" s="488"/>
      <c r="S211" s="488">
        <v>1</v>
      </c>
      <c r="T211" s="803"/>
      <c r="U211" s="313"/>
    </row>
    <row r="212" spans="1:21" ht="38.25" customHeight="1" x14ac:dyDescent="0.2">
      <c r="A212" s="335"/>
      <c r="B212" s="326"/>
      <c r="C212" s="662"/>
      <c r="D212" s="665" t="s">
        <v>220</v>
      </c>
      <c r="E212" s="137"/>
      <c r="F212" s="632"/>
      <c r="G212" s="354"/>
      <c r="H212" s="98"/>
      <c r="I212" s="357"/>
      <c r="J212" s="119"/>
      <c r="K212" s="98"/>
      <c r="L212" s="357"/>
      <c r="M212" s="119"/>
      <c r="N212" s="98"/>
      <c r="O212" s="357"/>
      <c r="P212" s="178"/>
      <c r="Q212" s="663" t="s">
        <v>171</v>
      </c>
      <c r="R212" s="206">
        <v>1</v>
      </c>
      <c r="S212" s="206"/>
      <c r="T212" s="804"/>
      <c r="U212" s="764"/>
    </row>
    <row r="213" spans="1:21" ht="15" customHeight="1" thickBot="1" x14ac:dyDescent="0.25">
      <c r="A213" s="32"/>
      <c r="B213" s="658"/>
      <c r="C213" s="40"/>
      <c r="D213" s="532"/>
      <c r="E213" s="533"/>
      <c r="F213" s="272"/>
      <c r="G213" s="42" t="s">
        <v>6</v>
      </c>
      <c r="H213" s="209">
        <f>SUM(H209:H212)</f>
        <v>10.7</v>
      </c>
      <c r="I213" s="574">
        <f>SUM(I209:I212)</f>
        <v>10.7</v>
      </c>
      <c r="J213" s="573"/>
      <c r="K213" s="209">
        <f t="shared" ref="K213:N213" si="16">SUM(K209:K212)</f>
        <v>3.6</v>
      </c>
      <c r="L213" s="574">
        <f t="shared" ref="L213" si="17">SUM(L209:L212)</f>
        <v>3.6</v>
      </c>
      <c r="M213" s="573"/>
      <c r="N213" s="209">
        <f t="shared" si="16"/>
        <v>0</v>
      </c>
      <c r="O213" s="574">
        <f t="shared" ref="O213" si="18">SUM(O209:O212)</f>
        <v>0</v>
      </c>
      <c r="P213" s="490"/>
      <c r="Q213" s="274"/>
      <c r="R213" s="51"/>
      <c r="S213" s="51"/>
      <c r="T213" s="712"/>
      <c r="U213" s="556"/>
    </row>
    <row r="214" spans="1:21" ht="13.5" thickBot="1" x14ac:dyDescent="0.25">
      <c r="A214" s="33" t="s">
        <v>5</v>
      </c>
      <c r="B214" s="8" t="s">
        <v>26</v>
      </c>
      <c r="C214" s="1754" t="s">
        <v>8</v>
      </c>
      <c r="D214" s="1755"/>
      <c r="E214" s="1755"/>
      <c r="F214" s="1755"/>
      <c r="G214" s="1756"/>
      <c r="H214" s="210">
        <f>H213+H208</f>
        <v>1592.8</v>
      </c>
      <c r="I214" s="307">
        <f>I213+I208</f>
        <v>1601.8</v>
      </c>
      <c r="J214" s="307">
        <f>J213+J208</f>
        <v>9</v>
      </c>
      <c r="K214" s="210">
        <f t="shared" ref="K214:N214" si="19">K213+K208</f>
        <v>983.6</v>
      </c>
      <c r="L214" s="307">
        <f t="shared" ref="L214" si="20">L213+L208</f>
        <v>983.6</v>
      </c>
      <c r="M214" s="491"/>
      <c r="N214" s="210">
        <f t="shared" si="19"/>
        <v>945</v>
      </c>
      <c r="O214" s="307">
        <f t="shared" ref="O214" si="21">O213+O208</f>
        <v>945</v>
      </c>
      <c r="P214" s="125"/>
      <c r="Q214" s="325"/>
      <c r="R214" s="325"/>
      <c r="S214" s="325"/>
      <c r="T214" s="325"/>
      <c r="U214" s="277"/>
    </row>
    <row r="215" spans="1:21" ht="16.5" customHeight="1" thickBot="1" x14ac:dyDescent="0.25">
      <c r="A215" s="33" t="s">
        <v>5</v>
      </c>
      <c r="B215" s="8" t="s">
        <v>34</v>
      </c>
      <c r="C215" s="1765" t="s">
        <v>43</v>
      </c>
      <c r="D215" s="1766"/>
      <c r="E215" s="1766"/>
      <c r="F215" s="1766"/>
      <c r="G215" s="1766"/>
      <c r="H215" s="1768"/>
      <c r="I215" s="1768"/>
      <c r="J215" s="1768"/>
      <c r="K215" s="1768"/>
      <c r="L215" s="1768"/>
      <c r="M215" s="1768"/>
      <c r="N215" s="1768"/>
      <c r="O215" s="1768"/>
      <c r="P215" s="1768"/>
      <c r="Q215" s="216"/>
      <c r="R215" s="328"/>
      <c r="S215" s="328"/>
      <c r="T215" s="328"/>
      <c r="U215" s="279"/>
    </row>
    <row r="216" spans="1:21" s="61" customFormat="1" ht="39.75" customHeight="1" x14ac:dyDescent="0.2">
      <c r="A216" s="1817" t="s">
        <v>5</v>
      </c>
      <c r="B216" s="1819" t="s">
        <v>34</v>
      </c>
      <c r="C216" s="1821" t="s">
        <v>5</v>
      </c>
      <c r="D216" s="1823" t="s">
        <v>260</v>
      </c>
      <c r="E216" s="1825" t="s">
        <v>47</v>
      </c>
      <c r="F216" s="655" t="s">
        <v>27</v>
      </c>
      <c r="G216" s="256" t="s">
        <v>24</v>
      </c>
      <c r="H216" s="257">
        <v>200</v>
      </c>
      <c r="I216" s="315">
        <v>200</v>
      </c>
      <c r="J216" s="810"/>
      <c r="K216" s="257">
        <v>200</v>
      </c>
      <c r="L216" s="315">
        <v>200</v>
      </c>
      <c r="M216" s="810"/>
      <c r="N216" s="257">
        <v>200</v>
      </c>
      <c r="O216" s="315">
        <v>200</v>
      </c>
      <c r="P216" s="810"/>
      <c r="Q216" s="817" t="s">
        <v>349</v>
      </c>
      <c r="R216" s="568">
        <v>1</v>
      </c>
      <c r="S216" s="569"/>
      <c r="T216" s="569"/>
      <c r="U216" s="1026"/>
    </row>
    <row r="217" spans="1:21" s="61" customFormat="1" ht="27.75" customHeight="1" x14ac:dyDescent="0.2">
      <c r="A217" s="1818"/>
      <c r="B217" s="1820"/>
      <c r="C217" s="1822"/>
      <c r="D217" s="1824"/>
      <c r="E217" s="1826"/>
      <c r="F217" s="642"/>
      <c r="G217" s="547" t="s">
        <v>58</v>
      </c>
      <c r="H217" s="808">
        <v>115.8</v>
      </c>
      <c r="I217" s="814">
        <v>115.8</v>
      </c>
      <c r="J217" s="811"/>
      <c r="K217" s="808"/>
      <c r="L217" s="814"/>
      <c r="M217" s="811"/>
      <c r="N217" s="808"/>
      <c r="O217" s="814"/>
      <c r="P217" s="809"/>
      <c r="Q217" s="820" t="s">
        <v>259</v>
      </c>
      <c r="R217" s="627">
        <v>1155</v>
      </c>
      <c r="S217" s="628">
        <v>1155</v>
      </c>
      <c r="T217" s="628">
        <v>1155</v>
      </c>
      <c r="U217" s="763"/>
    </row>
    <row r="218" spans="1:21" s="61" customFormat="1" ht="15" customHeight="1" thickBot="1" x14ac:dyDescent="0.25">
      <c r="A218" s="436"/>
      <c r="B218" s="437"/>
      <c r="C218" s="441"/>
      <c r="D218" s="439"/>
      <c r="E218" s="440"/>
      <c r="F218" s="369"/>
      <c r="G218" s="62" t="s">
        <v>6</v>
      </c>
      <c r="H218" s="224">
        <f>SUM(H216:H217)</f>
        <v>315.8</v>
      </c>
      <c r="I218" s="225">
        <f>SUM(I216:I217)</f>
        <v>315.8</v>
      </c>
      <c r="J218" s="812"/>
      <c r="K218" s="224">
        <f>SUM(K216:K217)</f>
        <v>200</v>
      </c>
      <c r="L218" s="225">
        <f>SUM(L216:L217)</f>
        <v>200</v>
      </c>
      <c r="M218" s="813"/>
      <c r="N218" s="224">
        <f>SUM(N216:N217)</f>
        <v>200</v>
      </c>
      <c r="O218" s="225">
        <f>SUM(O216:O217)</f>
        <v>200</v>
      </c>
      <c r="P218" s="812"/>
      <c r="Q218" s="818"/>
      <c r="R218" s="259"/>
      <c r="S218" s="260"/>
      <c r="T218" s="260"/>
      <c r="U218" s="1027"/>
    </row>
    <row r="219" spans="1:21" ht="14.25" customHeight="1" x14ac:dyDescent="0.2">
      <c r="A219" s="639" t="s">
        <v>5</v>
      </c>
      <c r="B219" s="640" t="s">
        <v>34</v>
      </c>
      <c r="C219" s="679" t="s">
        <v>7</v>
      </c>
      <c r="D219" s="1763" t="s">
        <v>141</v>
      </c>
      <c r="E219" s="137" t="s">
        <v>47</v>
      </c>
      <c r="F219" s="632" t="s">
        <v>46</v>
      </c>
      <c r="G219" s="648" t="s">
        <v>24</v>
      </c>
      <c r="H219" s="755">
        <v>145</v>
      </c>
      <c r="I219" s="752">
        <v>145</v>
      </c>
      <c r="J219" s="120"/>
      <c r="K219" s="755"/>
      <c r="L219" s="752"/>
      <c r="M219" s="177"/>
      <c r="N219" s="149">
        <v>800</v>
      </c>
      <c r="O219" s="189">
        <v>800</v>
      </c>
      <c r="P219" s="227"/>
      <c r="Q219" s="819" t="s">
        <v>98</v>
      </c>
      <c r="R219" s="309"/>
      <c r="S219" s="310" t="s">
        <v>50</v>
      </c>
      <c r="T219" s="806"/>
      <c r="U219" s="313"/>
    </row>
    <row r="220" spans="1:21" ht="18.75" customHeight="1" x14ac:dyDescent="0.2">
      <c r="A220" s="31"/>
      <c r="B220" s="640"/>
      <c r="C220" s="82"/>
      <c r="D220" s="1763"/>
      <c r="E220" s="137"/>
      <c r="F220" s="632"/>
      <c r="G220" s="648"/>
      <c r="H220" s="120"/>
      <c r="I220" s="752"/>
      <c r="J220" s="120"/>
      <c r="K220" s="755"/>
      <c r="L220" s="752"/>
      <c r="M220" s="177"/>
      <c r="N220" s="755"/>
      <c r="O220" s="752"/>
      <c r="P220" s="177"/>
      <c r="Q220" s="1739" t="s">
        <v>149</v>
      </c>
      <c r="R220" s="206"/>
      <c r="S220" s="312"/>
      <c r="T220" s="196">
        <v>15</v>
      </c>
      <c r="U220" s="313"/>
    </row>
    <row r="221" spans="1:21" ht="12.75" customHeight="1" x14ac:dyDescent="0.2">
      <c r="A221" s="31"/>
      <c r="B221" s="640"/>
      <c r="C221" s="82"/>
      <c r="D221" s="1763"/>
      <c r="E221" s="137"/>
      <c r="F221" s="632"/>
      <c r="G221" s="354"/>
      <c r="H221" s="98"/>
      <c r="I221" s="357"/>
      <c r="J221" s="119"/>
      <c r="K221" s="98"/>
      <c r="L221" s="357"/>
      <c r="M221" s="178"/>
      <c r="N221" s="98"/>
      <c r="O221" s="357"/>
      <c r="P221" s="358"/>
      <c r="Q221" s="1810"/>
      <c r="R221" s="206"/>
      <c r="S221" s="312"/>
      <c r="T221" s="196"/>
      <c r="U221" s="313"/>
    </row>
    <row r="222" spans="1:21" s="61" customFormat="1" ht="17.25" customHeight="1" thickBot="1" x14ac:dyDescent="0.25">
      <c r="A222" s="32"/>
      <c r="B222" s="73"/>
      <c r="C222" s="272"/>
      <c r="D222" s="1827"/>
      <c r="E222" s="136"/>
      <c r="F222" s="614"/>
      <c r="G222" s="75" t="s">
        <v>6</v>
      </c>
      <c r="H222" s="224">
        <f>SUM(H219:H221)</f>
        <v>145</v>
      </c>
      <c r="I222" s="225">
        <f>SUM(I219:I221)</f>
        <v>145</v>
      </c>
      <c r="J222" s="813"/>
      <c r="K222" s="224">
        <f t="shared" ref="K222:N222" si="22">K219</f>
        <v>0</v>
      </c>
      <c r="L222" s="225">
        <f t="shared" ref="L222" si="23">L219</f>
        <v>0</v>
      </c>
      <c r="M222" s="812"/>
      <c r="N222" s="224">
        <f t="shared" si="22"/>
        <v>800</v>
      </c>
      <c r="O222" s="225">
        <f t="shared" ref="O222" si="24">O219</f>
        <v>800</v>
      </c>
      <c r="P222" s="812"/>
      <c r="Q222" s="818"/>
      <c r="R222" s="222"/>
      <c r="S222" s="314"/>
      <c r="T222" s="807"/>
      <c r="U222" s="223"/>
    </row>
    <row r="223" spans="1:21" ht="13.5" thickBot="1" x14ac:dyDescent="0.25">
      <c r="A223" s="657" t="s">
        <v>5</v>
      </c>
      <c r="B223" s="327" t="s">
        <v>34</v>
      </c>
      <c r="C223" s="1828" t="s">
        <v>8</v>
      </c>
      <c r="D223" s="1829"/>
      <c r="E223" s="1829"/>
      <c r="F223" s="1829"/>
      <c r="G223" s="1830"/>
      <c r="H223" s="210">
        <f>H222+H218</f>
        <v>460.8</v>
      </c>
      <c r="I223" s="307">
        <f>I222+I218</f>
        <v>460.8</v>
      </c>
      <c r="J223" s="307">
        <f>J222+J218</f>
        <v>0</v>
      </c>
      <c r="K223" s="210">
        <f t="shared" ref="K223:N223" si="25">K222+K218</f>
        <v>200</v>
      </c>
      <c r="L223" s="307">
        <f t="shared" ref="L223:M223" si="26">L222+L218</f>
        <v>200</v>
      </c>
      <c r="M223" s="307">
        <f t="shared" si="26"/>
        <v>0</v>
      </c>
      <c r="N223" s="210">
        <f t="shared" si="25"/>
        <v>1000</v>
      </c>
      <c r="O223" s="307">
        <f t="shared" ref="O223:P223" si="27">O222+O218</f>
        <v>1000</v>
      </c>
      <c r="P223" s="307">
        <f t="shared" si="27"/>
        <v>0</v>
      </c>
      <c r="Q223" s="325"/>
      <c r="R223" s="325"/>
      <c r="S223" s="325"/>
      <c r="T223" s="325"/>
      <c r="U223" s="277"/>
    </row>
    <row r="224" spans="1:21" ht="14.25" customHeight="1" thickBot="1" x14ac:dyDescent="0.25">
      <c r="A224" s="34" t="s">
        <v>5</v>
      </c>
      <c r="B224" s="1831" t="s">
        <v>9</v>
      </c>
      <c r="C224" s="1832"/>
      <c r="D224" s="1832"/>
      <c r="E224" s="1832"/>
      <c r="F224" s="1832"/>
      <c r="G224" s="1833"/>
      <c r="H224" s="131">
        <f t="shared" ref="H224:P224" si="28">H223+H214+H188+H168</f>
        <v>13584.1</v>
      </c>
      <c r="I224" s="815">
        <f t="shared" si="28"/>
        <v>13434.7</v>
      </c>
      <c r="J224" s="815">
        <f t="shared" si="28"/>
        <v>-149.4</v>
      </c>
      <c r="K224" s="131">
        <f t="shared" si="28"/>
        <v>20044.599999999999</v>
      </c>
      <c r="L224" s="815">
        <f t="shared" si="28"/>
        <v>20193.3</v>
      </c>
      <c r="M224" s="815">
        <f t="shared" si="28"/>
        <v>148.69999999999999</v>
      </c>
      <c r="N224" s="131">
        <f t="shared" si="28"/>
        <v>17470.3</v>
      </c>
      <c r="O224" s="815">
        <f t="shared" si="28"/>
        <v>17470.3</v>
      </c>
      <c r="P224" s="815">
        <f t="shared" si="28"/>
        <v>0</v>
      </c>
      <c r="Q224" s="1811"/>
      <c r="R224" s="1812"/>
      <c r="S224" s="1812"/>
      <c r="T224" s="1812"/>
      <c r="U224" s="1813"/>
    </row>
    <row r="225" spans="1:21" ht="14.25" customHeight="1" thickBot="1" x14ac:dyDescent="0.25">
      <c r="A225" s="25" t="s">
        <v>36</v>
      </c>
      <c r="B225" s="1834" t="s">
        <v>56</v>
      </c>
      <c r="C225" s="1835"/>
      <c r="D225" s="1835"/>
      <c r="E225" s="1835"/>
      <c r="F225" s="1835"/>
      <c r="G225" s="1836"/>
      <c r="H225" s="132">
        <f t="shared" ref="H225:N225" si="29">SUM(H224)</f>
        <v>13584.1</v>
      </c>
      <c r="I225" s="816">
        <f t="shared" ref="I225:J225" si="30">SUM(I224)</f>
        <v>13434.7</v>
      </c>
      <c r="J225" s="816">
        <f t="shared" si="30"/>
        <v>-149.4</v>
      </c>
      <c r="K225" s="132">
        <f t="shared" si="29"/>
        <v>20044.599999999999</v>
      </c>
      <c r="L225" s="816">
        <f t="shared" ref="L225:M225" si="31">SUM(L224)</f>
        <v>20193.3</v>
      </c>
      <c r="M225" s="816">
        <f t="shared" si="31"/>
        <v>148.69999999999999</v>
      </c>
      <c r="N225" s="132">
        <f t="shared" si="29"/>
        <v>17470.3</v>
      </c>
      <c r="O225" s="816">
        <f t="shared" ref="O225:P225" si="32">SUM(O224)</f>
        <v>17470.3</v>
      </c>
      <c r="P225" s="816">
        <f t="shared" si="32"/>
        <v>0</v>
      </c>
      <c r="Q225" s="1814"/>
      <c r="R225" s="1814"/>
      <c r="S225" s="1814"/>
      <c r="T225" s="1814"/>
      <c r="U225" s="1815"/>
    </row>
    <row r="226" spans="1:21" s="12" customFormat="1" ht="17.25" customHeight="1" x14ac:dyDescent="0.2">
      <c r="A226" s="670"/>
      <c r="B226" s="671"/>
      <c r="C226" s="526"/>
      <c r="D226" s="671"/>
      <c r="E226" s="671"/>
      <c r="F226" s="671"/>
      <c r="G226" s="671"/>
      <c r="H226" s="386"/>
      <c r="I226" s="386"/>
      <c r="J226" s="386"/>
      <c r="K226" s="671"/>
      <c r="L226" s="671"/>
      <c r="M226" s="671"/>
      <c r="N226" s="671"/>
      <c r="O226" s="671"/>
      <c r="P226" s="671"/>
      <c r="Q226" s="671"/>
      <c r="R226" s="670"/>
      <c r="S226" s="670"/>
      <c r="T226" s="670"/>
      <c r="U226" s="670"/>
    </row>
    <row r="227" spans="1:21" s="13" customFormat="1" ht="14.25" customHeight="1" thickBot="1" x14ac:dyDescent="0.25">
      <c r="A227" s="1794" t="s">
        <v>13</v>
      </c>
      <c r="B227" s="1794"/>
      <c r="C227" s="1794"/>
      <c r="D227" s="1794"/>
      <c r="E227" s="1794"/>
      <c r="F227" s="1794"/>
      <c r="G227" s="1794"/>
      <c r="H227" s="672"/>
      <c r="I227" s="672"/>
      <c r="J227" s="672"/>
      <c r="K227" s="672"/>
      <c r="L227" s="672"/>
      <c r="M227" s="672"/>
      <c r="N227" s="672"/>
      <c r="O227" s="672"/>
      <c r="P227" s="672"/>
      <c r="Q227" s="20"/>
      <c r="R227" s="20"/>
      <c r="S227" s="20"/>
      <c r="T227" s="20"/>
      <c r="U227" s="20"/>
    </row>
    <row r="228" spans="1:21" ht="66" customHeight="1" thickBot="1" x14ac:dyDescent="0.25">
      <c r="A228" s="1795" t="s">
        <v>10</v>
      </c>
      <c r="B228" s="1796"/>
      <c r="C228" s="1796"/>
      <c r="D228" s="1796"/>
      <c r="E228" s="1796"/>
      <c r="F228" s="1796"/>
      <c r="G228" s="1797"/>
      <c r="H228" s="845" t="s">
        <v>316</v>
      </c>
      <c r="I228" s="846" t="s">
        <v>323</v>
      </c>
      <c r="J228" s="847" t="s">
        <v>318</v>
      </c>
      <c r="K228" s="848" t="s">
        <v>120</v>
      </c>
      <c r="L228" s="846" t="s">
        <v>319</v>
      </c>
      <c r="M228" s="847" t="s">
        <v>318</v>
      </c>
      <c r="N228" s="848" t="s">
        <v>193</v>
      </c>
      <c r="O228" s="849" t="s">
        <v>320</v>
      </c>
      <c r="P228" s="847" t="s">
        <v>318</v>
      </c>
      <c r="Q228" s="2"/>
      <c r="R228" s="2"/>
      <c r="S228" s="2"/>
      <c r="T228" s="2"/>
      <c r="U228" s="2"/>
    </row>
    <row r="229" spans="1:21" ht="14.25" customHeight="1" x14ac:dyDescent="0.2">
      <c r="A229" s="1798" t="s">
        <v>14</v>
      </c>
      <c r="B229" s="1799"/>
      <c r="C229" s="1799"/>
      <c r="D229" s="1799"/>
      <c r="E229" s="1799"/>
      <c r="F229" s="1799"/>
      <c r="G229" s="1800"/>
      <c r="H229" s="673">
        <f>H230+H239+H240+H241+H238</f>
        <v>13174.8</v>
      </c>
      <c r="I229" s="833">
        <f>I230+I239+I240+I241+I238</f>
        <v>13025.4</v>
      </c>
      <c r="J229" s="833">
        <f>J230+J239+J240+J241+J238</f>
        <v>-149.4</v>
      </c>
      <c r="K229" s="821">
        <f>K230+K239+K240+K241+K238</f>
        <v>13222</v>
      </c>
      <c r="L229" s="840">
        <f>L230+L239+L240+L241+L238</f>
        <v>13370.7</v>
      </c>
      <c r="M229" s="828">
        <f>L229-K229</f>
        <v>148.69999999999999</v>
      </c>
      <c r="N229" s="821">
        <f ca="1">N230+N239+N240+N241+N238</f>
        <v>11063</v>
      </c>
      <c r="O229" s="840">
        <f ca="1">O230+O239+O240+O241+O238</f>
        <v>11063</v>
      </c>
      <c r="P229" s="1055">
        <f ca="1">P230+P239+P240+P241+P238</f>
        <v>0</v>
      </c>
    </row>
    <row r="230" spans="1:21" ht="14.25" customHeight="1" x14ac:dyDescent="0.2">
      <c r="A230" s="1801" t="s">
        <v>92</v>
      </c>
      <c r="B230" s="1802"/>
      <c r="C230" s="1802"/>
      <c r="D230" s="1802"/>
      <c r="E230" s="1802"/>
      <c r="F230" s="1802"/>
      <c r="G230" s="1803"/>
      <c r="H230" s="667">
        <f>SUM(H231:H237)</f>
        <v>11225.9</v>
      </c>
      <c r="I230" s="834">
        <f>SUM(I231:I237)</f>
        <v>11089.5</v>
      </c>
      <c r="J230" s="825">
        <f>I230-H230</f>
        <v>-136.4</v>
      </c>
      <c r="K230" s="687">
        <f>SUM(K231:K237)</f>
        <v>13222</v>
      </c>
      <c r="L230" s="834">
        <f>SUM(L231:L237)</f>
        <v>13358.8</v>
      </c>
      <c r="M230" s="829">
        <f>L230-K230</f>
        <v>136.80000000000001</v>
      </c>
      <c r="N230" s="953">
        <f ca="1">SUM(N231:N237)</f>
        <v>11063</v>
      </c>
      <c r="O230" s="834">
        <f ca="1">SUM(O231:O237)</f>
        <v>11063</v>
      </c>
      <c r="P230" s="1056">
        <f ca="1">SUM(P231:P237)</f>
        <v>0</v>
      </c>
      <c r="Q230" s="383"/>
    </row>
    <row r="231" spans="1:21" ht="14.25" customHeight="1" x14ac:dyDescent="0.2">
      <c r="A231" s="1804" t="s">
        <v>18</v>
      </c>
      <c r="B231" s="1805"/>
      <c r="C231" s="1805"/>
      <c r="D231" s="1805"/>
      <c r="E231" s="1805"/>
      <c r="F231" s="1805"/>
      <c r="G231" s="1806"/>
      <c r="H231" s="668">
        <f>SUMIF(G15:G225,"SB",H15:H225)</f>
        <v>11112.5</v>
      </c>
      <c r="I231" s="835">
        <f>SUMIF(G15:G225,"SB",I15:I225)</f>
        <v>10976.1</v>
      </c>
      <c r="J231" s="713">
        <f>I231-H231</f>
        <v>-136.4</v>
      </c>
      <c r="K231" s="98">
        <f>SUMIF(G12:G225,"SB",K12:K225)</f>
        <v>13188.5</v>
      </c>
      <c r="L231" s="357">
        <f>SUMIF(G12:G225,"SB",L12:L225)</f>
        <v>13325.3</v>
      </c>
      <c r="M231" s="178">
        <f>L231-K231</f>
        <v>136.80000000000001</v>
      </c>
      <c r="N231" s="912">
        <f>SUMIF(G12:G225,"SB",N12:N225)</f>
        <v>11029.5</v>
      </c>
      <c r="O231" s="910">
        <f>SUMIF(G12:G225,"SB",O12:O225)</f>
        <v>11029.5</v>
      </c>
      <c r="P231" s="178">
        <f>O231-N231</f>
        <v>0</v>
      </c>
      <c r="Q231" s="16"/>
    </row>
    <row r="232" spans="1:21" ht="27" customHeight="1" x14ac:dyDescent="0.2">
      <c r="A232" s="1785" t="s">
        <v>19</v>
      </c>
      <c r="B232" s="1786"/>
      <c r="C232" s="1786"/>
      <c r="D232" s="1786"/>
      <c r="E232" s="1786"/>
      <c r="F232" s="1786"/>
      <c r="G232" s="1787"/>
      <c r="H232" s="669">
        <f>SUMIF(G11:G225,"SB(SP)",H11:H225)</f>
        <v>33.5</v>
      </c>
      <c r="I232" s="836">
        <f>SUMIF(G11:G225,"SB(SP)",I11:I225)</f>
        <v>33.5</v>
      </c>
      <c r="J232" s="713">
        <f t="shared" ref="J232:J237" si="33">I232-H232</f>
        <v>0</v>
      </c>
      <c r="K232" s="560">
        <f>SUMIF(G18:G225,"SB(SP)",K18:K225)</f>
        <v>33.5</v>
      </c>
      <c r="L232" s="841">
        <f>SUMIF(G18:G225,"SB(SP)",L18:L225)</f>
        <v>33.5</v>
      </c>
      <c r="M232" s="178">
        <f t="shared" ref="M232:M237" si="34">L232-K232</f>
        <v>0</v>
      </c>
      <c r="N232" s="560">
        <f>SUMIF(G18:G225,"SB(SP)",N18:N225)</f>
        <v>33.5</v>
      </c>
      <c r="O232" s="841">
        <f>SUMIF(G18:G225,"SB(SP)",O18:O225)</f>
        <v>33.5</v>
      </c>
      <c r="P232" s="178">
        <f t="shared" ref="P232:P247" si="35">O232-N232</f>
        <v>0</v>
      </c>
      <c r="Q232" s="23"/>
    </row>
    <row r="233" spans="1:21" ht="12.75" customHeight="1" x14ac:dyDescent="0.2">
      <c r="A233" s="1785" t="s">
        <v>67</v>
      </c>
      <c r="B233" s="1786"/>
      <c r="C233" s="1786"/>
      <c r="D233" s="1786"/>
      <c r="E233" s="1786"/>
      <c r="F233" s="1786"/>
      <c r="G233" s="1787"/>
      <c r="H233" s="669">
        <f>SUMIF(G12:G223,"SB(VR)",H12:H223)</f>
        <v>79.900000000000006</v>
      </c>
      <c r="I233" s="836">
        <f>SUMIF(G12:G223,"SB(VR)",I12:I223)</f>
        <v>79.900000000000006</v>
      </c>
      <c r="J233" s="713">
        <f t="shared" si="33"/>
        <v>0</v>
      </c>
      <c r="K233" s="560">
        <f>SUMIF(G12:G225,"SB(VR)",K12:K225)</f>
        <v>0</v>
      </c>
      <c r="L233" s="841">
        <f>SUMIF(G12:G225,"SB(VR)",L12:L225)</f>
        <v>0</v>
      </c>
      <c r="M233" s="178">
        <f t="shared" si="34"/>
        <v>0</v>
      </c>
      <c r="N233" s="560">
        <f>SUMIF(G12:G225,"SB(VR)",N12:N225)</f>
        <v>0</v>
      </c>
      <c r="O233" s="841">
        <f>SUMIF(G12:G225,"SB(VR)",O12:O225)</f>
        <v>0</v>
      </c>
      <c r="P233" s="178">
        <f t="shared" si="35"/>
        <v>0</v>
      </c>
      <c r="Q233" s="18"/>
      <c r="R233" s="1"/>
      <c r="S233" s="1"/>
      <c r="T233" s="1"/>
      <c r="U233" s="1"/>
    </row>
    <row r="234" spans="1:21" x14ac:dyDescent="0.2">
      <c r="A234" s="1785" t="s">
        <v>20</v>
      </c>
      <c r="B234" s="1786"/>
      <c r="C234" s="1786"/>
      <c r="D234" s="1786"/>
      <c r="E234" s="1786"/>
      <c r="F234" s="1786"/>
      <c r="G234" s="1787"/>
      <c r="H234" s="669">
        <f>SUMIF(G12:G225,"SB(P)",H12:H225)</f>
        <v>0</v>
      </c>
      <c r="I234" s="836">
        <f>SUMIF(G12:G225,"SB(P)",I12:I225)</f>
        <v>0</v>
      </c>
      <c r="J234" s="713">
        <f t="shared" si="33"/>
        <v>0</v>
      </c>
      <c r="K234" s="560">
        <f>SUMIF(G12:G225,"SB(P)",K12:K225)</f>
        <v>0</v>
      </c>
      <c r="L234" s="841">
        <f>SUMIF(G12:G225,"SB(P)",L12:L225)</f>
        <v>0</v>
      </c>
      <c r="M234" s="178">
        <f t="shared" si="34"/>
        <v>0</v>
      </c>
      <c r="N234" s="560">
        <f>SUMIF(G12:G225,"SB(P)",N12:N225)</f>
        <v>0</v>
      </c>
      <c r="O234" s="841">
        <f>SUMIF(G12:G225,"SB(P)",O12:O225)</f>
        <v>0</v>
      </c>
      <c r="P234" s="178">
        <f t="shared" si="35"/>
        <v>0</v>
      </c>
      <c r="Q234" s="18"/>
      <c r="R234" s="1"/>
      <c r="S234" s="1"/>
      <c r="T234" s="1"/>
      <c r="U234" s="1"/>
    </row>
    <row r="235" spans="1:21" x14ac:dyDescent="0.2">
      <c r="A235" s="1785" t="s">
        <v>95</v>
      </c>
      <c r="B235" s="1786"/>
      <c r="C235" s="1786"/>
      <c r="D235" s="1786"/>
      <c r="E235" s="1786"/>
      <c r="F235" s="1786"/>
      <c r="G235" s="1787"/>
      <c r="H235" s="669">
        <f>SUMIF(G14:G225,"SB(VB)",H14:H225)</f>
        <v>0</v>
      </c>
      <c r="I235" s="836">
        <f>SUMIF(G14:G225,"SB(VB)",I14:I225)</f>
        <v>0</v>
      </c>
      <c r="J235" s="713">
        <f t="shared" si="33"/>
        <v>0</v>
      </c>
      <c r="K235" s="560">
        <f>SUMIF(G14:G225,"SB(VB)",K14:K225)</f>
        <v>0</v>
      </c>
      <c r="L235" s="841">
        <f>SUMIF(G14:G225,"SB(VB)",L14:L225)</f>
        <v>0</v>
      </c>
      <c r="M235" s="178">
        <f t="shared" si="34"/>
        <v>0</v>
      </c>
      <c r="N235" s="560">
        <f>SUMIF(G14:G225,"SB(VB)",N14:N225)</f>
        <v>0</v>
      </c>
      <c r="O235" s="841">
        <f>SUMIF(G14:G225,"SB(VB)",O14:O225)</f>
        <v>0</v>
      </c>
      <c r="P235" s="178">
        <f t="shared" si="35"/>
        <v>0</v>
      </c>
    </row>
    <row r="236" spans="1:21" ht="15" customHeight="1" x14ac:dyDescent="0.2">
      <c r="A236" s="1788" t="s">
        <v>199</v>
      </c>
      <c r="B236" s="1789"/>
      <c r="C236" s="1789"/>
      <c r="D236" s="1789"/>
      <c r="E236" s="1789"/>
      <c r="F236" s="1789"/>
      <c r="G236" s="1790"/>
      <c r="H236" s="669">
        <f>SUMIF(G12:G225,"SB(KPP)",H12:H225)</f>
        <v>0</v>
      </c>
      <c r="I236" s="836">
        <f>SUMIF(G12:G225,"SB(KPP)",I12:I225)</f>
        <v>0</v>
      </c>
      <c r="J236" s="713">
        <f t="shared" si="33"/>
        <v>0</v>
      </c>
      <c r="K236" s="560">
        <f>SUMIF(G12:G225,"SB(KPP)",K12:K225)</f>
        <v>0</v>
      </c>
      <c r="L236" s="841">
        <f>SUMIF(G12:G225,"SB(KPP)",L12:L225)</f>
        <v>0</v>
      </c>
      <c r="M236" s="178">
        <f t="shared" si="34"/>
        <v>0</v>
      </c>
      <c r="N236" s="560">
        <f>SUMIF(G15:G222,"SB(KPP)",N15:N222)</f>
        <v>0</v>
      </c>
      <c r="O236" s="841">
        <f>SUMIF(G15:G222,"SB(KPP)",O15:O222)</f>
        <v>0</v>
      </c>
      <c r="P236" s="178">
        <f t="shared" si="35"/>
        <v>0</v>
      </c>
      <c r="Q236" s="57"/>
      <c r="R236" s="57"/>
      <c r="S236" s="57"/>
      <c r="T236" s="57"/>
      <c r="U236" s="57"/>
    </row>
    <row r="237" spans="1:21" ht="27" customHeight="1" x14ac:dyDescent="0.2">
      <c r="A237" s="1791" t="s">
        <v>310</v>
      </c>
      <c r="B237" s="1792"/>
      <c r="C237" s="1792"/>
      <c r="D237" s="1792"/>
      <c r="E237" s="1792"/>
      <c r="F237" s="1792"/>
      <c r="G237" s="1793"/>
      <c r="H237" s="669">
        <f>SUMIF(G12:G223,"SB(ES)",H12:H223)</f>
        <v>0</v>
      </c>
      <c r="I237" s="836">
        <f>SUMIF(G12:G223,"SB(ES)",I12:I223)</f>
        <v>0</v>
      </c>
      <c r="J237" s="713">
        <f t="shared" si="33"/>
        <v>0</v>
      </c>
      <c r="K237" s="560">
        <f>SUMIF(G18:G223,"SB(ES)",K18:K223)</f>
        <v>0</v>
      </c>
      <c r="L237" s="841">
        <f>SUMIF(G18:G223,"SB(ES)",L18:L223)</f>
        <v>0</v>
      </c>
      <c r="M237" s="178">
        <f t="shared" si="34"/>
        <v>0</v>
      </c>
      <c r="N237" s="560">
        <f ca="1">SUMIF(G15:G222,"SB(ES)",N18:N223)</f>
        <v>0</v>
      </c>
      <c r="O237" s="841">
        <f ca="1">SUMIF(G15:G222,"SB(ES)",O18:O223)</f>
        <v>0</v>
      </c>
      <c r="P237" s="178">
        <f t="shared" ca="1" si="35"/>
        <v>0</v>
      </c>
    </row>
    <row r="238" spans="1:21" ht="14.25" customHeight="1" x14ac:dyDescent="0.2">
      <c r="A238" s="1776" t="s">
        <v>59</v>
      </c>
      <c r="B238" s="1777"/>
      <c r="C238" s="1777"/>
      <c r="D238" s="1777"/>
      <c r="E238" s="1777"/>
      <c r="F238" s="1777"/>
      <c r="G238" s="1778"/>
      <c r="H238" s="674">
        <f>SUMIF(G10:G222,"SB(L)",H10:H222)</f>
        <v>1502.3</v>
      </c>
      <c r="I238" s="837">
        <f>SUMIF(G14:G222,"SB(L)",I14:I222)</f>
        <v>1490.4</v>
      </c>
      <c r="J238" s="827">
        <f>I238-H238</f>
        <v>-11.9</v>
      </c>
      <c r="K238" s="822">
        <f>SUMIF(G10:G222,"SB(L)",K10:K222)</f>
        <v>0</v>
      </c>
      <c r="L238" s="842">
        <f>SUMIF(G10:G222,"SB(L)",L10:L222)</f>
        <v>11.9</v>
      </c>
      <c r="M238" s="831">
        <f>L238-K238</f>
        <v>11.9</v>
      </c>
      <c r="N238" s="947">
        <f>SUMIF(G153:G226,"SB(L)",N153:N226)</f>
        <v>0</v>
      </c>
      <c r="O238" s="837">
        <f>SUMIF(G153:G226,"SB(L)",O153:O226)</f>
        <v>0</v>
      </c>
      <c r="P238" s="831">
        <f t="shared" si="35"/>
        <v>0</v>
      </c>
    </row>
    <row r="239" spans="1:21" x14ac:dyDescent="0.2">
      <c r="A239" s="1776" t="s">
        <v>93</v>
      </c>
      <c r="B239" s="1777"/>
      <c r="C239" s="1777"/>
      <c r="D239" s="1777"/>
      <c r="E239" s="1777"/>
      <c r="F239" s="1777"/>
      <c r="G239" s="1778"/>
      <c r="H239" s="674">
        <f>SUMIF(G18:G225,"SB(SPL)",H18:H225)</f>
        <v>3.6</v>
      </c>
      <c r="I239" s="837">
        <f>SUMIF(G18:G225,"SB(SPL)",I18:I225)</f>
        <v>3.6</v>
      </c>
      <c r="J239" s="827">
        <f t="shared" ref="J239:J242" si="36">I239-H239</f>
        <v>0</v>
      </c>
      <c r="K239" s="674">
        <f>SUMIF(G18:G225,"SB(SPL)",K18:K225)</f>
        <v>0</v>
      </c>
      <c r="L239" s="837">
        <f>SUMIF(G18:G225,"SB(SPL)",L18:L225)</f>
        <v>0</v>
      </c>
      <c r="M239" s="831">
        <f t="shared" ref="M239:M243" si="37">L239-K239</f>
        <v>0</v>
      </c>
      <c r="N239" s="947">
        <f>SUMIF(G18:G225,"SB(SPL)",N18:N225)</f>
        <v>0</v>
      </c>
      <c r="O239" s="837">
        <f>SUMIF(G18:G225,"SB(SPL)",O18:O225)</f>
        <v>0</v>
      </c>
      <c r="P239" s="831">
        <f t="shared" si="35"/>
        <v>0</v>
      </c>
    </row>
    <row r="240" spans="1:21" x14ac:dyDescent="0.2">
      <c r="A240" s="1776" t="s">
        <v>96</v>
      </c>
      <c r="B240" s="1777"/>
      <c r="C240" s="1777"/>
      <c r="D240" s="1777"/>
      <c r="E240" s="1777"/>
      <c r="F240" s="1777"/>
      <c r="G240" s="1778"/>
      <c r="H240" s="674">
        <f>SUMIF(G12:G225,"SB(ŽPL)",H12:H225)</f>
        <v>443</v>
      </c>
      <c r="I240" s="837">
        <f>SUMIF(G12:G225,"SB(ŽPL)",I12:I225)</f>
        <v>441.9</v>
      </c>
      <c r="J240" s="827">
        <f t="shared" si="36"/>
        <v>-1.1000000000000001</v>
      </c>
      <c r="K240" s="674">
        <f>SUMIF(G12:G225,"SB(ŽPL)",K12:K225)</f>
        <v>0</v>
      </c>
      <c r="L240" s="837">
        <f>SUMIF(G12:G225,"SB(ŽPL)",L12:L225)</f>
        <v>0</v>
      </c>
      <c r="M240" s="831">
        <f t="shared" si="37"/>
        <v>0</v>
      </c>
      <c r="N240" s="947">
        <f>SUMIF(G12:G225,"SB(ŽPL)",N12:N225)</f>
        <v>0</v>
      </c>
      <c r="O240" s="837">
        <f>SUMIF(G12:G225,"SB(ŽPL)",O12:O225)</f>
        <v>0</v>
      </c>
      <c r="P240" s="831">
        <f t="shared" si="35"/>
        <v>0</v>
      </c>
    </row>
    <row r="241" spans="1:33" ht="12" customHeight="1" x14ac:dyDescent="0.2">
      <c r="A241" s="1776" t="s">
        <v>94</v>
      </c>
      <c r="B241" s="1777"/>
      <c r="C241" s="1777"/>
      <c r="D241" s="1777"/>
      <c r="E241" s="1777"/>
      <c r="F241" s="1777"/>
      <c r="G241" s="1778"/>
      <c r="H241" s="674">
        <f>SUMIF(G12:G225,"SB(VRL)",H12:H225)</f>
        <v>0</v>
      </c>
      <c r="I241" s="837">
        <f>SUMIF(G12:G225,"SB(VRL)",I12:I225)</f>
        <v>0</v>
      </c>
      <c r="J241" s="827">
        <f t="shared" si="36"/>
        <v>0</v>
      </c>
      <c r="K241" s="822">
        <f>SUMIF(G18:G225,"SB(VRL)",K18:K225)</f>
        <v>0</v>
      </c>
      <c r="L241" s="842">
        <f>SUMIF(G18:G225,"SB(VRL)",L18:L225)</f>
        <v>0</v>
      </c>
      <c r="M241" s="831">
        <f t="shared" si="37"/>
        <v>0</v>
      </c>
      <c r="N241" s="822">
        <f>SUMIF(G18:G225,"SB(VRL)",N18:N225)</f>
        <v>0</v>
      </c>
      <c r="O241" s="842">
        <f>SUMIF(G18:G225,"SB(VRL)",O18:O225)</f>
        <v>0</v>
      </c>
      <c r="P241" s="831">
        <f t="shared" si="35"/>
        <v>0</v>
      </c>
    </row>
    <row r="242" spans="1:33" ht="15" customHeight="1" x14ac:dyDescent="0.2">
      <c r="A242" s="1776" t="s">
        <v>241</v>
      </c>
      <c r="B242" s="1777"/>
      <c r="C242" s="1777"/>
      <c r="D242" s="1777"/>
      <c r="E242" s="1777"/>
      <c r="F242" s="1777"/>
      <c r="G242" s="1778"/>
      <c r="H242" s="674">
        <f>SUMIF(G13:G225,"KPP",H13:H225)</f>
        <v>0</v>
      </c>
      <c r="I242" s="837">
        <f>SUMIF(G13:G225,"KPP",I13:I225)</f>
        <v>0</v>
      </c>
      <c r="J242" s="827">
        <f t="shared" si="36"/>
        <v>0</v>
      </c>
      <c r="K242" s="686"/>
      <c r="L242" s="837"/>
      <c r="M242" s="831">
        <f t="shared" si="37"/>
        <v>0</v>
      </c>
      <c r="N242" s="947">
        <f>SUMIF(K15:K229,"KPP",N15:N229)</f>
        <v>0</v>
      </c>
      <c r="O242" s="837">
        <f>SUMIF(G15:G225,"KPP",O15:O225)</f>
        <v>0</v>
      </c>
      <c r="P242" s="831">
        <f t="shared" si="35"/>
        <v>0</v>
      </c>
      <c r="Q242" s="57"/>
      <c r="R242" s="57"/>
      <c r="S242" s="57"/>
      <c r="T242" s="57"/>
      <c r="U242" s="57"/>
    </row>
    <row r="243" spans="1:33" x14ac:dyDescent="0.2">
      <c r="A243" s="1779" t="s">
        <v>15</v>
      </c>
      <c r="B243" s="1780"/>
      <c r="C243" s="1780"/>
      <c r="D243" s="1780"/>
      <c r="E243" s="1780"/>
      <c r="F243" s="1780"/>
      <c r="G243" s="1781"/>
      <c r="H243" s="676">
        <f>SUM(H244:H247)</f>
        <v>409.3</v>
      </c>
      <c r="I243" s="838">
        <f>SUM(I244:I247)</f>
        <v>409.3</v>
      </c>
      <c r="J243" s="838">
        <f>SUM(J244:J247)</f>
        <v>0</v>
      </c>
      <c r="K243" s="823">
        <f>SUM(K245:K247)</f>
        <v>6822.6</v>
      </c>
      <c r="L243" s="843">
        <f>SUM(L245:L247)</f>
        <v>6822.6</v>
      </c>
      <c r="M243" s="1004">
        <f t="shared" si="37"/>
        <v>0</v>
      </c>
      <c r="N243" s="823">
        <f>SUM(N245:N247)</f>
        <v>6407.3</v>
      </c>
      <c r="O243" s="1005">
        <f>SUM(O245:O247)</f>
        <v>6407.3</v>
      </c>
      <c r="P243" s="1004">
        <f>O243-N243</f>
        <v>0</v>
      </c>
    </row>
    <row r="244" spans="1:33" x14ac:dyDescent="0.2">
      <c r="A244" s="1782" t="s">
        <v>150</v>
      </c>
      <c r="B244" s="1783"/>
      <c r="C244" s="1783"/>
      <c r="D244" s="1783"/>
      <c r="E244" s="1783"/>
      <c r="F244" s="1783"/>
      <c r="G244" s="1784"/>
      <c r="H244" s="669">
        <f>SUMIF(G15:G225,"KVJUD",H15:H225)</f>
        <v>0</v>
      </c>
      <c r="I244" s="836">
        <f>SUMIF(G15:G225,"KVJUD",I15:I225)</f>
        <v>0</v>
      </c>
      <c r="J244" s="826">
        <f>I244-H244</f>
        <v>0</v>
      </c>
      <c r="K244" s="560">
        <f>SUMIF(G15:G225,"KVJUD",K15:K225)</f>
        <v>0</v>
      </c>
      <c r="L244" s="841">
        <f>SUMIF(G15:G225,"KVJUD",L15:L225)</f>
        <v>0</v>
      </c>
      <c r="M244" s="830">
        <f>L244-K244</f>
        <v>0</v>
      </c>
      <c r="N244" s="560">
        <f>SUMIF(G15:G225,"KVJUD",N15:N225)</f>
        <v>0</v>
      </c>
      <c r="O244" s="841">
        <f>SUMIF(G15:G225,"KVJUD",O15:O225)</f>
        <v>0</v>
      </c>
      <c r="P244" s="178">
        <f t="shared" si="35"/>
        <v>0</v>
      </c>
    </row>
    <row r="245" spans="1:33" ht="13.5" customHeight="1" x14ac:dyDescent="0.2">
      <c r="A245" s="1785" t="s">
        <v>22</v>
      </c>
      <c r="B245" s="1786"/>
      <c r="C245" s="1786"/>
      <c r="D245" s="1786"/>
      <c r="E245" s="1786"/>
      <c r="F245" s="1786"/>
      <c r="G245" s="1787"/>
      <c r="H245" s="669">
        <f>SUMIF(G12:G225,"LRVB",H12:H225)</f>
        <v>32.5</v>
      </c>
      <c r="I245" s="836">
        <f>SUMIF(G12:G225,"LRVB",I12:I225)</f>
        <v>32.5</v>
      </c>
      <c r="J245" s="826">
        <f t="shared" ref="J245:J247" si="38">I245-H245</f>
        <v>0</v>
      </c>
      <c r="K245" s="560">
        <f>SUMIF(G12:G225,"LRVB",K12:K225)</f>
        <v>553.20000000000005</v>
      </c>
      <c r="L245" s="841">
        <f>SUMIF(G12:G225,"LRVB",L12:L225)</f>
        <v>553.20000000000005</v>
      </c>
      <c r="M245" s="830">
        <f t="shared" ref="M245:M247" si="39">L245-K245</f>
        <v>0</v>
      </c>
      <c r="N245" s="560">
        <f>SUMIF(G12:G225,"LRVB",N12:N225)</f>
        <v>519.6</v>
      </c>
      <c r="O245" s="841">
        <f>SUMIF(G12:G225,"LRVB",O12:O225)</f>
        <v>519.6</v>
      </c>
      <c r="P245" s="178">
        <f t="shared" si="35"/>
        <v>0</v>
      </c>
    </row>
    <row r="246" spans="1:33" ht="14.25" customHeight="1" x14ac:dyDescent="0.2">
      <c r="A246" s="1791" t="s">
        <v>21</v>
      </c>
      <c r="B246" s="1792"/>
      <c r="C246" s="1792"/>
      <c r="D246" s="1792"/>
      <c r="E246" s="1792"/>
      <c r="F246" s="1792"/>
      <c r="G246" s="1793"/>
      <c r="H246" s="669">
        <f>SUMIF(G13:G222,"ES",H13:H222)</f>
        <v>366.8</v>
      </c>
      <c r="I246" s="836">
        <f>SUMIF(G13:G222,"ES",I13:I222)</f>
        <v>366.8</v>
      </c>
      <c r="J246" s="826">
        <f t="shared" si="38"/>
        <v>0</v>
      </c>
      <c r="K246" s="685">
        <f>SUMIF(G18:G222,"ES",K18:K222)</f>
        <v>6269.4</v>
      </c>
      <c r="L246" s="836">
        <f>SUMIF(G18:G222,"ES",L18:L222)</f>
        <v>6269.4</v>
      </c>
      <c r="M246" s="830">
        <f t="shared" si="39"/>
        <v>0</v>
      </c>
      <c r="N246" s="948">
        <f>SUMIF(G18:G222,"ES",N18:N222)</f>
        <v>5887.7</v>
      </c>
      <c r="O246" s="836">
        <f>SUMIF(G18:G222,"ES",O18:O222)</f>
        <v>5887.7</v>
      </c>
      <c r="P246" s="178">
        <f t="shared" si="35"/>
        <v>0</v>
      </c>
    </row>
    <row r="247" spans="1:33" ht="15.75" customHeight="1" x14ac:dyDescent="0.2">
      <c r="A247" s="1785" t="s">
        <v>23</v>
      </c>
      <c r="B247" s="1786"/>
      <c r="C247" s="1786"/>
      <c r="D247" s="1786"/>
      <c r="E247" s="1786"/>
      <c r="F247" s="1786"/>
      <c r="G247" s="1787"/>
      <c r="H247" s="669">
        <f>SUMIF(G11:G225,"Kt",H11:H225)</f>
        <v>10</v>
      </c>
      <c r="I247" s="836">
        <f>SUMIF(G11:G225,"Kt",I11:I225)</f>
        <v>10</v>
      </c>
      <c r="J247" s="826">
        <f t="shared" si="38"/>
        <v>0</v>
      </c>
      <c r="K247" s="560">
        <f>SUMIF(G12:G225,"Kt",K12:K225)</f>
        <v>0</v>
      </c>
      <c r="L247" s="841">
        <f>SUMIF(G12:G225,"Kt",L12:L225)</f>
        <v>0</v>
      </c>
      <c r="M247" s="830">
        <f t="shared" si="39"/>
        <v>0</v>
      </c>
      <c r="N247" s="560">
        <f>SUMIF(G12:G225,"Kt",N12:N225)</f>
        <v>0</v>
      </c>
      <c r="O247" s="841">
        <f>SUMIF(G12:G225,"Kt",O12:O225)</f>
        <v>0</v>
      </c>
      <c r="P247" s="178">
        <f t="shared" si="35"/>
        <v>0</v>
      </c>
    </row>
    <row r="248" spans="1:33" ht="15" customHeight="1" thickBot="1" x14ac:dyDescent="0.25">
      <c r="A248" s="1807" t="s">
        <v>16</v>
      </c>
      <c r="B248" s="1808"/>
      <c r="C248" s="1808"/>
      <c r="D248" s="1808"/>
      <c r="E248" s="1808"/>
      <c r="F248" s="1808"/>
      <c r="G248" s="1809"/>
      <c r="H248" s="675">
        <f>SUM(H229,H243)</f>
        <v>13584.1</v>
      </c>
      <c r="I248" s="839">
        <f>SUM(I229,I243)</f>
        <v>13434.7</v>
      </c>
      <c r="J248" s="839">
        <f>SUM(J229,J243)</f>
        <v>-149.4</v>
      </c>
      <c r="K248" s="824">
        <f>SUM(K229,K243)</f>
        <v>20044.599999999999</v>
      </c>
      <c r="L248" s="844">
        <f>SUM(L229,L243)</f>
        <v>20193.3</v>
      </c>
      <c r="M248" s="832">
        <f>L248-K248</f>
        <v>148.69999999999999</v>
      </c>
      <c r="N248" s="1023">
        <f ca="1">SUM(N229,N243)</f>
        <v>17470.3</v>
      </c>
      <c r="O248" s="1024">
        <f ca="1">SUM(O229,O243)</f>
        <v>17470.3</v>
      </c>
      <c r="P248" s="1025">
        <f ca="1">O248-N248</f>
        <v>0</v>
      </c>
      <c r="R248" s="3"/>
      <c r="S248" s="3"/>
      <c r="T248" s="3"/>
      <c r="U248" s="3"/>
    </row>
    <row r="249" spans="1:33" x14ac:dyDescent="0.2">
      <c r="H249" s="12"/>
      <c r="I249" s="12"/>
      <c r="J249" s="12"/>
      <c r="K249" s="12"/>
      <c r="L249" s="12"/>
      <c r="M249" s="12"/>
      <c r="N249" s="12"/>
      <c r="O249" s="12"/>
      <c r="P249" s="12"/>
      <c r="Q249" s="12"/>
      <c r="R249" s="10"/>
      <c r="S249" s="10"/>
      <c r="T249" s="10"/>
      <c r="U249" s="10"/>
    </row>
    <row r="250" spans="1:33" x14ac:dyDescent="0.2">
      <c r="F250" s="1775" t="s">
        <v>311</v>
      </c>
      <c r="G250" s="1775"/>
      <c r="H250" s="1775"/>
      <c r="I250" s="1775"/>
      <c r="J250" s="1775"/>
      <c r="K250" s="1775"/>
      <c r="L250" s="683"/>
      <c r="M250" s="683"/>
      <c r="N250" s="12"/>
      <c r="O250" s="12"/>
      <c r="P250" s="12"/>
      <c r="Q250" s="74"/>
      <c r="R250" s="10"/>
      <c r="S250" s="10"/>
      <c r="T250" s="10"/>
      <c r="U250" s="10"/>
    </row>
    <row r="251" spans="1:33" x14ac:dyDescent="0.2">
      <c r="H251" s="91"/>
      <c r="I251" s="91"/>
      <c r="J251" s="91"/>
      <c r="K251" s="91"/>
      <c r="L251" s="91"/>
      <c r="M251" s="91"/>
      <c r="N251" s="91"/>
      <c r="O251" s="91"/>
      <c r="P251" s="91"/>
      <c r="Q251" s="12"/>
      <c r="R251" s="12"/>
      <c r="S251" s="12"/>
      <c r="T251" s="12"/>
      <c r="U251" s="12"/>
    </row>
    <row r="252" spans="1:33" x14ac:dyDescent="0.2">
      <c r="H252" s="17"/>
      <c r="I252" s="17"/>
      <c r="J252" s="17"/>
    </row>
    <row r="254" spans="1:33" s="7" customFormat="1" x14ac:dyDescent="0.2">
      <c r="C254" s="12"/>
      <c r="E254" s="15"/>
      <c r="F254" s="683"/>
      <c r="G254" s="24"/>
      <c r="H254" s="57"/>
      <c r="I254" s="57"/>
      <c r="J254" s="57"/>
      <c r="K254" s="57"/>
      <c r="L254" s="57"/>
      <c r="M254" s="57"/>
      <c r="N254" s="57"/>
      <c r="O254" s="57"/>
      <c r="P254" s="57"/>
      <c r="V254" s="3"/>
      <c r="W254" s="3"/>
      <c r="X254" s="3"/>
      <c r="Y254" s="3"/>
      <c r="Z254" s="3"/>
      <c r="AA254" s="3"/>
      <c r="AB254" s="3"/>
      <c r="AC254" s="3"/>
      <c r="AD254" s="3"/>
      <c r="AE254" s="3"/>
      <c r="AF254" s="3"/>
      <c r="AG254" s="3"/>
    </row>
  </sheetData>
  <mergeCells count="240">
    <mergeCell ref="F109:F111"/>
    <mergeCell ref="A113:A115"/>
    <mergeCell ref="B113:B115"/>
    <mergeCell ref="C113:C115"/>
    <mergeCell ref="D113:D115"/>
    <mergeCell ref="E113:E115"/>
    <mergeCell ref="F113:F115"/>
    <mergeCell ref="U113:U115"/>
    <mergeCell ref="A117:A119"/>
    <mergeCell ref="B117:B119"/>
    <mergeCell ref="C117:C119"/>
    <mergeCell ref="D117:D119"/>
    <mergeCell ref="E117:E119"/>
    <mergeCell ref="Q117:Q119"/>
    <mergeCell ref="T117:T119"/>
    <mergeCell ref="O122:O124"/>
    <mergeCell ref="A120:A121"/>
    <mergeCell ref="B120:B121"/>
    <mergeCell ref="C120:C121"/>
    <mergeCell ref="D120:D121"/>
    <mergeCell ref="E120:E121"/>
    <mergeCell ref="F120:F121"/>
    <mergeCell ref="Q122:Q123"/>
    <mergeCell ref="F117:F119"/>
    <mergeCell ref="Q61:Q63"/>
    <mergeCell ref="U94:U95"/>
    <mergeCell ref="U147:U149"/>
    <mergeCell ref="U65:U69"/>
    <mergeCell ref="Q88:Q89"/>
    <mergeCell ref="R134:R135"/>
    <mergeCell ref="S134:S135"/>
    <mergeCell ref="T134:T135"/>
    <mergeCell ref="U134:U136"/>
    <mergeCell ref="U128:U129"/>
    <mergeCell ref="U61:U63"/>
    <mergeCell ref="U105:U108"/>
    <mergeCell ref="Q96:Q97"/>
    <mergeCell ref="Q102:Q103"/>
    <mergeCell ref="U98:U103"/>
    <mergeCell ref="U109:U111"/>
    <mergeCell ref="U117:U119"/>
    <mergeCell ref="U79:U82"/>
    <mergeCell ref="R88:R89"/>
    <mergeCell ref="U87:U89"/>
    <mergeCell ref="A248:G248"/>
    <mergeCell ref="Q220:Q221"/>
    <mergeCell ref="Q224:U224"/>
    <mergeCell ref="Q225:U225"/>
    <mergeCell ref="D203:D206"/>
    <mergeCell ref="C214:G214"/>
    <mergeCell ref="A216:A217"/>
    <mergeCell ref="B216:B217"/>
    <mergeCell ref="C216:C217"/>
    <mergeCell ref="D216:D217"/>
    <mergeCell ref="E216:E217"/>
    <mergeCell ref="A232:G232"/>
    <mergeCell ref="D219:D222"/>
    <mergeCell ref="C223:G223"/>
    <mergeCell ref="B224:G224"/>
    <mergeCell ref="B225:G225"/>
    <mergeCell ref="C215:P215"/>
    <mergeCell ref="F250:K250"/>
    <mergeCell ref="I8:I10"/>
    <mergeCell ref="A239:G239"/>
    <mergeCell ref="A240:G240"/>
    <mergeCell ref="A241:G241"/>
    <mergeCell ref="A242:G242"/>
    <mergeCell ref="A243:G243"/>
    <mergeCell ref="A244:G244"/>
    <mergeCell ref="A233:G233"/>
    <mergeCell ref="A234:G234"/>
    <mergeCell ref="A235:G235"/>
    <mergeCell ref="A236:G236"/>
    <mergeCell ref="A237:G237"/>
    <mergeCell ref="A238:G238"/>
    <mergeCell ref="A227:G227"/>
    <mergeCell ref="A228:G228"/>
    <mergeCell ref="A229:G229"/>
    <mergeCell ref="A230:G230"/>
    <mergeCell ref="A231:G231"/>
    <mergeCell ref="A245:G245"/>
    <mergeCell ref="A246:G246"/>
    <mergeCell ref="A247:G247"/>
    <mergeCell ref="A200:A201"/>
    <mergeCell ref="B200:B201"/>
    <mergeCell ref="C200:C201"/>
    <mergeCell ref="D200:D201"/>
    <mergeCell ref="E200:E201"/>
    <mergeCell ref="C168:G168"/>
    <mergeCell ref="C169:U169"/>
    <mergeCell ref="D170:D171"/>
    <mergeCell ref="D172:D174"/>
    <mergeCell ref="D175:D178"/>
    <mergeCell ref="C188:G188"/>
    <mergeCell ref="C189:Q189"/>
    <mergeCell ref="D190:D192"/>
    <mergeCell ref="D193:D195"/>
    <mergeCell ref="D197:D198"/>
    <mergeCell ref="Q197:Q198"/>
    <mergeCell ref="U196:U199"/>
    <mergeCell ref="D162:D163"/>
    <mergeCell ref="E162:E163"/>
    <mergeCell ref="Q162:Q163"/>
    <mergeCell ref="D164:D166"/>
    <mergeCell ref="E164:E166"/>
    <mergeCell ref="D153:D155"/>
    <mergeCell ref="E153:E155"/>
    <mergeCell ref="F154:F157"/>
    <mergeCell ref="Q154:Q155"/>
    <mergeCell ref="D156:D158"/>
    <mergeCell ref="E156:E158"/>
    <mergeCell ref="Q157:Q158"/>
    <mergeCell ref="F158:F160"/>
    <mergeCell ref="D159:D161"/>
    <mergeCell ref="E159:E161"/>
    <mergeCell ref="Q160:Q161"/>
    <mergeCell ref="D150:D152"/>
    <mergeCell ref="E150:E152"/>
    <mergeCell ref="F150:F152"/>
    <mergeCell ref="Q137:Q138"/>
    <mergeCell ref="D140:D143"/>
    <mergeCell ref="Q140:Q143"/>
    <mergeCell ref="D144:D146"/>
    <mergeCell ref="E144:E146"/>
    <mergeCell ref="F144:F146"/>
    <mergeCell ref="Q145:Q146"/>
    <mergeCell ref="A137:A139"/>
    <mergeCell ref="B137:B139"/>
    <mergeCell ref="C137:C139"/>
    <mergeCell ref="D137:D139"/>
    <mergeCell ref="E137:E139"/>
    <mergeCell ref="F137:F139"/>
    <mergeCell ref="D122:D124"/>
    <mergeCell ref="K122:K124"/>
    <mergeCell ref="N122:N124"/>
    <mergeCell ref="A134:A136"/>
    <mergeCell ref="B134:B136"/>
    <mergeCell ref="C134:C136"/>
    <mergeCell ref="D134:D136"/>
    <mergeCell ref="E134:E136"/>
    <mergeCell ref="F134:F136"/>
    <mergeCell ref="L122:L124"/>
    <mergeCell ref="A68:A69"/>
    <mergeCell ref="B68:B69"/>
    <mergeCell ref="C68:C69"/>
    <mergeCell ref="D68:D69"/>
    <mergeCell ref="E68:E69"/>
    <mergeCell ref="A109:A111"/>
    <mergeCell ref="B109:B111"/>
    <mergeCell ref="C109:C111"/>
    <mergeCell ref="D109:D111"/>
    <mergeCell ref="E109:E111"/>
    <mergeCell ref="D96:D97"/>
    <mergeCell ref="D98:D102"/>
    <mergeCell ref="E98:E103"/>
    <mergeCell ref="D104:D107"/>
    <mergeCell ref="D79:D82"/>
    <mergeCell ref="D83:D87"/>
    <mergeCell ref="E83:E87"/>
    <mergeCell ref="D88:D89"/>
    <mergeCell ref="D90:D91"/>
    <mergeCell ref="A70:A72"/>
    <mergeCell ref="B70:B72"/>
    <mergeCell ref="C70:C72"/>
    <mergeCell ref="D24:D27"/>
    <mergeCell ref="E24:E40"/>
    <mergeCell ref="D41:D42"/>
    <mergeCell ref="E41:E44"/>
    <mergeCell ref="D43:D44"/>
    <mergeCell ref="F43:F44"/>
    <mergeCell ref="D18:D19"/>
    <mergeCell ref="D49:D50"/>
    <mergeCell ref="E49:E50"/>
    <mergeCell ref="F49:F50"/>
    <mergeCell ref="D45:D46"/>
    <mergeCell ref="E45:E46"/>
    <mergeCell ref="F45:F46"/>
    <mergeCell ref="D47:D48"/>
    <mergeCell ref="E47:E48"/>
    <mergeCell ref="F47:F48"/>
    <mergeCell ref="A4:U4"/>
    <mergeCell ref="A5:U5"/>
    <mergeCell ref="A6:U6"/>
    <mergeCell ref="Q7:U7"/>
    <mergeCell ref="A8:A10"/>
    <mergeCell ref="B8:B10"/>
    <mergeCell ref="C8:C10"/>
    <mergeCell ref="D8:D10"/>
    <mergeCell ref="E8:E10"/>
    <mergeCell ref="J8:J10"/>
    <mergeCell ref="P8:P10"/>
    <mergeCell ref="Q8:T8"/>
    <mergeCell ref="R9:T9"/>
    <mergeCell ref="O8:O10"/>
    <mergeCell ref="F8:F10"/>
    <mergeCell ref="G8:G10"/>
    <mergeCell ref="H8:H10"/>
    <mergeCell ref="K8:K10"/>
    <mergeCell ref="N8:N10"/>
    <mergeCell ref="Q9:Q10"/>
    <mergeCell ref="L8:L10"/>
    <mergeCell ref="M8:M10"/>
    <mergeCell ref="A20:A23"/>
    <mergeCell ref="B20:B23"/>
    <mergeCell ref="C20:C23"/>
    <mergeCell ref="D20:D23"/>
    <mergeCell ref="E20:E23"/>
    <mergeCell ref="A11:U11"/>
    <mergeCell ref="A12:U12"/>
    <mergeCell ref="B13:U13"/>
    <mergeCell ref="C14:U14"/>
    <mergeCell ref="D15:D17"/>
    <mergeCell ref="E15:E17"/>
    <mergeCell ref="F20:F23"/>
    <mergeCell ref="Q22:Q23"/>
    <mergeCell ref="U22:U23"/>
    <mergeCell ref="U162:U163"/>
    <mergeCell ref="F68:F69"/>
    <mergeCell ref="D51:D52"/>
    <mergeCell ref="E51:E52"/>
    <mergeCell ref="F51:F52"/>
    <mergeCell ref="D59:D60"/>
    <mergeCell ref="E59:E60"/>
    <mergeCell ref="Q59:Q60"/>
    <mergeCell ref="D61:D63"/>
    <mergeCell ref="E61:E63"/>
    <mergeCell ref="D53:D54"/>
    <mergeCell ref="E53:E54"/>
    <mergeCell ref="D55:D56"/>
    <mergeCell ref="E55:E56"/>
    <mergeCell ref="D57:D58"/>
    <mergeCell ref="E57:E58"/>
    <mergeCell ref="D70:D72"/>
    <mergeCell ref="D73:D76"/>
    <mergeCell ref="D65:D67"/>
    <mergeCell ref="E65:E67"/>
    <mergeCell ref="D147:D149"/>
    <mergeCell ref="E147:E149"/>
    <mergeCell ref="F147:F149"/>
    <mergeCell ref="Q148:Q149"/>
  </mergeCells>
  <printOptions horizontalCentered="1"/>
  <pageMargins left="0.19685039370078741" right="0.19685039370078741" top="0.39370078740157483" bottom="0" header="0" footer="0"/>
  <pageSetup paperSize="9" scale="68" orientation="landscape" r:id="rId1"/>
  <rowBreaks count="1" manualBreakCount="1">
    <brk id="97" max="2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63"/>
  <sheetViews>
    <sheetView tabSelected="1" zoomScaleNormal="100" zoomScaleSheetLayoutView="100" workbookViewId="0">
      <selection activeCell="T16" sqref="T16"/>
    </sheetView>
  </sheetViews>
  <sheetFormatPr defaultRowHeight="12.75" x14ac:dyDescent="0.2"/>
  <cols>
    <col min="1" max="3" width="2.7109375" style="7" customWidth="1"/>
    <col min="4" max="4" width="34.7109375" style="7" customWidth="1"/>
    <col min="5" max="5" width="3.5703125" style="15" customWidth="1"/>
    <col min="6" max="6" width="4.140625" style="1318" customWidth="1"/>
    <col min="7" max="7" width="8.28515625" style="24" customWidth="1"/>
    <col min="8" max="10" width="8.85546875" style="7" customWidth="1"/>
    <col min="11" max="11" width="37.7109375" style="7" customWidth="1"/>
    <col min="12" max="14" width="4.5703125" style="7" customWidth="1"/>
    <col min="15" max="16384" width="9.140625" style="3"/>
  </cols>
  <sheetData>
    <row r="1" spans="1:14" s="57" customFormat="1" ht="14.25" customHeight="1" x14ac:dyDescent="0.2">
      <c r="A1" s="321"/>
      <c r="B1" s="322"/>
      <c r="C1" s="524"/>
      <c r="E1" s="323"/>
      <c r="F1" s="53"/>
      <c r="G1" s="53"/>
      <c r="H1" s="17"/>
      <c r="I1" s="17"/>
      <c r="J1" s="1291"/>
      <c r="K1" s="1885" t="s">
        <v>454</v>
      </c>
      <c r="L1" s="1886"/>
      <c r="M1" s="1886"/>
      <c r="N1" s="1886"/>
    </row>
    <row r="2" spans="1:14" s="57" customFormat="1" ht="17.25" customHeight="1" x14ac:dyDescent="0.2">
      <c r="A2" s="321"/>
      <c r="B2" s="322"/>
      <c r="C2" s="524"/>
      <c r="E2" s="323"/>
      <c r="F2" s="53"/>
      <c r="G2" s="53"/>
      <c r="H2" s="17"/>
      <c r="I2" s="17"/>
      <c r="J2" s="1291"/>
      <c r="K2" s="1885" t="s">
        <v>455</v>
      </c>
      <c r="L2" s="1886"/>
      <c r="M2" s="1886"/>
      <c r="N2" s="1886"/>
    </row>
    <row r="3" spans="1:14" s="57" customFormat="1" ht="14.25" customHeight="1" x14ac:dyDescent="0.2">
      <c r="A3" s="321"/>
      <c r="B3" s="322"/>
      <c r="C3" s="524"/>
      <c r="E3" s="323"/>
      <c r="F3" s="53"/>
      <c r="G3" s="53"/>
      <c r="H3" s="17"/>
      <c r="I3" s="17"/>
      <c r="J3" s="1291"/>
      <c r="K3" s="1595" t="s">
        <v>453</v>
      </c>
      <c r="L3" s="1596"/>
      <c r="M3" s="1596"/>
      <c r="N3" s="1596"/>
    </row>
    <row r="4" spans="1:14" s="57" customFormat="1" ht="12" customHeight="1" x14ac:dyDescent="0.2">
      <c r="A4" s="321"/>
      <c r="B4" s="322"/>
      <c r="C4" s="524"/>
      <c r="E4" s="323"/>
      <c r="F4" s="53"/>
      <c r="G4" s="53"/>
      <c r="H4" s="17"/>
      <c r="I4" s="17"/>
      <c r="J4" s="1291"/>
      <c r="K4" s="1291"/>
      <c r="L4" s="1291"/>
      <c r="M4" s="1291"/>
    </row>
    <row r="5" spans="1:14" ht="11.25" customHeight="1" x14ac:dyDescent="0.2">
      <c r="C5" s="12"/>
      <c r="F5" s="338"/>
      <c r="J5" s="337"/>
      <c r="K5" s="337"/>
      <c r="L5" s="337"/>
      <c r="M5" s="337"/>
      <c r="N5" s="3"/>
    </row>
    <row r="6" spans="1:14" s="61" customFormat="1" ht="15.75" x14ac:dyDescent="0.2">
      <c r="A6" s="1655" t="s">
        <v>452</v>
      </c>
      <c r="B6" s="1655"/>
      <c r="C6" s="1655"/>
      <c r="D6" s="1655"/>
      <c r="E6" s="1655"/>
      <c r="F6" s="1655"/>
      <c r="G6" s="1655"/>
      <c r="H6" s="1655"/>
      <c r="I6" s="1655"/>
      <c r="J6" s="1655"/>
      <c r="K6" s="1655"/>
      <c r="L6" s="1655"/>
      <c r="M6" s="1655"/>
    </row>
    <row r="7" spans="1:14" ht="15.75" x14ac:dyDescent="0.2">
      <c r="A7" s="1656" t="s">
        <v>25</v>
      </c>
      <c r="B7" s="1656"/>
      <c r="C7" s="1656"/>
      <c r="D7" s="1656"/>
      <c r="E7" s="1656"/>
      <c r="F7" s="1656"/>
      <c r="G7" s="1656"/>
      <c r="H7" s="1656"/>
      <c r="I7" s="1656"/>
      <c r="J7" s="1656"/>
      <c r="K7" s="1656"/>
      <c r="L7" s="1656"/>
      <c r="M7" s="1656"/>
      <c r="N7" s="3"/>
    </row>
    <row r="8" spans="1:14" ht="15.75" x14ac:dyDescent="0.2">
      <c r="A8" s="1657" t="s">
        <v>114</v>
      </c>
      <c r="B8" s="1657"/>
      <c r="C8" s="1657"/>
      <c r="D8" s="1657"/>
      <c r="E8" s="1657"/>
      <c r="F8" s="1657"/>
      <c r="G8" s="1657"/>
      <c r="H8" s="1657"/>
      <c r="I8" s="1657"/>
      <c r="J8" s="1657"/>
      <c r="K8" s="1657"/>
      <c r="L8" s="1657"/>
      <c r="M8" s="1657"/>
      <c r="N8" s="3"/>
    </row>
    <row r="9" spans="1:14" ht="13.5" thickBot="1" x14ac:dyDescent="0.25">
      <c r="C9" s="12"/>
      <c r="J9" s="1658" t="s">
        <v>110</v>
      </c>
      <c r="K9" s="1658"/>
      <c r="L9" s="1658"/>
      <c r="M9" s="1659"/>
      <c r="N9" s="3"/>
    </row>
    <row r="10" spans="1:14" s="61" customFormat="1" ht="24.75" customHeight="1" x14ac:dyDescent="0.2">
      <c r="A10" s="1930" t="s">
        <v>17</v>
      </c>
      <c r="B10" s="1933" t="s">
        <v>0</v>
      </c>
      <c r="C10" s="1933" t="s">
        <v>1</v>
      </c>
      <c r="D10" s="1936" t="s">
        <v>12</v>
      </c>
      <c r="E10" s="1921" t="s">
        <v>2</v>
      </c>
      <c r="F10" s="1924" t="s">
        <v>3</v>
      </c>
      <c r="G10" s="1927" t="s">
        <v>4</v>
      </c>
      <c r="H10" s="1916" t="s">
        <v>346</v>
      </c>
      <c r="I10" s="1916" t="s">
        <v>193</v>
      </c>
      <c r="J10" s="1916" t="s">
        <v>328</v>
      </c>
      <c r="K10" s="1672" t="s">
        <v>11</v>
      </c>
      <c r="L10" s="1673"/>
      <c r="M10" s="1673"/>
      <c r="N10" s="1919"/>
    </row>
    <row r="11" spans="1:14" s="61" customFormat="1" ht="18.75" customHeight="1" x14ac:dyDescent="0.2">
      <c r="A11" s="1931"/>
      <c r="B11" s="1934"/>
      <c r="C11" s="1934"/>
      <c r="D11" s="1937"/>
      <c r="E11" s="1922"/>
      <c r="F11" s="1925"/>
      <c r="G11" s="1928"/>
      <c r="H11" s="1917"/>
      <c r="I11" s="1917"/>
      <c r="J11" s="1917"/>
      <c r="K11" s="1690" t="s">
        <v>12</v>
      </c>
      <c r="L11" s="1674" t="s">
        <v>87</v>
      </c>
      <c r="M11" s="1674"/>
      <c r="N11" s="1920"/>
    </row>
    <row r="12" spans="1:14" s="61" customFormat="1" ht="59.25" customHeight="1" thickBot="1" x14ac:dyDescent="0.25">
      <c r="A12" s="1932"/>
      <c r="B12" s="1935"/>
      <c r="C12" s="1935"/>
      <c r="D12" s="1938"/>
      <c r="E12" s="1923"/>
      <c r="F12" s="1926"/>
      <c r="G12" s="1929"/>
      <c r="H12" s="1918"/>
      <c r="I12" s="1918"/>
      <c r="J12" s="1918"/>
      <c r="K12" s="1691"/>
      <c r="L12" s="152" t="s">
        <v>121</v>
      </c>
      <c r="M12" s="152" t="s">
        <v>194</v>
      </c>
      <c r="N12" s="6" t="s">
        <v>329</v>
      </c>
    </row>
    <row r="13" spans="1:14" s="14" customFormat="1" ht="15" customHeight="1" x14ac:dyDescent="0.2">
      <c r="A13" s="1636" t="s">
        <v>61</v>
      </c>
      <c r="B13" s="1637"/>
      <c r="C13" s="1637"/>
      <c r="D13" s="1637"/>
      <c r="E13" s="1637"/>
      <c r="F13" s="1637"/>
      <c r="G13" s="1637"/>
      <c r="H13" s="1637"/>
      <c r="I13" s="1637"/>
      <c r="J13" s="1637"/>
      <c r="K13" s="1637"/>
      <c r="L13" s="1637"/>
      <c r="M13" s="1637"/>
      <c r="N13" s="1638"/>
    </row>
    <row r="14" spans="1:14" s="14" customFormat="1" ht="14.25" customHeight="1" x14ac:dyDescent="0.2">
      <c r="A14" s="1639" t="s">
        <v>45</v>
      </c>
      <c r="B14" s="1640"/>
      <c r="C14" s="1640"/>
      <c r="D14" s="1640"/>
      <c r="E14" s="1640"/>
      <c r="F14" s="1640"/>
      <c r="G14" s="1640"/>
      <c r="H14" s="1640"/>
      <c r="I14" s="1640"/>
      <c r="J14" s="1640"/>
      <c r="K14" s="1640"/>
      <c r="L14" s="1640"/>
      <c r="M14" s="1640"/>
      <c r="N14" s="1641"/>
    </row>
    <row r="15" spans="1:14" ht="15" customHeight="1" x14ac:dyDescent="0.2">
      <c r="A15" s="30" t="s">
        <v>5</v>
      </c>
      <c r="B15" s="1642" t="s">
        <v>62</v>
      </c>
      <c r="C15" s="1643"/>
      <c r="D15" s="1643"/>
      <c r="E15" s="1643"/>
      <c r="F15" s="1643"/>
      <c r="G15" s="1643"/>
      <c r="H15" s="1643"/>
      <c r="I15" s="1643"/>
      <c r="J15" s="1643"/>
      <c r="K15" s="1643"/>
      <c r="L15" s="1643"/>
      <c r="M15" s="1643"/>
      <c r="N15" s="1644"/>
    </row>
    <row r="16" spans="1:14" ht="15.75" customHeight="1" x14ac:dyDescent="0.2">
      <c r="A16" s="48" t="s">
        <v>5</v>
      </c>
      <c r="B16" s="49" t="s">
        <v>5</v>
      </c>
      <c r="C16" s="1645" t="s">
        <v>41</v>
      </c>
      <c r="D16" s="1646"/>
      <c r="E16" s="1646"/>
      <c r="F16" s="1646"/>
      <c r="G16" s="1646"/>
      <c r="H16" s="1646"/>
      <c r="I16" s="1646"/>
      <c r="J16" s="1646"/>
      <c r="K16" s="1646"/>
      <c r="L16" s="1646"/>
      <c r="M16" s="1646"/>
      <c r="N16" s="1647"/>
    </row>
    <row r="17" spans="1:14" ht="14.25" customHeight="1" x14ac:dyDescent="0.2">
      <c r="A17" s="1295" t="s">
        <v>5</v>
      </c>
      <c r="B17" s="1296" t="s">
        <v>5</v>
      </c>
      <c r="C17" s="1328" t="s">
        <v>5</v>
      </c>
      <c r="D17" s="1648" t="s">
        <v>97</v>
      </c>
      <c r="E17" s="234" t="s">
        <v>445</v>
      </c>
      <c r="F17" s="1297" t="s">
        <v>27</v>
      </c>
      <c r="G17" s="28" t="s">
        <v>24</v>
      </c>
      <c r="H17" s="318">
        <v>748.2</v>
      </c>
      <c r="I17" s="318">
        <f>1424.5-100</f>
        <v>1324.5</v>
      </c>
      <c r="J17" s="318">
        <f>1622.5-100</f>
        <v>1522.5</v>
      </c>
      <c r="K17" s="329"/>
      <c r="L17" s="173"/>
      <c r="M17" s="173"/>
      <c r="N17" s="364"/>
    </row>
    <row r="18" spans="1:14" ht="22.5" customHeight="1" x14ac:dyDescent="0.2">
      <c r="A18" s="1295"/>
      <c r="B18" s="1296"/>
      <c r="C18" s="1328"/>
      <c r="D18" s="1709"/>
      <c r="E18" s="1353"/>
      <c r="F18" s="278"/>
      <c r="G18" s="43" t="s">
        <v>58</v>
      </c>
      <c r="H18" s="318">
        <v>900.2</v>
      </c>
      <c r="I18" s="318"/>
      <c r="J18" s="318"/>
      <c r="K18" s="329"/>
      <c r="L18" s="523"/>
      <c r="M18" s="173"/>
      <c r="N18" s="550"/>
    </row>
    <row r="19" spans="1:14" ht="15" customHeight="1" x14ac:dyDescent="0.2">
      <c r="A19" s="1295"/>
      <c r="B19" s="1296"/>
      <c r="C19" s="1328"/>
      <c r="D19" s="1610" t="s">
        <v>117</v>
      </c>
      <c r="E19" s="1309"/>
      <c r="F19" s="1337"/>
      <c r="G19" s="70"/>
      <c r="H19" s="121"/>
      <c r="I19" s="146"/>
      <c r="J19" s="121"/>
      <c r="K19" s="1385" t="s">
        <v>313</v>
      </c>
      <c r="L19" s="1386">
        <v>3.9</v>
      </c>
      <c r="M19" s="1387">
        <v>3.9</v>
      </c>
      <c r="N19" s="1388">
        <v>3.9</v>
      </c>
    </row>
    <row r="20" spans="1:14" ht="15" customHeight="1" x14ac:dyDescent="0.2">
      <c r="A20" s="1295"/>
      <c r="B20" s="1296"/>
      <c r="C20" s="1328"/>
      <c r="D20" s="1617"/>
      <c r="E20" s="1309"/>
      <c r="F20" s="1337"/>
      <c r="G20" s="28"/>
      <c r="H20" s="318"/>
      <c r="I20" s="120"/>
      <c r="J20" s="318"/>
      <c r="K20" s="1343" t="s">
        <v>442</v>
      </c>
      <c r="L20" s="363">
        <v>341</v>
      </c>
      <c r="M20" s="1261">
        <v>353</v>
      </c>
      <c r="N20" s="763">
        <v>353</v>
      </c>
    </row>
    <row r="21" spans="1:14" ht="14.1" customHeight="1" x14ac:dyDescent="0.2">
      <c r="A21" s="1632"/>
      <c r="B21" s="1633"/>
      <c r="C21" s="1634"/>
      <c r="D21" s="1610" t="s">
        <v>30</v>
      </c>
      <c r="E21" s="1912" t="s">
        <v>100</v>
      </c>
      <c r="F21" s="1914"/>
      <c r="G21" s="1262"/>
      <c r="H21" s="121"/>
      <c r="I21" s="146"/>
      <c r="J21" s="121"/>
      <c r="K21" s="1340" t="s">
        <v>32</v>
      </c>
      <c r="L21" s="41">
        <v>4</v>
      </c>
      <c r="M21" s="727">
        <v>4</v>
      </c>
      <c r="N21" s="240">
        <v>4</v>
      </c>
    </row>
    <row r="22" spans="1:14" ht="14.1" customHeight="1" x14ac:dyDescent="0.2">
      <c r="A22" s="1632"/>
      <c r="B22" s="1633"/>
      <c r="C22" s="1634"/>
      <c r="D22" s="1617"/>
      <c r="E22" s="1635"/>
      <c r="F22" s="1914"/>
      <c r="G22" s="1350"/>
      <c r="H22" s="318"/>
      <c r="I22" s="120"/>
      <c r="J22" s="318"/>
      <c r="K22" s="1334" t="s">
        <v>86</v>
      </c>
      <c r="L22" s="95">
        <v>3</v>
      </c>
      <c r="M22" s="1348">
        <v>3</v>
      </c>
      <c r="N22" s="905">
        <v>6</v>
      </c>
    </row>
    <row r="23" spans="1:14" ht="14.1" customHeight="1" x14ac:dyDescent="0.2">
      <c r="A23" s="1632"/>
      <c r="B23" s="1633"/>
      <c r="C23" s="1634"/>
      <c r="D23" s="1617"/>
      <c r="E23" s="1635"/>
      <c r="F23" s="1914"/>
      <c r="G23" s="1350"/>
      <c r="H23" s="318"/>
      <c r="I23" s="120"/>
      <c r="J23" s="318"/>
      <c r="K23" s="1334" t="s">
        <v>381</v>
      </c>
      <c r="L23" s="95">
        <v>1</v>
      </c>
      <c r="M23" s="95"/>
      <c r="N23" s="905"/>
    </row>
    <row r="24" spans="1:14" ht="14.1" customHeight="1" x14ac:dyDescent="0.2">
      <c r="A24" s="1632"/>
      <c r="B24" s="1633"/>
      <c r="C24" s="1634"/>
      <c r="D24" s="1617"/>
      <c r="E24" s="1635"/>
      <c r="F24" s="1603"/>
      <c r="G24" s="1325"/>
      <c r="H24" s="318"/>
      <c r="I24" s="120"/>
      <c r="J24" s="318"/>
      <c r="K24" s="1334" t="s">
        <v>382</v>
      </c>
      <c r="L24" s="95"/>
      <c r="M24" s="95">
        <v>3</v>
      </c>
      <c r="N24" s="905"/>
    </row>
    <row r="25" spans="1:14" ht="14.25" customHeight="1" x14ac:dyDescent="0.2">
      <c r="A25" s="1632"/>
      <c r="B25" s="1633"/>
      <c r="C25" s="1634"/>
      <c r="D25" s="1617"/>
      <c r="E25" s="1635"/>
      <c r="F25" s="1603"/>
      <c r="G25" s="1325"/>
      <c r="H25" s="318"/>
      <c r="I25" s="120"/>
      <c r="J25" s="318"/>
      <c r="K25" s="1943" t="s">
        <v>475</v>
      </c>
      <c r="L25" s="155">
        <v>100</v>
      </c>
      <c r="M25" s="155"/>
      <c r="N25" s="905"/>
    </row>
    <row r="26" spans="1:14" ht="13.5" customHeight="1" x14ac:dyDescent="0.2">
      <c r="A26" s="1632"/>
      <c r="B26" s="1633"/>
      <c r="C26" s="1634"/>
      <c r="D26" s="1611"/>
      <c r="E26" s="1913"/>
      <c r="F26" s="1603"/>
      <c r="G26" s="354"/>
      <c r="H26" s="122"/>
      <c r="I26" s="119"/>
      <c r="J26" s="122"/>
      <c r="K26" s="1898"/>
      <c r="L26" s="157"/>
      <c r="M26" s="157"/>
      <c r="N26" s="239"/>
    </row>
    <row r="27" spans="1:14" ht="13.5" customHeight="1" x14ac:dyDescent="0.2">
      <c r="A27" s="1295"/>
      <c r="B27" s="1296"/>
      <c r="C27" s="1328"/>
      <c r="D27" s="1610" t="s">
        <v>31</v>
      </c>
      <c r="E27" s="1650"/>
      <c r="F27" s="1297"/>
      <c r="G27" s="1325"/>
      <c r="H27" s="318"/>
      <c r="I27" s="1317"/>
      <c r="J27" s="318"/>
      <c r="K27" s="1383" t="s">
        <v>202</v>
      </c>
      <c r="L27" s="1150"/>
      <c r="M27" s="987"/>
      <c r="N27" s="988"/>
    </row>
    <row r="28" spans="1:14" ht="24.75" customHeight="1" x14ac:dyDescent="0.2">
      <c r="A28" s="1295"/>
      <c r="B28" s="1296"/>
      <c r="C28" s="1328"/>
      <c r="D28" s="1764"/>
      <c r="E28" s="1625"/>
      <c r="F28" s="1297"/>
      <c r="G28" s="1325"/>
      <c r="H28" s="318"/>
      <c r="I28" s="120"/>
      <c r="J28" s="318"/>
      <c r="K28" s="1334" t="s">
        <v>203</v>
      </c>
      <c r="L28" s="1348">
        <v>87</v>
      </c>
      <c r="M28" s="155">
        <v>87</v>
      </c>
      <c r="N28" s="905">
        <v>87</v>
      </c>
    </row>
    <row r="29" spans="1:14" ht="25.5" customHeight="1" x14ac:dyDescent="0.2">
      <c r="A29" s="1295"/>
      <c r="B29" s="1296"/>
      <c r="C29" s="1328"/>
      <c r="D29" s="1764"/>
      <c r="E29" s="1625"/>
      <c r="F29" s="1297"/>
      <c r="G29" s="1325"/>
      <c r="H29" s="318"/>
      <c r="I29" s="120"/>
      <c r="J29" s="318"/>
      <c r="K29" s="1341" t="s">
        <v>166</v>
      </c>
      <c r="L29" s="1384">
        <v>63</v>
      </c>
      <c r="M29" s="893">
        <v>63</v>
      </c>
      <c r="N29" s="978">
        <v>63</v>
      </c>
    </row>
    <row r="30" spans="1:14" ht="15" customHeight="1" x14ac:dyDescent="0.2">
      <c r="A30" s="1295"/>
      <c r="B30" s="1296"/>
      <c r="C30" s="1328"/>
      <c r="D30" s="1764"/>
      <c r="E30" s="1625"/>
      <c r="F30" s="1297"/>
      <c r="G30" s="1325"/>
      <c r="H30" s="318"/>
      <c r="I30" s="120"/>
      <c r="J30" s="318"/>
      <c r="K30" s="422" t="s">
        <v>204</v>
      </c>
      <c r="L30" s="418"/>
      <c r="M30" s="737"/>
      <c r="N30" s="419"/>
    </row>
    <row r="31" spans="1:14" ht="13.5" customHeight="1" x14ac:dyDescent="0.2">
      <c r="A31" s="1295"/>
      <c r="B31" s="1296"/>
      <c r="C31" s="1328"/>
      <c r="D31" s="234"/>
      <c r="E31" s="1625"/>
      <c r="F31" s="1297"/>
      <c r="G31" s="1325"/>
      <c r="H31" s="318"/>
      <c r="I31" s="120"/>
      <c r="J31" s="318"/>
      <c r="K31" s="1351" t="s">
        <v>112</v>
      </c>
      <c r="L31" s="95">
        <v>10</v>
      </c>
      <c r="M31" s="155">
        <v>10</v>
      </c>
      <c r="N31" s="905">
        <v>10</v>
      </c>
    </row>
    <row r="32" spans="1:14" ht="13.5" customHeight="1" x14ac:dyDescent="0.2">
      <c r="A32" s="1295"/>
      <c r="B32" s="1296"/>
      <c r="C32" s="1328"/>
      <c r="D32" s="234"/>
      <c r="E32" s="1625"/>
      <c r="F32" s="1297"/>
      <c r="G32" s="1325"/>
      <c r="H32" s="318"/>
      <c r="I32" s="120"/>
      <c r="J32" s="318"/>
      <c r="K32" s="427" t="s">
        <v>33</v>
      </c>
      <c r="L32" s="39" t="s">
        <v>383</v>
      </c>
      <c r="M32" s="312" t="s">
        <v>383</v>
      </c>
      <c r="N32" s="421" t="s">
        <v>383</v>
      </c>
    </row>
    <row r="33" spans="1:48" ht="13.5" customHeight="1" x14ac:dyDescent="0.2">
      <c r="A33" s="1295"/>
      <c r="B33" s="1296"/>
      <c r="C33" s="1328"/>
      <c r="D33" s="234"/>
      <c r="E33" s="1625"/>
      <c r="F33" s="1297"/>
      <c r="G33" s="1325"/>
      <c r="H33" s="318"/>
      <c r="I33" s="120"/>
      <c r="J33" s="318"/>
      <c r="K33" s="427" t="s">
        <v>85</v>
      </c>
      <c r="L33" s="39" t="s">
        <v>443</v>
      </c>
      <c r="M33" s="312" t="s">
        <v>443</v>
      </c>
      <c r="N33" s="421" t="s">
        <v>443</v>
      </c>
    </row>
    <row r="34" spans="1:48" ht="13.5" customHeight="1" x14ac:dyDescent="0.2">
      <c r="A34" s="1295"/>
      <c r="B34" s="1296"/>
      <c r="C34" s="1328"/>
      <c r="D34" s="234"/>
      <c r="E34" s="1625"/>
      <c r="F34" s="1297"/>
      <c r="G34" s="1325"/>
      <c r="H34" s="318"/>
      <c r="I34" s="120"/>
      <c r="J34" s="318"/>
      <c r="K34" s="427" t="s">
        <v>384</v>
      </c>
      <c r="L34" s="39" t="s">
        <v>197</v>
      </c>
      <c r="M34" s="312" t="s">
        <v>197</v>
      </c>
      <c r="N34" s="421" t="s">
        <v>197</v>
      </c>
    </row>
    <row r="35" spans="1:48" ht="13.5" customHeight="1" x14ac:dyDescent="0.2">
      <c r="A35" s="1295"/>
      <c r="B35" s="1296"/>
      <c r="C35" s="1328"/>
      <c r="D35" s="234"/>
      <c r="E35" s="1625"/>
      <c r="F35" s="1297"/>
      <c r="G35" s="1325"/>
      <c r="H35" s="318"/>
      <c r="I35" s="120"/>
      <c r="J35" s="318"/>
      <c r="K35" s="7" t="s">
        <v>348</v>
      </c>
      <c r="L35" s="39" t="s">
        <v>338</v>
      </c>
      <c r="M35" s="312" t="s">
        <v>338</v>
      </c>
      <c r="N35" s="421" t="s">
        <v>338</v>
      </c>
    </row>
    <row r="36" spans="1:48" s="10" customFormat="1" ht="13.5" customHeight="1" x14ac:dyDescent="0.2">
      <c r="A36" s="1295"/>
      <c r="B36" s="1296"/>
      <c r="C36" s="1328"/>
      <c r="D36" s="234"/>
      <c r="E36" s="1625"/>
      <c r="F36" s="1297"/>
      <c r="G36" s="1325"/>
      <c r="H36" s="318"/>
      <c r="I36" s="120"/>
      <c r="J36" s="318"/>
      <c r="K36" s="427" t="s">
        <v>385</v>
      </c>
      <c r="L36" s="39" t="s">
        <v>386</v>
      </c>
      <c r="M36" s="312" t="s">
        <v>386</v>
      </c>
      <c r="N36" s="421" t="s">
        <v>386</v>
      </c>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s="10" customFormat="1" ht="14.25" customHeight="1" x14ac:dyDescent="0.2">
      <c r="A37" s="1295"/>
      <c r="B37" s="1296"/>
      <c r="C37" s="1328"/>
      <c r="D37" s="234"/>
      <c r="E37" s="1625"/>
      <c r="F37" s="1297"/>
      <c r="G37" s="1325"/>
      <c r="H37" s="318"/>
      <c r="I37" s="120"/>
      <c r="J37" s="318"/>
      <c r="K37" s="1354" t="s">
        <v>211</v>
      </c>
      <c r="L37" s="289"/>
      <c r="M37" s="737"/>
      <c r="N37" s="419"/>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s="10" customFormat="1" ht="13.5" customHeight="1" x14ac:dyDescent="0.2">
      <c r="A38" s="1295"/>
      <c r="B38" s="1296"/>
      <c r="C38" s="1328"/>
      <c r="D38" s="234"/>
      <c r="E38" s="1625"/>
      <c r="F38" s="1297"/>
      <c r="G38" s="1325"/>
      <c r="H38" s="318"/>
      <c r="I38" s="120"/>
      <c r="J38" s="318"/>
      <c r="K38" s="427" t="s">
        <v>168</v>
      </c>
      <c r="L38" s="164">
        <v>11</v>
      </c>
      <c r="M38" s="508">
        <v>11</v>
      </c>
      <c r="N38" s="424">
        <v>11</v>
      </c>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s="10" customFormat="1" ht="13.5" customHeight="1" x14ac:dyDescent="0.2">
      <c r="A39" s="1295"/>
      <c r="B39" s="1296"/>
      <c r="C39" s="1328"/>
      <c r="D39" s="234"/>
      <c r="E39" s="1625"/>
      <c r="F39" s="1297"/>
      <c r="G39" s="1325"/>
      <c r="H39" s="318"/>
      <c r="I39" s="120"/>
      <c r="J39" s="318"/>
      <c r="K39" s="1323" t="s">
        <v>167</v>
      </c>
      <c r="L39" s="232" t="s">
        <v>145</v>
      </c>
      <c r="M39" s="372" t="s">
        <v>145</v>
      </c>
      <c r="N39" s="233" t="s">
        <v>145</v>
      </c>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s="10" customFormat="1" ht="15" customHeight="1" x14ac:dyDescent="0.2">
      <c r="A40" s="1295"/>
      <c r="B40" s="1296"/>
      <c r="C40" s="1328"/>
      <c r="D40" s="234"/>
      <c r="E40" s="1625"/>
      <c r="F40" s="1297"/>
      <c r="G40" s="1325"/>
      <c r="H40" s="318"/>
      <c r="I40" s="120"/>
      <c r="J40" s="318"/>
      <c r="K40" s="422" t="s">
        <v>476</v>
      </c>
      <c r="L40" s="423"/>
      <c r="M40" s="508"/>
      <c r="N40" s="424"/>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s="10" customFormat="1" ht="26.25" customHeight="1" x14ac:dyDescent="0.2">
      <c r="A41" s="1295"/>
      <c r="B41" s="1296"/>
      <c r="C41" s="1328"/>
      <c r="D41" s="234"/>
      <c r="E41" s="1625"/>
      <c r="F41" s="1297"/>
      <c r="G41" s="1325"/>
      <c r="H41" s="318"/>
      <c r="I41" s="120"/>
      <c r="J41" s="318"/>
      <c r="K41" s="1294" t="s">
        <v>467</v>
      </c>
      <c r="L41" s="423"/>
      <c r="M41" s="508">
        <v>150</v>
      </c>
      <c r="N41" s="424"/>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s="10" customFormat="1" ht="27.75" customHeight="1" x14ac:dyDescent="0.2">
      <c r="A42" s="1295"/>
      <c r="B42" s="1296"/>
      <c r="C42" s="1328"/>
      <c r="D42" s="234"/>
      <c r="E42" s="1625"/>
      <c r="F42" s="1297"/>
      <c r="G42" s="1325"/>
      <c r="H42" s="318"/>
      <c r="I42" s="120"/>
      <c r="J42" s="318"/>
      <c r="K42" s="1294" t="s">
        <v>469</v>
      </c>
      <c r="L42" s="423"/>
      <c r="M42" s="1584">
        <v>7.5</v>
      </c>
      <c r="N42" s="424"/>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s="10" customFormat="1" ht="13.5" customHeight="1" x14ac:dyDescent="0.2">
      <c r="A43" s="1295"/>
      <c r="B43" s="1296"/>
      <c r="C43" s="1328"/>
      <c r="D43" s="234"/>
      <c r="E43" s="1625"/>
      <c r="F43" s="1297"/>
      <c r="G43" s="1325"/>
      <c r="H43" s="318"/>
      <c r="I43" s="120"/>
      <c r="J43" s="318"/>
      <c r="K43" s="56" t="s">
        <v>279</v>
      </c>
      <c r="L43" s="232">
        <v>1</v>
      </c>
      <c r="M43" s="372">
        <v>1</v>
      </c>
      <c r="N43" s="233">
        <v>1</v>
      </c>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s="10" customFormat="1" ht="30" customHeight="1" x14ac:dyDescent="0.2">
      <c r="A44" s="1295"/>
      <c r="B44" s="1296"/>
      <c r="C44" s="1328"/>
      <c r="D44" s="235"/>
      <c r="E44" s="1693"/>
      <c r="F44" s="1297"/>
      <c r="G44" s="1325"/>
      <c r="H44" s="318"/>
      <c r="I44" s="120"/>
      <c r="J44" s="318"/>
      <c r="K44" s="1333" t="s">
        <v>456</v>
      </c>
      <c r="L44" s="521">
        <v>2</v>
      </c>
      <c r="M44" s="1355"/>
      <c r="N44" s="522"/>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48" s="10" customFormat="1" ht="25.5" customHeight="1" x14ac:dyDescent="0.2">
      <c r="A45" s="1295"/>
      <c r="B45" s="1296"/>
      <c r="C45" s="1337"/>
      <c r="D45" s="1617" t="s">
        <v>152</v>
      </c>
      <c r="E45" s="1909" t="s">
        <v>155</v>
      </c>
      <c r="F45" s="1297"/>
      <c r="G45" s="70"/>
      <c r="H45" s="121"/>
      <c r="I45" s="146"/>
      <c r="J45" s="121"/>
      <c r="K45" s="1349" t="s">
        <v>175</v>
      </c>
      <c r="L45" s="207">
        <v>100</v>
      </c>
      <c r="M45" s="1356"/>
      <c r="N45" s="31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46" spans="1:48" s="10" customFormat="1" ht="9" customHeight="1" x14ac:dyDescent="0.2">
      <c r="A46" s="1295"/>
      <c r="B46" s="1296"/>
      <c r="C46" s="1337"/>
      <c r="D46" s="1617"/>
      <c r="E46" s="1695"/>
      <c r="F46" s="1297"/>
      <c r="G46" s="71"/>
      <c r="H46" s="122"/>
      <c r="I46" s="119"/>
      <c r="J46" s="122"/>
      <c r="K46" s="1347"/>
      <c r="L46" s="208"/>
      <c r="M46" s="1357"/>
      <c r="N46" s="31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row>
    <row r="47" spans="1:48" s="10" customFormat="1" ht="13.5" customHeight="1" x14ac:dyDescent="0.2">
      <c r="A47" s="1295"/>
      <c r="B47" s="1296"/>
      <c r="C47" s="82"/>
      <c r="D47" s="1610" t="s">
        <v>142</v>
      </c>
      <c r="E47" s="1695"/>
      <c r="F47" s="1697"/>
      <c r="G47" s="28"/>
      <c r="H47" s="318"/>
      <c r="I47" s="120"/>
      <c r="J47" s="318"/>
      <c r="K47" s="1300" t="s">
        <v>98</v>
      </c>
      <c r="L47" s="206">
        <v>1</v>
      </c>
      <c r="M47" s="512"/>
      <c r="N47" s="244"/>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row>
    <row r="48" spans="1:48" s="10" customFormat="1" ht="24.75" customHeight="1" x14ac:dyDescent="0.2">
      <c r="A48" s="1295"/>
      <c r="B48" s="1296"/>
      <c r="C48" s="1328"/>
      <c r="D48" s="1611"/>
      <c r="E48" s="1695"/>
      <c r="F48" s="1697"/>
      <c r="G48" s="1325"/>
      <c r="H48" s="318"/>
      <c r="I48" s="1317"/>
      <c r="J48" s="318"/>
      <c r="K48" s="427" t="s">
        <v>175</v>
      </c>
      <c r="L48" s="90">
        <v>25</v>
      </c>
      <c r="M48" s="611">
        <v>100</v>
      </c>
      <c r="N48" s="26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row>
    <row r="49" spans="1:48" s="10" customFormat="1" ht="12.75" customHeight="1" x14ac:dyDescent="0.2">
      <c r="A49" s="1295"/>
      <c r="B49" s="1296"/>
      <c r="C49" s="82"/>
      <c r="D49" s="1604" t="s">
        <v>122</v>
      </c>
      <c r="E49" s="1612" t="s">
        <v>109</v>
      </c>
      <c r="F49" s="1608"/>
      <c r="G49" s="70"/>
      <c r="H49" s="121"/>
      <c r="I49" s="146"/>
      <c r="J49" s="121"/>
      <c r="K49" s="1336" t="s">
        <v>98</v>
      </c>
      <c r="L49" s="155">
        <v>1</v>
      </c>
      <c r="M49" s="196"/>
      <c r="N49" s="31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row>
    <row r="50" spans="1:48" s="10" customFormat="1" ht="24" customHeight="1" x14ac:dyDescent="0.2">
      <c r="A50" s="1295"/>
      <c r="B50" s="1296"/>
      <c r="C50" s="1328"/>
      <c r="D50" s="1605"/>
      <c r="E50" s="1607"/>
      <c r="F50" s="1608"/>
      <c r="G50" s="354"/>
      <c r="H50" s="122"/>
      <c r="I50" s="119"/>
      <c r="J50" s="122"/>
      <c r="K50" s="360" t="s">
        <v>130</v>
      </c>
      <c r="L50" s="157">
        <v>20</v>
      </c>
      <c r="M50" s="198">
        <v>50</v>
      </c>
      <c r="N50" s="263">
        <v>100</v>
      </c>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spans="1:48" s="10" customFormat="1" ht="17.25" customHeight="1" x14ac:dyDescent="0.2">
      <c r="A51" s="1295"/>
      <c r="B51" s="1296"/>
      <c r="C51" s="1337"/>
      <c r="D51" s="1610" t="s">
        <v>238</v>
      </c>
      <c r="E51" s="1612" t="s">
        <v>155</v>
      </c>
      <c r="F51" s="1297"/>
      <c r="G51" s="28"/>
      <c r="H51" s="318"/>
      <c r="I51" s="120"/>
      <c r="J51" s="318"/>
      <c r="K51" s="1837" t="s">
        <v>175</v>
      </c>
      <c r="L51" s="207">
        <v>100</v>
      </c>
      <c r="M51" s="711"/>
      <c r="N51" s="244"/>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row>
    <row r="52" spans="1:48" s="10" customFormat="1" ht="15" customHeight="1" x14ac:dyDescent="0.2">
      <c r="A52" s="1295"/>
      <c r="B52" s="1296"/>
      <c r="C52" s="1337"/>
      <c r="D52" s="1611"/>
      <c r="E52" s="1879"/>
      <c r="F52" s="1297"/>
      <c r="G52" s="28"/>
      <c r="H52" s="318"/>
      <c r="I52" s="120"/>
      <c r="J52" s="318"/>
      <c r="K52" s="1839"/>
      <c r="L52" s="90"/>
      <c r="M52" s="611"/>
      <c r="N52" s="26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row>
    <row r="53" spans="1:48" s="10" customFormat="1" ht="15" customHeight="1" x14ac:dyDescent="0.2">
      <c r="A53" s="1295"/>
      <c r="B53" s="1296"/>
      <c r="C53" s="82"/>
      <c r="D53" s="1604" t="s">
        <v>146</v>
      </c>
      <c r="E53" s="1626"/>
      <c r="F53" s="1608"/>
      <c r="G53" s="70"/>
      <c r="H53" s="121"/>
      <c r="I53" s="121"/>
      <c r="J53" s="179"/>
      <c r="K53" s="1336" t="s">
        <v>98</v>
      </c>
      <c r="L53" s="155">
        <v>1</v>
      </c>
      <c r="M53" s="197"/>
      <c r="N53" s="244"/>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row>
    <row r="54" spans="1:48" s="10" customFormat="1" ht="17.25" customHeight="1" x14ac:dyDescent="0.2">
      <c r="A54" s="1295"/>
      <c r="B54" s="1296"/>
      <c r="C54" s="1328"/>
      <c r="D54" s="1605"/>
      <c r="E54" s="1880"/>
      <c r="F54" s="1608"/>
      <c r="G54" s="354"/>
      <c r="H54" s="122"/>
      <c r="I54" s="119"/>
      <c r="J54" s="122"/>
      <c r="K54" s="360" t="s">
        <v>131</v>
      </c>
      <c r="L54" s="157"/>
      <c r="M54" s="157">
        <v>20</v>
      </c>
      <c r="N54" s="263">
        <v>100</v>
      </c>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s="10" customFormat="1" ht="15" customHeight="1" x14ac:dyDescent="0.2">
      <c r="A55" s="1295"/>
      <c r="B55" s="1296"/>
      <c r="C55" s="82"/>
      <c r="D55" s="1604" t="s">
        <v>261</v>
      </c>
      <c r="E55" s="1612" t="s">
        <v>109</v>
      </c>
      <c r="F55" s="1608"/>
      <c r="G55" s="28"/>
      <c r="H55" s="318"/>
      <c r="I55" s="120"/>
      <c r="J55" s="318"/>
      <c r="K55" s="1300" t="s">
        <v>98</v>
      </c>
      <c r="L55" s="155">
        <v>1</v>
      </c>
      <c r="M55" s="196"/>
      <c r="N55" s="31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s="10" customFormat="1" ht="15.75" customHeight="1" x14ac:dyDescent="0.2">
      <c r="A56" s="1295"/>
      <c r="B56" s="1296"/>
      <c r="C56" s="1328"/>
      <c r="D56" s="1605"/>
      <c r="E56" s="1607"/>
      <c r="F56" s="1608"/>
      <c r="G56" s="1325"/>
      <c r="H56" s="318"/>
      <c r="I56" s="120"/>
      <c r="J56" s="318"/>
      <c r="K56" s="530" t="s">
        <v>262</v>
      </c>
      <c r="L56" s="157"/>
      <c r="M56" s="198"/>
      <c r="N56" s="26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s="10" customFormat="1" ht="13.5" customHeight="1" x14ac:dyDescent="0.2">
      <c r="A57" s="1295"/>
      <c r="B57" s="1296"/>
      <c r="C57" s="1337"/>
      <c r="D57" s="1610" t="s">
        <v>151</v>
      </c>
      <c r="E57" s="1612" t="s">
        <v>155</v>
      </c>
      <c r="F57" s="1297"/>
      <c r="G57" s="70" t="s">
        <v>49</v>
      </c>
      <c r="H57" s="121"/>
      <c r="I57" s="146"/>
      <c r="J57" s="121"/>
      <c r="K57" s="1336" t="s">
        <v>98</v>
      </c>
      <c r="L57" s="197"/>
      <c r="M57" s="207"/>
      <c r="N57" s="244"/>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s="10" customFormat="1" ht="26.25" customHeight="1" x14ac:dyDescent="0.2">
      <c r="A58" s="1295"/>
      <c r="B58" s="1296"/>
      <c r="C58" s="1337"/>
      <c r="D58" s="1611"/>
      <c r="E58" s="1880"/>
      <c r="F58" s="1297"/>
      <c r="G58" s="71"/>
      <c r="H58" s="122"/>
      <c r="I58" s="119"/>
      <c r="J58" s="122"/>
      <c r="K58" s="360" t="s">
        <v>130</v>
      </c>
      <c r="L58" s="157"/>
      <c r="M58" s="208"/>
      <c r="N58" s="26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s="10" customFormat="1" ht="19.5" customHeight="1" x14ac:dyDescent="0.2">
      <c r="A59" s="1295"/>
      <c r="B59" s="1296"/>
      <c r="C59" s="1328"/>
      <c r="D59" s="1617" t="s">
        <v>375</v>
      </c>
      <c r="E59" s="1612" t="s">
        <v>155</v>
      </c>
      <c r="F59" s="1297"/>
      <c r="G59" s="70"/>
      <c r="H59" s="121"/>
      <c r="I59" s="146"/>
      <c r="J59" s="121"/>
      <c r="K59" s="1905" t="s">
        <v>376</v>
      </c>
      <c r="L59" s="1237"/>
      <c r="M59" s="246"/>
      <c r="N59" s="766">
        <v>30</v>
      </c>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row>
    <row r="60" spans="1:48" s="10" customFormat="1" ht="10.5" customHeight="1" x14ac:dyDescent="0.2">
      <c r="A60" s="1295"/>
      <c r="B60" s="1296"/>
      <c r="C60" s="1328"/>
      <c r="D60" s="1915"/>
      <c r="E60" s="1613"/>
      <c r="F60" s="1297"/>
      <c r="G60" s="71"/>
      <c r="H60" s="122"/>
      <c r="I60" s="119"/>
      <c r="J60" s="122"/>
      <c r="K60" s="1615"/>
      <c r="L60" s="1238"/>
      <c r="M60" s="630"/>
      <c r="N60" s="967"/>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row>
    <row r="61" spans="1:48" s="10" customFormat="1" ht="16.5" customHeight="1" thickBot="1" x14ac:dyDescent="0.25">
      <c r="A61" s="1344"/>
      <c r="B61" s="327"/>
      <c r="C61" s="40"/>
      <c r="D61" s="1374"/>
      <c r="E61" s="1375"/>
      <c r="F61" s="1143"/>
      <c r="G61" s="42" t="s">
        <v>6</v>
      </c>
      <c r="H61" s="190">
        <f>SUM(H17:H60)</f>
        <v>1648.4</v>
      </c>
      <c r="I61" s="190">
        <f>SUM(I17:I60)</f>
        <v>1324.5</v>
      </c>
      <c r="J61" s="190">
        <f>SUM(J17:J60)</f>
        <v>1522.5</v>
      </c>
      <c r="K61" s="274"/>
      <c r="L61" s="51"/>
      <c r="M61" s="712"/>
      <c r="N61" s="556"/>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row>
    <row r="62" spans="1:48" s="10" customFormat="1" ht="12.75" customHeight="1" x14ac:dyDescent="0.2">
      <c r="A62" s="1295" t="s">
        <v>5</v>
      </c>
      <c r="B62" s="1304" t="s">
        <v>5</v>
      </c>
      <c r="C62" s="1328" t="s">
        <v>7</v>
      </c>
      <c r="D62" s="1733" t="s">
        <v>53</v>
      </c>
      <c r="E62" s="1362"/>
      <c r="F62" s="1307" t="s">
        <v>27</v>
      </c>
      <c r="G62" s="219" t="s">
        <v>24</v>
      </c>
      <c r="H62" s="149">
        <f>3279.6-62.7</f>
        <v>3216.9</v>
      </c>
      <c r="I62" s="149">
        <v>3102.6</v>
      </c>
      <c r="J62" s="143">
        <v>3102.6</v>
      </c>
      <c r="K62" s="1363"/>
      <c r="L62" s="1364"/>
      <c r="M62" s="1365"/>
      <c r="N62" s="1366"/>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row>
    <row r="63" spans="1:48" s="10" customFormat="1" ht="12.75" customHeight="1" x14ac:dyDescent="0.2">
      <c r="A63" s="1295"/>
      <c r="B63" s="1304"/>
      <c r="C63" s="1328"/>
      <c r="D63" s="1709"/>
      <c r="E63" s="1358"/>
      <c r="F63" s="1297"/>
      <c r="G63" s="1325" t="s">
        <v>40</v>
      </c>
      <c r="H63" s="1317">
        <v>2</v>
      </c>
      <c r="I63" s="1317">
        <v>2</v>
      </c>
      <c r="J63" s="318">
        <v>2</v>
      </c>
      <c r="K63" s="1367"/>
      <c r="L63" s="355"/>
      <c r="M63" s="320"/>
      <c r="N63" s="74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row>
    <row r="64" spans="1:48" s="10" customFormat="1" ht="13.5" customHeight="1" x14ac:dyDescent="0.2">
      <c r="A64" s="1295"/>
      <c r="B64" s="1304"/>
      <c r="C64" s="1328"/>
      <c r="D64" s="1345"/>
      <c r="E64" s="1358"/>
      <c r="F64" s="1297"/>
      <c r="G64" s="1325" t="s">
        <v>90</v>
      </c>
      <c r="H64" s="1317"/>
      <c r="I64" s="1317"/>
      <c r="J64" s="318"/>
      <c r="K64" s="1359"/>
      <c r="L64" s="1360"/>
      <c r="M64" s="1003"/>
      <c r="N64" s="1361"/>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row>
    <row r="65" spans="1:48" s="10" customFormat="1" ht="24.75" customHeight="1" x14ac:dyDescent="0.2">
      <c r="A65" s="1632"/>
      <c r="B65" s="1701"/>
      <c r="C65" s="1634"/>
      <c r="D65" s="1610" t="s">
        <v>70</v>
      </c>
      <c r="E65" s="1910"/>
      <c r="F65" s="1603"/>
      <c r="G65" s="9"/>
      <c r="H65" s="145"/>
      <c r="I65" s="129"/>
      <c r="J65" s="121"/>
      <c r="K65" s="1285" t="s">
        <v>291</v>
      </c>
      <c r="L65" s="1164">
        <v>8.6</v>
      </c>
      <c r="M65" s="1165">
        <v>8.6</v>
      </c>
      <c r="N65" s="453">
        <v>8.6</v>
      </c>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row>
    <row r="66" spans="1:48" s="10" customFormat="1" ht="14.25" customHeight="1" x14ac:dyDescent="0.2">
      <c r="A66" s="1632"/>
      <c r="B66" s="1701"/>
      <c r="C66" s="1634"/>
      <c r="D66" s="1709"/>
      <c r="E66" s="1911"/>
      <c r="F66" s="1603"/>
      <c r="G66" s="1325"/>
      <c r="H66" s="144"/>
      <c r="I66" s="1317"/>
      <c r="J66" s="318"/>
      <c r="K66" s="1166" t="s">
        <v>195</v>
      </c>
      <c r="L66" s="893">
        <v>445</v>
      </c>
      <c r="M66" s="893">
        <v>445</v>
      </c>
      <c r="N66" s="978">
        <v>445</v>
      </c>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row>
    <row r="67" spans="1:48" s="10" customFormat="1" ht="13.5" customHeight="1" x14ac:dyDescent="0.2">
      <c r="A67" s="1632"/>
      <c r="B67" s="1701"/>
      <c r="C67" s="1634"/>
      <c r="D67" s="1604" t="s">
        <v>37</v>
      </c>
      <c r="E67" s="1322"/>
      <c r="F67" s="1297"/>
      <c r="G67" s="11"/>
      <c r="H67" s="144"/>
      <c r="I67" s="1317"/>
      <c r="J67" s="318"/>
      <c r="K67" s="990" t="s">
        <v>39</v>
      </c>
      <c r="L67" s="94">
        <v>46</v>
      </c>
      <c r="M67" s="708">
        <v>46</v>
      </c>
      <c r="N67" s="617">
        <v>46</v>
      </c>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row>
    <row r="68" spans="1:48" s="10" customFormat="1" ht="15" customHeight="1" x14ac:dyDescent="0.2">
      <c r="A68" s="1632"/>
      <c r="B68" s="1701"/>
      <c r="C68" s="1634"/>
      <c r="D68" s="1618"/>
      <c r="E68" s="1322"/>
      <c r="F68" s="1297"/>
      <c r="G68" s="1325"/>
      <c r="H68" s="144"/>
      <c r="I68" s="1317"/>
      <c r="J68" s="318"/>
      <c r="K68" s="1324" t="s">
        <v>71</v>
      </c>
      <c r="L68" s="1368">
        <v>1500</v>
      </c>
      <c r="M68" s="1369">
        <v>1500</v>
      </c>
      <c r="N68" s="765">
        <v>1500</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row>
    <row r="69" spans="1:48" s="10" customFormat="1" ht="16.5" customHeight="1" x14ac:dyDescent="0.2">
      <c r="A69" s="1295"/>
      <c r="B69" s="1304"/>
      <c r="C69" s="1328"/>
      <c r="D69" s="1604" t="s">
        <v>129</v>
      </c>
      <c r="E69" s="1313"/>
      <c r="F69" s="1297"/>
      <c r="G69" s="1325"/>
      <c r="H69" s="144"/>
      <c r="I69" s="1317"/>
      <c r="J69" s="318"/>
      <c r="K69" s="425" t="s">
        <v>162</v>
      </c>
      <c r="L69" s="1370" t="s">
        <v>388</v>
      </c>
      <c r="M69" s="1370" t="s">
        <v>388</v>
      </c>
      <c r="N69" s="1371" t="s">
        <v>388</v>
      </c>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row>
    <row r="70" spans="1:48" s="10" customFormat="1" ht="36.75" customHeight="1" x14ac:dyDescent="0.2">
      <c r="A70" s="1295"/>
      <c r="B70" s="1304"/>
      <c r="C70" s="1328"/>
      <c r="D70" s="1620"/>
      <c r="E70" s="1313"/>
      <c r="F70" s="1297"/>
      <c r="G70" s="1325"/>
      <c r="H70" s="144"/>
      <c r="I70" s="1317"/>
      <c r="J70" s="318"/>
      <c r="K70" s="150" t="s">
        <v>163</v>
      </c>
      <c r="L70" s="372" t="s">
        <v>125</v>
      </c>
      <c r="M70" s="372" t="s">
        <v>125</v>
      </c>
      <c r="N70" s="233" t="s">
        <v>125</v>
      </c>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row>
    <row r="71" spans="1:48" s="10" customFormat="1" ht="27.75" customHeight="1" x14ac:dyDescent="0.2">
      <c r="A71" s="1295"/>
      <c r="B71" s="1304"/>
      <c r="C71" s="1328"/>
      <c r="D71" s="1329" t="s">
        <v>57</v>
      </c>
      <c r="E71" s="1313"/>
      <c r="F71" s="1297"/>
      <c r="G71" s="1325"/>
      <c r="H71" s="144"/>
      <c r="I71" s="1317"/>
      <c r="J71" s="318"/>
      <c r="K71" s="404" t="s">
        <v>38</v>
      </c>
      <c r="L71" s="406">
        <v>11</v>
      </c>
      <c r="M71" s="406">
        <v>11</v>
      </c>
      <c r="N71" s="407">
        <v>11</v>
      </c>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row>
    <row r="72" spans="1:48" ht="27.75" customHeight="1" x14ac:dyDescent="0.2">
      <c r="A72" s="1295"/>
      <c r="B72" s="1304"/>
      <c r="C72" s="1328"/>
      <c r="D72" s="1329" t="s">
        <v>431</v>
      </c>
      <c r="E72" s="1313"/>
      <c r="F72" s="1332"/>
      <c r="G72" s="354"/>
      <c r="H72" s="117"/>
      <c r="I72" s="1114"/>
      <c r="J72" s="122"/>
      <c r="K72" s="1376" t="s">
        <v>387</v>
      </c>
      <c r="L72" s="41">
        <v>100</v>
      </c>
      <c r="M72" s="41"/>
      <c r="N72" s="240"/>
    </row>
    <row r="73" spans="1:48" s="10" customFormat="1" ht="16.5" customHeight="1" thickBot="1" x14ac:dyDescent="0.25">
      <c r="A73" s="1326"/>
      <c r="B73" s="1331"/>
      <c r="C73" s="1337"/>
      <c r="D73" s="1374"/>
      <c r="E73" s="1375"/>
      <c r="F73" s="1143"/>
      <c r="G73" s="42" t="s">
        <v>6</v>
      </c>
      <c r="H73" s="190">
        <f>SUM(H62:H72)</f>
        <v>3218.9</v>
      </c>
      <c r="I73" s="190">
        <f t="shared" ref="I73:J73" si="0">SUM(I62:I72)</f>
        <v>3104.6</v>
      </c>
      <c r="J73" s="190">
        <f t="shared" si="0"/>
        <v>3104.6</v>
      </c>
      <c r="K73" s="274"/>
      <c r="L73" s="51"/>
      <c r="M73" s="712"/>
      <c r="N73" s="556"/>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row>
    <row r="74" spans="1:48" ht="14.25" customHeight="1" x14ac:dyDescent="0.2">
      <c r="A74" s="1301" t="s">
        <v>5</v>
      </c>
      <c r="B74" s="1303" t="s">
        <v>5</v>
      </c>
      <c r="C74" s="285" t="s">
        <v>26</v>
      </c>
      <c r="D74" s="1872" t="s">
        <v>54</v>
      </c>
      <c r="E74" s="299"/>
      <c r="F74" s="1307" t="s">
        <v>27</v>
      </c>
      <c r="G74" s="219" t="s">
        <v>24</v>
      </c>
      <c r="H74" s="143">
        <v>964.6</v>
      </c>
      <c r="I74" s="143">
        <v>1067.5999999999999</v>
      </c>
      <c r="J74" s="143">
        <v>958.3</v>
      </c>
      <c r="K74" s="1373"/>
      <c r="L74" s="1364"/>
      <c r="M74" s="1365"/>
      <c r="N74" s="1366"/>
    </row>
    <row r="75" spans="1:48" ht="13.5" customHeight="1" x14ac:dyDescent="0.2">
      <c r="A75" s="1478"/>
      <c r="B75" s="1480"/>
      <c r="C75" s="1482"/>
      <c r="D75" s="1873"/>
      <c r="E75" s="298"/>
      <c r="F75" s="1477"/>
      <c r="G75" s="1483" t="s">
        <v>58</v>
      </c>
      <c r="H75" s="318">
        <v>36</v>
      </c>
      <c r="I75" s="318"/>
      <c r="J75" s="318"/>
      <c r="K75" s="1481"/>
      <c r="L75" s="355"/>
      <c r="M75" s="320"/>
      <c r="N75" s="743"/>
    </row>
    <row r="76" spans="1:48" ht="13.5" customHeight="1" x14ac:dyDescent="0.2">
      <c r="A76" s="1326"/>
      <c r="B76" s="1327"/>
      <c r="C76" s="1337"/>
      <c r="D76" s="1709"/>
      <c r="E76" s="298"/>
      <c r="F76" s="1332"/>
      <c r="G76" s="1350" t="s">
        <v>40</v>
      </c>
      <c r="H76" s="318">
        <v>32.700000000000003</v>
      </c>
      <c r="I76" s="318">
        <v>32.700000000000003</v>
      </c>
      <c r="J76" s="318">
        <v>32.700000000000003</v>
      </c>
      <c r="K76" s="1346"/>
      <c r="L76" s="355"/>
      <c r="M76" s="320"/>
      <c r="N76" s="743"/>
    </row>
    <row r="77" spans="1:48" ht="12" customHeight="1" x14ac:dyDescent="0.2">
      <c r="A77" s="1326"/>
      <c r="B77" s="1327"/>
      <c r="C77" s="1337"/>
      <c r="D77" s="1769"/>
      <c r="E77" s="1381"/>
      <c r="F77" s="1332"/>
      <c r="G77" s="1350" t="s">
        <v>90</v>
      </c>
      <c r="H77" s="318"/>
      <c r="I77" s="1256"/>
      <c r="J77" s="1256"/>
      <c r="K77" s="172"/>
      <c r="L77" s="1360"/>
      <c r="M77" s="1003"/>
      <c r="N77" s="1361"/>
    </row>
    <row r="78" spans="1:48" ht="24.75" customHeight="1" x14ac:dyDescent="0.2">
      <c r="A78" s="1295"/>
      <c r="B78" s="1304"/>
      <c r="C78" s="1337"/>
      <c r="D78" s="1617" t="s">
        <v>472</v>
      </c>
      <c r="E78" s="1625" t="s">
        <v>66</v>
      </c>
      <c r="F78" s="1297"/>
      <c r="G78" s="70"/>
      <c r="H78" s="121"/>
      <c r="I78" s="1279"/>
      <c r="J78" s="1279"/>
      <c r="K78" s="1312" t="s">
        <v>441</v>
      </c>
      <c r="L78" s="246">
        <v>60</v>
      </c>
      <c r="M78" s="958">
        <v>80</v>
      </c>
      <c r="N78" s="766">
        <v>100</v>
      </c>
    </row>
    <row r="79" spans="1:48" ht="27" customHeight="1" x14ac:dyDescent="0.2">
      <c r="A79" s="1295"/>
      <c r="B79" s="1304"/>
      <c r="C79" s="1337"/>
      <c r="D79" s="1709"/>
      <c r="E79" s="1626"/>
      <c r="F79" s="1297"/>
      <c r="G79" s="28"/>
      <c r="H79" s="318"/>
      <c r="I79" s="1256"/>
      <c r="J79" s="1256"/>
      <c r="K79" s="1281" t="s">
        <v>293</v>
      </c>
      <c r="L79" s="374">
        <v>4</v>
      </c>
      <c r="M79" s="720">
        <v>4</v>
      </c>
      <c r="N79" s="972">
        <v>4</v>
      </c>
    </row>
    <row r="80" spans="1:48" ht="11.25" customHeight="1" x14ac:dyDescent="0.2">
      <c r="A80" s="1295"/>
      <c r="B80" s="1304"/>
      <c r="C80" s="1337"/>
      <c r="D80" s="1335"/>
      <c r="E80" s="1275"/>
      <c r="F80" s="1297"/>
      <c r="G80" s="28"/>
      <c r="H80" s="318"/>
      <c r="I80" s="318"/>
      <c r="J80" s="318"/>
      <c r="K80" s="1294" t="s">
        <v>218</v>
      </c>
      <c r="L80" s="160">
        <v>40</v>
      </c>
      <c r="M80" s="705">
        <v>40</v>
      </c>
      <c r="N80" s="744">
        <v>40</v>
      </c>
    </row>
    <row r="81" spans="1:14" ht="14.25" customHeight="1" x14ac:dyDescent="0.2">
      <c r="A81" s="1295"/>
      <c r="B81" s="1304"/>
      <c r="C81" s="1337"/>
      <c r="D81" s="1330"/>
      <c r="E81" s="1275"/>
      <c r="F81" s="1297"/>
      <c r="G81" s="28"/>
      <c r="H81" s="1342"/>
      <c r="I81" s="1339"/>
      <c r="J81" s="1339"/>
      <c r="K81" s="19" t="s">
        <v>477</v>
      </c>
      <c r="L81" s="1174">
        <v>15</v>
      </c>
      <c r="M81" s="1174">
        <v>15</v>
      </c>
      <c r="N81" s="1175">
        <v>15</v>
      </c>
    </row>
    <row r="82" spans="1:14" ht="27" customHeight="1" x14ac:dyDescent="0.2">
      <c r="A82" s="1295"/>
      <c r="B82" s="1304"/>
      <c r="C82" s="1337"/>
      <c r="D82" s="1377"/>
      <c r="E82" s="1008"/>
      <c r="F82" s="1009"/>
      <c r="G82" s="1016"/>
      <c r="H82" s="318"/>
      <c r="I82" s="1019"/>
      <c r="J82" s="1019"/>
      <c r="K82" s="351" t="s">
        <v>478</v>
      </c>
      <c r="L82" s="433">
        <v>1</v>
      </c>
      <c r="M82" s="961"/>
      <c r="N82" s="970"/>
    </row>
    <row r="83" spans="1:14" ht="39" customHeight="1" x14ac:dyDescent="0.2">
      <c r="A83" s="1295"/>
      <c r="B83" s="1304"/>
      <c r="C83" s="1337"/>
      <c r="D83" s="1015"/>
      <c r="E83" s="1008"/>
      <c r="F83" s="1009"/>
      <c r="G83" s="1016"/>
      <c r="H83" s="1018"/>
      <c r="I83" s="1019"/>
      <c r="J83" s="1019"/>
      <c r="K83" s="1292" t="s">
        <v>246</v>
      </c>
      <c r="L83" s="160"/>
      <c r="M83" s="705"/>
      <c r="N83" s="744"/>
    </row>
    <row r="84" spans="1:14" ht="12.95" customHeight="1" x14ac:dyDescent="0.2">
      <c r="A84" s="1295"/>
      <c r="B84" s="1304"/>
      <c r="C84" s="1337"/>
      <c r="D84" s="1330"/>
      <c r="E84" s="103"/>
      <c r="F84" s="1332"/>
      <c r="G84" s="28"/>
      <c r="H84" s="318"/>
      <c r="I84" s="1256"/>
      <c r="J84" s="1256"/>
      <c r="K84" s="1183" t="s">
        <v>267</v>
      </c>
      <c r="L84" s="374">
        <v>1</v>
      </c>
      <c r="M84" s="720"/>
      <c r="N84" s="972"/>
    </row>
    <row r="85" spans="1:14" ht="12.95" customHeight="1" x14ac:dyDescent="0.2">
      <c r="A85" s="1295"/>
      <c r="B85" s="1304"/>
      <c r="C85" s="1337"/>
      <c r="D85" s="1330"/>
      <c r="E85" s="103"/>
      <c r="F85" s="1332"/>
      <c r="G85" s="28"/>
      <c r="H85" s="318"/>
      <c r="I85" s="1256"/>
      <c r="J85" s="1256"/>
      <c r="K85" s="594" t="s">
        <v>268</v>
      </c>
      <c r="L85" s="301"/>
      <c r="M85" s="719">
        <v>3</v>
      </c>
      <c r="N85" s="975"/>
    </row>
    <row r="86" spans="1:14" ht="12.95" customHeight="1" x14ac:dyDescent="0.2">
      <c r="A86" s="1295"/>
      <c r="B86" s="1304"/>
      <c r="C86" s="1337"/>
      <c r="D86" s="1330"/>
      <c r="E86" s="103"/>
      <c r="F86" s="1332"/>
      <c r="G86" s="28"/>
      <c r="H86" s="318"/>
      <c r="I86" s="1256"/>
      <c r="J86" s="1256"/>
      <c r="K86" s="379" t="s">
        <v>269</v>
      </c>
      <c r="L86" s="160"/>
      <c r="M86" s="705"/>
      <c r="N86" s="744"/>
    </row>
    <row r="87" spans="1:14" ht="12.95" customHeight="1" x14ac:dyDescent="0.2">
      <c r="A87" s="1295"/>
      <c r="B87" s="1304"/>
      <c r="C87" s="1337"/>
      <c r="D87" s="1330"/>
      <c r="E87" s="103"/>
      <c r="F87" s="1332"/>
      <c r="G87" s="28"/>
      <c r="H87" s="318"/>
      <c r="I87" s="1256"/>
      <c r="J87" s="1256"/>
      <c r="K87" s="1323" t="s">
        <v>270</v>
      </c>
      <c r="L87" s="248"/>
      <c r="M87" s="718"/>
      <c r="N87" s="973"/>
    </row>
    <row r="88" spans="1:14" ht="12.75" customHeight="1" x14ac:dyDescent="0.2">
      <c r="A88" s="1295"/>
      <c r="B88" s="1304"/>
      <c r="C88" s="1337"/>
      <c r="D88" s="1330"/>
      <c r="E88" s="103"/>
      <c r="F88" s="1332"/>
      <c r="G88" s="28"/>
      <c r="H88" s="318"/>
      <c r="I88" s="1256"/>
      <c r="J88" s="1256"/>
      <c r="K88" s="1299" t="s">
        <v>266</v>
      </c>
      <c r="L88" s="301"/>
      <c r="M88" s="719"/>
      <c r="N88" s="975">
        <v>2</v>
      </c>
    </row>
    <row r="89" spans="1:14" ht="12.75" customHeight="1" x14ac:dyDescent="0.2">
      <c r="A89" s="1295"/>
      <c r="B89" s="1304"/>
      <c r="C89" s="1337"/>
      <c r="D89" s="1330"/>
      <c r="E89" s="103"/>
      <c r="F89" s="1332"/>
      <c r="G89" s="28"/>
      <c r="H89" s="318"/>
      <c r="I89" s="1256"/>
      <c r="J89" s="1256"/>
      <c r="K89" s="1481" t="s">
        <v>479</v>
      </c>
      <c r="L89" s="160"/>
      <c r="M89" s="705"/>
      <c r="N89" s="744"/>
    </row>
    <row r="90" spans="1:14" ht="27.75" customHeight="1" x14ac:dyDescent="0.2">
      <c r="A90" s="1478"/>
      <c r="B90" s="1480"/>
      <c r="C90" s="1482"/>
      <c r="D90" s="1479"/>
      <c r="E90" s="103"/>
      <c r="F90" s="1477"/>
      <c r="G90" s="28"/>
      <c r="H90" s="318"/>
      <c r="I90" s="1256"/>
      <c r="J90" s="1256"/>
      <c r="K90" s="251" t="s">
        <v>462</v>
      </c>
      <c r="L90" s="528">
        <v>2</v>
      </c>
      <c r="M90" s="721"/>
      <c r="N90" s="1171"/>
    </row>
    <row r="91" spans="1:14" ht="27" customHeight="1" x14ac:dyDescent="0.2">
      <c r="A91" s="1295"/>
      <c r="B91" s="1304"/>
      <c r="C91" s="1328"/>
      <c r="D91" s="1610" t="s">
        <v>128</v>
      </c>
      <c r="E91" s="1308"/>
      <c r="F91" s="1332"/>
      <c r="G91" s="1262"/>
      <c r="H91" s="121"/>
      <c r="I91" s="179"/>
      <c r="J91" s="179"/>
      <c r="K91" s="1905" t="s">
        <v>480</v>
      </c>
      <c r="L91" s="246">
        <v>1</v>
      </c>
      <c r="M91" s="958">
        <v>1</v>
      </c>
      <c r="N91" s="766">
        <v>1</v>
      </c>
    </row>
    <row r="92" spans="1:14" ht="22.5" customHeight="1" x14ac:dyDescent="0.2">
      <c r="A92" s="1295"/>
      <c r="B92" s="1304"/>
      <c r="C92" s="1337"/>
      <c r="D92" s="1611"/>
      <c r="E92" s="1310"/>
      <c r="F92" s="1332"/>
      <c r="G92" s="26"/>
      <c r="H92" s="122"/>
      <c r="I92" s="178"/>
      <c r="J92" s="178"/>
      <c r="K92" s="1906"/>
      <c r="L92" s="90"/>
      <c r="M92" s="710"/>
      <c r="N92" s="239"/>
    </row>
    <row r="93" spans="1:14" ht="12.95" customHeight="1" x14ac:dyDescent="0.2">
      <c r="A93" s="1295"/>
      <c r="B93" s="1304"/>
      <c r="C93" s="1337"/>
      <c r="D93" s="1610" t="s">
        <v>89</v>
      </c>
      <c r="E93" s="1907" t="s">
        <v>66</v>
      </c>
      <c r="F93" s="1297"/>
      <c r="G93" s="1350"/>
      <c r="H93" s="182"/>
      <c r="I93" s="180"/>
      <c r="J93" s="180"/>
      <c r="K93" s="450" t="s">
        <v>133</v>
      </c>
      <c r="L93" s="442">
        <v>22.5</v>
      </c>
      <c r="M93" s="1378">
        <v>22.5</v>
      </c>
      <c r="N93" s="1379">
        <v>22.5</v>
      </c>
    </row>
    <row r="94" spans="1:14" ht="12.95" customHeight="1" x14ac:dyDescent="0.2">
      <c r="A94" s="1295"/>
      <c r="B94" s="1304"/>
      <c r="C94" s="1337"/>
      <c r="D94" s="1617"/>
      <c r="E94" s="1908"/>
      <c r="F94" s="1297"/>
      <c r="G94" s="1325"/>
      <c r="H94" s="318"/>
      <c r="I94" s="1256"/>
      <c r="J94" s="1256"/>
      <c r="K94" s="480" t="s">
        <v>134</v>
      </c>
      <c r="L94" s="481">
        <v>108</v>
      </c>
      <c r="M94" s="1389">
        <v>108</v>
      </c>
      <c r="N94" s="1390">
        <v>108</v>
      </c>
    </row>
    <row r="95" spans="1:14" ht="12.95" customHeight="1" x14ac:dyDescent="0.2">
      <c r="A95" s="1295"/>
      <c r="B95" s="1296"/>
      <c r="C95" s="1328"/>
      <c r="D95" s="1617"/>
      <c r="E95" s="1908"/>
      <c r="F95" s="1297"/>
      <c r="G95" s="1325"/>
      <c r="H95" s="318"/>
      <c r="I95" s="1256"/>
      <c r="J95" s="1256"/>
      <c r="K95" s="519" t="s">
        <v>132</v>
      </c>
      <c r="L95" s="482">
        <v>5</v>
      </c>
      <c r="M95" s="723">
        <v>5</v>
      </c>
      <c r="N95" s="1391">
        <v>5</v>
      </c>
    </row>
    <row r="96" spans="1:14" ht="15" customHeight="1" x14ac:dyDescent="0.2">
      <c r="A96" s="1295"/>
      <c r="B96" s="1304"/>
      <c r="C96" s="1337"/>
      <c r="D96" s="1617"/>
      <c r="E96" s="1908"/>
      <c r="F96" s="1297"/>
      <c r="G96" s="1325"/>
      <c r="H96" s="318"/>
      <c r="I96" s="1256"/>
      <c r="J96" s="1256"/>
      <c r="K96" s="1855" t="s">
        <v>481</v>
      </c>
      <c r="L96" s="289">
        <v>1</v>
      </c>
      <c r="M96" s="418">
        <v>1</v>
      </c>
      <c r="N96" s="419">
        <v>1</v>
      </c>
    </row>
    <row r="97" spans="1:48" ht="12.75" customHeight="1" x14ac:dyDescent="0.2">
      <c r="A97" s="1295"/>
      <c r="B97" s="1304"/>
      <c r="C97" s="1337"/>
      <c r="D97" s="529"/>
      <c r="E97" s="1908"/>
      <c r="F97" s="1297"/>
      <c r="G97" s="1350"/>
      <c r="H97" s="1256"/>
      <c r="I97" s="1256"/>
      <c r="J97" s="1256"/>
      <c r="K97" s="1856"/>
      <c r="L97" s="1392"/>
      <c r="M97" s="1393"/>
      <c r="N97" s="455"/>
    </row>
    <row r="98" spans="1:48" ht="63.75" customHeight="1" x14ac:dyDescent="0.2">
      <c r="A98" s="1326"/>
      <c r="B98" s="1327"/>
      <c r="C98" s="1337"/>
      <c r="D98" s="1617"/>
      <c r="E98" s="595"/>
      <c r="F98" s="1332"/>
      <c r="G98" s="1350"/>
      <c r="H98" s="318"/>
      <c r="I98" s="318"/>
      <c r="J98" s="318"/>
      <c r="K98" s="1351" t="s">
        <v>482</v>
      </c>
      <c r="L98" s="95">
        <v>66</v>
      </c>
      <c r="M98" s="1348">
        <v>64</v>
      </c>
      <c r="N98" s="905">
        <v>60</v>
      </c>
    </row>
    <row r="99" spans="1:48" ht="26.25" customHeight="1" x14ac:dyDescent="0.2">
      <c r="A99" s="1326"/>
      <c r="B99" s="1331"/>
      <c r="C99" s="1328"/>
      <c r="D99" s="1708"/>
      <c r="E99" s="1190"/>
      <c r="F99" s="1187"/>
      <c r="G99" s="1350"/>
      <c r="H99" s="318"/>
      <c r="I99" s="1256"/>
      <c r="J99" s="318"/>
      <c r="K99" s="519" t="s">
        <v>393</v>
      </c>
      <c r="L99" s="482">
        <v>50</v>
      </c>
      <c r="M99" s="482">
        <v>100</v>
      </c>
      <c r="N99" s="1250"/>
    </row>
    <row r="100" spans="1:48" ht="41.25" customHeight="1" x14ac:dyDescent="0.2">
      <c r="A100" s="1326"/>
      <c r="B100" s="1327"/>
      <c r="C100" s="1337"/>
      <c r="D100" s="1330"/>
      <c r="E100" s="1190"/>
      <c r="F100" s="1187"/>
      <c r="G100" s="1350"/>
      <c r="H100" s="318"/>
      <c r="I100" s="1256"/>
      <c r="J100" s="1256"/>
      <c r="K100" s="1382" t="s">
        <v>483</v>
      </c>
      <c r="L100" s="290"/>
      <c r="M100" s="290"/>
      <c r="N100" s="522">
        <v>100</v>
      </c>
    </row>
    <row r="101" spans="1:48" ht="27.75" customHeight="1" x14ac:dyDescent="0.2">
      <c r="A101" s="1326"/>
      <c r="B101" s="1327"/>
      <c r="C101" s="1337"/>
      <c r="D101" s="529"/>
      <c r="E101" s="1380"/>
      <c r="F101" s="1332"/>
      <c r="G101" s="1350"/>
      <c r="H101" s="318"/>
      <c r="I101" s="1256"/>
      <c r="J101" s="1256"/>
      <c r="K101" s="596" t="s">
        <v>460</v>
      </c>
      <c r="L101" s="355"/>
      <c r="M101" s="320"/>
      <c r="N101" s="743"/>
    </row>
    <row r="102" spans="1:48" ht="14.1" customHeight="1" x14ac:dyDescent="0.2">
      <c r="A102" s="1295"/>
      <c r="B102" s="1304"/>
      <c r="C102" s="1337"/>
      <c r="D102" s="1617"/>
      <c r="E102" s="1190"/>
      <c r="F102" s="1187"/>
      <c r="G102" s="1350"/>
      <c r="H102" s="318"/>
      <c r="I102" s="1256"/>
      <c r="J102" s="1256"/>
      <c r="K102" s="450" t="s">
        <v>133</v>
      </c>
      <c r="L102" s="444">
        <v>1</v>
      </c>
      <c r="M102" s="963">
        <v>1</v>
      </c>
      <c r="N102" s="767">
        <v>1</v>
      </c>
    </row>
    <row r="103" spans="1:48" ht="14.1" customHeight="1" x14ac:dyDescent="0.2">
      <c r="A103" s="1295"/>
      <c r="B103" s="1304"/>
      <c r="C103" s="1337"/>
      <c r="D103" s="1617"/>
      <c r="E103" s="1190"/>
      <c r="F103" s="1187"/>
      <c r="G103" s="1350"/>
      <c r="H103" s="318"/>
      <c r="I103" s="1256"/>
      <c r="J103" s="1256"/>
      <c r="K103" s="450" t="s">
        <v>458</v>
      </c>
      <c r="L103" s="444">
        <v>1</v>
      </c>
      <c r="M103" s="963"/>
      <c r="N103" s="767"/>
    </row>
    <row r="104" spans="1:48" ht="14.1" customHeight="1" x14ac:dyDescent="0.2">
      <c r="A104" s="1295"/>
      <c r="B104" s="1304"/>
      <c r="C104" s="1337"/>
      <c r="D104" s="1709"/>
      <c r="E104" s="1394"/>
      <c r="F104" s="1187"/>
      <c r="G104" s="1350"/>
      <c r="H104" s="318"/>
      <c r="I104" s="1256"/>
      <c r="J104" s="1256"/>
      <c r="K104" s="1267" t="s">
        <v>459</v>
      </c>
      <c r="L104" s="506"/>
      <c r="M104" s="506">
        <v>1</v>
      </c>
      <c r="N104" s="1269"/>
      <c r="O104" s="291"/>
    </row>
    <row r="105" spans="1:48" ht="13.5" customHeight="1" x14ac:dyDescent="0.2">
      <c r="A105" s="1632"/>
      <c r="B105" s="1633"/>
      <c r="C105" s="1634"/>
      <c r="D105" s="1610" t="s">
        <v>342</v>
      </c>
      <c r="E105" s="1703"/>
      <c r="F105" s="1603"/>
      <c r="G105" s="1262"/>
      <c r="H105" s="121"/>
      <c r="I105" s="179"/>
      <c r="J105" s="179"/>
      <c r="K105" s="1436" t="s">
        <v>157</v>
      </c>
      <c r="L105" s="95">
        <v>2</v>
      </c>
      <c r="M105" s="1348">
        <v>2</v>
      </c>
      <c r="N105" s="905">
        <v>2</v>
      </c>
    </row>
    <row r="106" spans="1:48" ht="14.25" customHeight="1" x14ac:dyDescent="0.2">
      <c r="A106" s="1632"/>
      <c r="B106" s="1633"/>
      <c r="C106" s="1634"/>
      <c r="D106" s="1617"/>
      <c r="E106" s="1703"/>
      <c r="F106" s="1603"/>
      <c r="G106" s="1350"/>
      <c r="H106" s="318"/>
      <c r="I106" s="1256"/>
      <c r="J106" s="1256"/>
      <c r="K106" s="1436" t="s">
        <v>134</v>
      </c>
      <c r="L106" s="95">
        <v>5</v>
      </c>
      <c r="M106" s="1348">
        <v>5</v>
      </c>
      <c r="N106" s="905">
        <v>5</v>
      </c>
    </row>
    <row r="107" spans="1:48" ht="6" customHeight="1" x14ac:dyDescent="0.2">
      <c r="A107" s="1632"/>
      <c r="B107" s="1633"/>
      <c r="C107" s="1634"/>
      <c r="D107" s="1611"/>
      <c r="E107" s="1704"/>
      <c r="F107" s="1603"/>
      <c r="G107" s="354"/>
      <c r="H107" s="122"/>
      <c r="I107" s="178"/>
      <c r="J107" s="178"/>
      <c r="K107" s="1466"/>
      <c r="L107" s="90"/>
      <c r="M107" s="710"/>
      <c r="N107" s="239"/>
    </row>
    <row r="108" spans="1:48" ht="12.75" customHeight="1" x14ac:dyDescent="0.2">
      <c r="A108" s="1295"/>
      <c r="B108" s="1304"/>
      <c r="C108" s="1328"/>
      <c r="D108" s="1617" t="s">
        <v>63</v>
      </c>
      <c r="E108" s="1309"/>
      <c r="F108" s="1297"/>
      <c r="G108" s="1350"/>
      <c r="H108" s="318"/>
      <c r="I108" s="1256"/>
      <c r="J108" s="1256"/>
      <c r="K108" s="1334" t="s">
        <v>133</v>
      </c>
      <c r="L108" s="41">
        <v>2</v>
      </c>
      <c r="M108" s="727">
        <v>2</v>
      </c>
      <c r="N108" s="240">
        <v>2</v>
      </c>
    </row>
    <row r="109" spans="1:48" ht="12.75" customHeight="1" x14ac:dyDescent="0.2">
      <c r="A109" s="1295"/>
      <c r="B109" s="1304"/>
      <c r="C109" s="1337"/>
      <c r="D109" s="1617"/>
      <c r="E109" s="1309"/>
      <c r="F109" s="1297"/>
      <c r="G109" s="26"/>
      <c r="H109" s="122"/>
      <c r="I109" s="178"/>
      <c r="J109" s="178"/>
      <c r="K109" s="1314"/>
      <c r="L109" s="95"/>
      <c r="M109" s="1320"/>
      <c r="N109" s="905"/>
    </row>
    <row r="110" spans="1:48" s="10" customFormat="1" ht="16.5" customHeight="1" thickBot="1" x14ac:dyDescent="0.25">
      <c r="A110" s="1326"/>
      <c r="B110" s="1331"/>
      <c r="C110" s="1337"/>
      <c r="D110" s="1374"/>
      <c r="E110" s="1375"/>
      <c r="F110" s="1143"/>
      <c r="G110" s="42" t="s">
        <v>6</v>
      </c>
      <c r="H110" s="190">
        <f>SUM(H74:H109)</f>
        <v>1033.3</v>
      </c>
      <c r="I110" s="190">
        <f>SUM(I74:I109)</f>
        <v>1100.3</v>
      </c>
      <c r="J110" s="190">
        <f>SUM(J74:J109)</f>
        <v>991</v>
      </c>
      <c r="K110" s="274"/>
      <c r="L110" s="51"/>
      <c r="M110" s="712"/>
      <c r="N110" s="556"/>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row>
    <row r="111" spans="1:48" s="10" customFormat="1" ht="18" customHeight="1" x14ac:dyDescent="0.2">
      <c r="A111" s="1710" t="s">
        <v>5</v>
      </c>
      <c r="B111" s="1712" t="s">
        <v>5</v>
      </c>
      <c r="C111" s="1714" t="s">
        <v>34</v>
      </c>
      <c r="D111" s="1872" t="s">
        <v>55</v>
      </c>
      <c r="E111" s="1903" t="s">
        <v>118</v>
      </c>
      <c r="F111" s="1868" t="s">
        <v>27</v>
      </c>
      <c r="G111" s="219" t="s">
        <v>24</v>
      </c>
      <c r="H111" s="143">
        <f>2303.3+62.7</f>
        <v>2366</v>
      </c>
      <c r="I111" s="149">
        <v>2361.8000000000002</v>
      </c>
      <c r="J111" s="149">
        <v>2399.1999999999998</v>
      </c>
      <c r="K111" s="1892"/>
      <c r="L111" s="52"/>
      <c r="M111" s="1899"/>
      <c r="N111" s="1901"/>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row>
    <row r="112" spans="1:48" s="10" customFormat="1" ht="15" customHeight="1" x14ac:dyDescent="0.2">
      <c r="A112" s="1632"/>
      <c r="B112" s="1701"/>
      <c r="C112" s="1634"/>
      <c r="D112" s="1874"/>
      <c r="E112" s="1904"/>
      <c r="F112" s="1603"/>
      <c r="G112" s="354" t="s">
        <v>58</v>
      </c>
      <c r="H112" s="122">
        <v>4.7</v>
      </c>
      <c r="I112" s="1114"/>
      <c r="J112" s="1114"/>
      <c r="K112" s="1898"/>
      <c r="L112" s="95"/>
      <c r="M112" s="1900"/>
      <c r="N112" s="1902"/>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row>
    <row r="113" spans="1:48" s="10" customFormat="1" ht="15.75" customHeight="1" x14ac:dyDescent="0.2">
      <c r="A113" s="1632"/>
      <c r="B113" s="1633"/>
      <c r="C113" s="1634"/>
      <c r="D113" s="1617" t="s">
        <v>106</v>
      </c>
      <c r="E113" s="1864" t="s">
        <v>69</v>
      </c>
      <c r="F113" s="1603"/>
      <c r="G113" s="1262"/>
      <c r="H113" s="129"/>
      <c r="I113" s="129"/>
      <c r="J113" s="129"/>
      <c r="K113" s="1314" t="s">
        <v>72</v>
      </c>
      <c r="L113" s="166">
        <v>16.899999999999999</v>
      </c>
      <c r="M113" s="728">
        <v>17.5</v>
      </c>
      <c r="N113" s="980">
        <v>18.2</v>
      </c>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row>
    <row r="114" spans="1:48" s="10" customFormat="1" ht="15.75" customHeight="1" x14ac:dyDescent="0.2">
      <c r="A114" s="1632"/>
      <c r="B114" s="1633"/>
      <c r="C114" s="1634"/>
      <c r="D114" s="1611"/>
      <c r="E114" s="1865"/>
      <c r="F114" s="1603"/>
      <c r="G114" s="354"/>
      <c r="H114" s="122"/>
      <c r="I114" s="1114"/>
      <c r="J114" s="1114"/>
      <c r="K114" s="273" t="s">
        <v>51</v>
      </c>
      <c r="L114" s="618">
        <v>9.4</v>
      </c>
      <c r="M114" s="618">
        <v>9.6999999999999993</v>
      </c>
      <c r="N114" s="1196">
        <v>10.1</v>
      </c>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row>
    <row r="115" spans="1:48" s="10" customFormat="1" ht="15" customHeight="1" x14ac:dyDescent="0.2">
      <c r="A115" s="1295"/>
      <c r="B115" s="1304"/>
      <c r="C115" s="1328"/>
      <c r="D115" s="1610" t="s">
        <v>196</v>
      </c>
      <c r="E115" s="1308"/>
      <c r="F115" s="1297"/>
      <c r="G115" s="1325"/>
      <c r="H115" s="121"/>
      <c r="I115" s="121"/>
      <c r="J115" s="121"/>
      <c r="K115" s="1293" t="s">
        <v>51</v>
      </c>
      <c r="L115" s="452">
        <v>0.4</v>
      </c>
      <c r="M115" s="452">
        <v>0.4</v>
      </c>
      <c r="N115" s="453">
        <v>0.4</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row>
    <row r="116" spans="1:48" s="10" customFormat="1" ht="27" customHeight="1" x14ac:dyDescent="0.2">
      <c r="A116" s="1295"/>
      <c r="B116" s="1304"/>
      <c r="C116" s="1328"/>
      <c r="D116" s="1617"/>
      <c r="E116" s="1119"/>
      <c r="F116" s="1297"/>
      <c r="G116" s="1325"/>
      <c r="H116" s="318"/>
      <c r="I116" s="318"/>
      <c r="J116" s="318"/>
      <c r="K116" s="55" t="s">
        <v>470</v>
      </c>
      <c r="L116" s="1122">
        <v>1206</v>
      </c>
      <c r="M116" s="1122">
        <v>1206</v>
      </c>
      <c r="N116" s="977">
        <v>1206</v>
      </c>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row>
    <row r="117" spans="1:48" s="10" customFormat="1" ht="37.5" customHeight="1" x14ac:dyDescent="0.2">
      <c r="A117" s="1577"/>
      <c r="B117" s="1580"/>
      <c r="C117" s="1579"/>
      <c r="D117" s="1617"/>
      <c r="E117" s="1119"/>
      <c r="F117" s="1576"/>
      <c r="G117" s="1583"/>
      <c r="H117" s="318"/>
      <c r="I117" s="318"/>
      <c r="J117" s="318"/>
      <c r="K117" s="55" t="s">
        <v>471</v>
      </c>
      <c r="L117" s="1585">
        <v>22.2</v>
      </c>
      <c r="M117" s="1586">
        <v>22.2</v>
      </c>
      <c r="N117" s="1587">
        <v>22.2</v>
      </c>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row>
    <row r="118" spans="1:48" s="10" customFormat="1" ht="26.25" customHeight="1" x14ac:dyDescent="0.2">
      <c r="A118" s="1295"/>
      <c r="B118" s="1304"/>
      <c r="C118" s="1328"/>
      <c r="D118" s="1624"/>
      <c r="E118" s="1315"/>
      <c r="F118" s="1297"/>
      <c r="G118" s="354"/>
      <c r="H118" s="122"/>
      <c r="I118" s="122"/>
      <c r="J118" s="122"/>
      <c r="K118" s="1123" t="s">
        <v>484</v>
      </c>
      <c r="L118" s="1125">
        <v>3</v>
      </c>
      <c r="M118" s="90">
        <v>3</v>
      </c>
      <c r="N118" s="239">
        <v>3</v>
      </c>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row>
    <row r="119" spans="1:48" s="10" customFormat="1" ht="13.5" customHeight="1" x14ac:dyDescent="0.2">
      <c r="A119" s="1295"/>
      <c r="B119" s="1304"/>
      <c r="C119" s="1446"/>
      <c r="D119" s="1610" t="s">
        <v>444</v>
      </c>
      <c r="E119" s="1447"/>
      <c r="F119" s="1297"/>
      <c r="G119" s="1262"/>
      <c r="H119" s="121"/>
      <c r="I119" s="121"/>
      <c r="J119" s="121"/>
      <c r="K119" s="1450"/>
      <c r="L119" s="993"/>
      <c r="M119" s="156"/>
      <c r="N119" s="240"/>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row>
    <row r="120" spans="1:48" s="10" customFormat="1" ht="12.75" customHeight="1" x14ac:dyDescent="0.2">
      <c r="A120" s="1295"/>
      <c r="B120" s="1304"/>
      <c r="C120" s="1461"/>
      <c r="D120" s="1895"/>
      <c r="E120" s="1462"/>
      <c r="F120" s="1311"/>
      <c r="G120" s="1437"/>
      <c r="H120" s="318"/>
      <c r="I120" s="318"/>
      <c r="J120" s="318"/>
      <c r="K120" s="1453"/>
      <c r="L120" s="1463"/>
      <c r="M120" s="893"/>
      <c r="N120" s="978"/>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row>
    <row r="121" spans="1:48" s="10" customFormat="1" ht="13.5" customHeight="1" x14ac:dyDescent="0.2">
      <c r="A121" s="1295"/>
      <c r="B121" s="1304"/>
      <c r="C121" s="1896" t="s">
        <v>405</v>
      </c>
      <c r="D121" s="1444"/>
      <c r="E121" s="1445"/>
      <c r="F121" s="1452"/>
      <c r="G121" s="1454"/>
      <c r="H121" s="318"/>
      <c r="I121" s="1448"/>
      <c r="J121" s="318"/>
      <c r="K121" s="1451" t="s">
        <v>418</v>
      </c>
      <c r="L121" s="563">
        <v>7</v>
      </c>
      <c r="M121" s="155"/>
      <c r="N121" s="905"/>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row>
    <row r="122" spans="1:48" s="10" customFormat="1" ht="27" customHeight="1" x14ac:dyDescent="0.2">
      <c r="A122" s="1295"/>
      <c r="B122" s="1304"/>
      <c r="C122" s="1896"/>
      <c r="D122" s="1232" t="s">
        <v>485</v>
      </c>
      <c r="E122" s="1445"/>
      <c r="F122" s="1452"/>
      <c r="G122" s="1454"/>
      <c r="H122" s="318"/>
      <c r="I122" s="1448"/>
      <c r="J122" s="1448"/>
      <c r="K122" s="1451" t="s">
        <v>403</v>
      </c>
      <c r="L122" s="563">
        <v>100</v>
      </c>
      <c r="M122" s="155"/>
      <c r="N122" s="905"/>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row>
    <row r="123" spans="1:48" s="10" customFormat="1" ht="24.75" customHeight="1" x14ac:dyDescent="0.2">
      <c r="A123" s="1295"/>
      <c r="B123" s="1304"/>
      <c r="C123" s="1896"/>
      <c r="D123" s="1232" t="s">
        <v>400</v>
      </c>
      <c r="E123" s="1445"/>
      <c r="F123" s="1452"/>
      <c r="G123" s="1454"/>
      <c r="H123" s="318"/>
      <c r="I123" s="1448"/>
      <c r="J123" s="1448"/>
      <c r="K123" s="1451"/>
      <c r="L123" s="563"/>
      <c r="M123" s="563"/>
      <c r="N123" s="905"/>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row>
    <row r="124" spans="1:48" s="10" customFormat="1" ht="16.5" customHeight="1" x14ac:dyDescent="0.2">
      <c r="A124" s="1295"/>
      <c r="B124" s="1304"/>
      <c r="C124" s="1896"/>
      <c r="D124" s="1232" t="s">
        <v>417</v>
      </c>
      <c r="E124" s="1445"/>
      <c r="F124" s="1452"/>
      <c r="G124" s="1454"/>
      <c r="H124" s="318"/>
      <c r="I124" s="1448"/>
      <c r="J124" s="318"/>
      <c r="K124" s="1455"/>
      <c r="L124" s="563"/>
      <c r="M124" s="155"/>
      <c r="N124" s="905"/>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row>
    <row r="125" spans="1:48" s="10" customFormat="1" ht="12" customHeight="1" x14ac:dyDescent="0.2">
      <c r="A125" s="1295"/>
      <c r="B125" s="1304"/>
      <c r="C125" s="1897"/>
      <c r="D125" s="1255" t="s">
        <v>486</v>
      </c>
      <c r="E125" s="1462"/>
      <c r="F125" s="1465"/>
      <c r="G125" s="587"/>
      <c r="H125" s="123"/>
      <c r="I125" s="169"/>
      <c r="J125" s="169"/>
      <c r="K125" s="1283"/>
      <c r="L125" s="1463"/>
      <c r="M125" s="893"/>
      <c r="N125" s="978"/>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row>
    <row r="126" spans="1:48" s="10" customFormat="1" ht="15" customHeight="1" x14ac:dyDescent="0.2">
      <c r="A126" s="1295"/>
      <c r="B126" s="1304"/>
      <c r="C126" s="1896" t="s">
        <v>427</v>
      </c>
      <c r="D126" s="1255"/>
      <c r="E126" s="1445"/>
      <c r="F126" s="1311"/>
      <c r="G126" s="1454"/>
      <c r="H126" s="318"/>
      <c r="I126" s="1448"/>
      <c r="J126" s="1448"/>
      <c r="K126" s="1451" t="s">
        <v>418</v>
      </c>
      <c r="L126" s="563"/>
      <c r="M126" s="563">
        <v>2</v>
      </c>
      <c r="N126" s="905"/>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row>
    <row r="127" spans="1:48" s="10" customFormat="1" ht="13.5" customHeight="1" x14ac:dyDescent="0.2">
      <c r="A127" s="1295"/>
      <c r="B127" s="1304"/>
      <c r="C127" s="1896"/>
      <c r="D127" s="1255" t="s">
        <v>398</v>
      </c>
      <c r="E127" s="1313"/>
      <c r="F127" s="1311"/>
      <c r="G127" s="1325"/>
      <c r="H127" s="318"/>
      <c r="I127" s="1317"/>
      <c r="J127" s="1317"/>
      <c r="K127" s="1294" t="s">
        <v>403</v>
      </c>
      <c r="L127" s="563"/>
      <c r="M127" s="563">
        <v>50</v>
      </c>
      <c r="N127" s="606">
        <v>100</v>
      </c>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row>
    <row r="128" spans="1:48" s="10" customFormat="1" ht="17.25" customHeight="1" x14ac:dyDescent="0.2">
      <c r="A128" s="1295"/>
      <c r="B128" s="1304"/>
      <c r="C128" s="1896"/>
      <c r="D128" s="1232" t="s">
        <v>401</v>
      </c>
      <c r="E128" s="1313"/>
      <c r="F128" s="1311"/>
      <c r="G128" s="1325"/>
      <c r="H128" s="318"/>
      <c r="I128" s="1317"/>
      <c r="J128" s="1317"/>
      <c r="K128" s="1294"/>
      <c r="L128" s="563"/>
      <c r="M128" s="563"/>
      <c r="N128" s="905"/>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row>
    <row r="129" spans="1:48" s="10" customFormat="1" ht="24" customHeight="1" x14ac:dyDescent="0.2">
      <c r="A129" s="1295"/>
      <c r="B129" s="1304"/>
      <c r="C129" s="1896"/>
      <c r="D129" s="1232" t="s">
        <v>489</v>
      </c>
      <c r="E129" s="1313"/>
      <c r="F129" s="1311"/>
      <c r="G129" s="1325"/>
      <c r="H129" s="318"/>
      <c r="I129" s="1317"/>
      <c r="J129" s="1317"/>
      <c r="K129" s="1294"/>
      <c r="L129" s="563"/>
      <c r="M129" s="155"/>
      <c r="N129" s="905"/>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row>
    <row r="130" spans="1:48" s="10" customFormat="1" ht="15.75" customHeight="1" x14ac:dyDescent="0.2">
      <c r="A130" s="1295"/>
      <c r="B130" s="1304"/>
      <c r="C130" s="1464"/>
      <c r="D130" s="1255" t="s">
        <v>490</v>
      </c>
      <c r="E130" s="1462"/>
      <c r="F130" s="1311"/>
      <c r="G130" s="354"/>
      <c r="H130" s="122"/>
      <c r="I130" s="1114"/>
      <c r="J130" s="1114"/>
      <c r="K130" s="1346"/>
      <c r="L130" s="563"/>
      <c r="M130" s="155"/>
      <c r="N130" s="905"/>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row>
    <row r="131" spans="1:48" s="10" customFormat="1" ht="16.5" customHeight="1" thickBot="1" x14ac:dyDescent="0.25">
      <c r="A131" s="1326"/>
      <c r="B131" s="1331"/>
      <c r="C131" s="1337"/>
      <c r="D131" s="1374"/>
      <c r="E131" s="1375"/>
      <c r="F131" s="1143"/>
      <c r="G131" s="42" t="s">
        <v>6</v>
      </c>
      <c r="H131" s="190">
        <f>SUM(H111:H130)</f>
        <v>2370.6999999999998</v>
      </c>
      <c r="I131" s="190">
        <f t="shared" ref="I131:J131" si="1">SUM(I111:I130)</f>
        <v>2361.8000000000002</v>
      </c>
      <c r="J131" s="190">
        <f t="shared" si="1"/>
        <v>2399.1999999999998</v>
      </c>
      <c r="K131" s="274"/>
      <c r="L131" s="51"/>
      <c r="M131" s="712"/>
      <c r="N131" s="556"/>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row>
    <row r="132" spans="1:48" s="10" customFormat="1" ht="13.5" customHeight="1" x14ac:dyDescent="0.2">
      <c r="A132" s="1710" t="s">
        <v>5</v>
      </c>
      <c r="B132" s="1712" t="s">
        <v>5</v>
      </c>
      <c r="C132" s="1714" t="s">
        <v>35</v>
      </c>
      <c r="D132" s="1716" t="s">
        <v>491</v>
      </c>
      <c r="E132" s="1718"/>
      <c r="F132" s="1721" t="s">
        <v>50</v>
      </c>
      <c r="G132" s="572" t="s">
        <v>24</v>
      </c>
      <c r="H132" s="143">
        <v>152.30000000000001</v>
      </c>
      <c r="I132" s="149">
        <v>152.30000000000001</v>
      </c>
      <c r="J132" s="149">
        <v>152.30000000000001</v>
      </c>
      <c r="K132" s="1298" t="s">
        <v>135</v>
      </c>
      <c r="L132" s="52">
        <v>147</v>
      </c>
      <c r="M132" s="1319">
        <v>147</v>
      </c>
      <c r="N132" s="981">
        <v>147</v>
      </c>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row>
    <row r="133" spans="1:48" s="10" customFormat="1" ht="14.25" customHeight="1" x14ac:dyDescent="0.2">
      <c r="A133" s="1632"/>
      <c r="B133" s="1701"/>
      <c r="C133" s="1634"/>
      <c r="D133" s="1617"/>
      <c r="E133" s="1719"/>
      <c r="F133" s="1722"/>
      <c r="G133" s="567" t="s">
        <v>58</v>
      </c>
      <c r="H133" s="122">
        <v>135.19999999999999</v>
      </c>
      <c r="I133" s="122"/>
      <c r="J133" s="122"/>
      <c r="K133" s="1236"/>
      <c r="L133" s="95"/>
      <c r="M133" s="1320"/>
      <c r="N133" s="905"/>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row>
    <row r="134" spans="1:48" s="10" customFormat="1" ht="16.5" customHeight="1" thickBot="1" x14ac:dyDescent="0.25">
      <c r="A134" s="1711"/>
      <c r="B134" s="1713"/>
      <c r="C134" s="1715"/>
      <c r="D134" s="1717"/>
      <c r="E134" s="1720"/>
      <c r="F134" s="1723"/>
      <c r="G134" s="42" t="s">
        <v>6</v>
      </c>
      <c r="H134" s="190">
        <f t="shared" ref="H134:I134" si="2">SUM(H132:H133)</f>
        <v>287.5</v>
      </c>
      <c r="I134" s="190">
        <f t="shared" si="2"/>
        <v>152.30000000000001</v>
      </c>
      <c r="J134" s="209">
        <f t="shared" ref="J134" si="3">SUM(J132:J132)</f>
        <v>152.30000000000001</v>
      </c>
      <c r="K134" s="274"/>
      <c r="L134" s="51"/>
      <c r="M134" s="712"/>
      <c r="N134" s="556"/>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row>
    <row r="135" spans="1:48" s="10" customFormat="1" ht="15.75" customHeight="1" x14ac:dyDescent="0.2">
      <c r="A135" s="1710" t="s">
        <v>5</v>
      </c>
      <c r="B135" s="1712" t="s">
        <v>5</v>
      </c>
      <c r="C135" s="1714" t="s">
        <v>28</v>
      </c>
      <c r="D135" s="1716" t="s">
        <v>488</v>
      </c>
      <c r="E135" s="1718"/>
      <c r="F135" s="1721" t="s">
        <v>50</v>
      </c>
      <c r="G135" s="572" t="s">
        <v>24</v>
      </c>
      <c r="H135" s="143">
        <v>16.8</v>
      </c>
      <c r="I135" s="143">
        <v>16.8</v>
      </c>
      <c r="J135" s="143">
        <v>16.8</v>
      </c>
      <c r="K135" s="1892" t="s">
        <v>487</v>
      </c>
      <c r="L135" s="52">
        <v>2</v>
      </c>
      <c r="M135" s="1320">
        <v>2</v>
      </c>
      <c r="N135" s="905">
        <v>2</v>
      </c>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row>
    <row r="136" spans="1:48" s="10" customFormat="1" ht="13.5" customHeight="1" x14ac:dyDescent="0.2">
      <c r="A136" s="1632"/>
      <c r="B136" s="1701"/>
      <c r="C136" s="1634"/>
      <c r="D136" s="1617"/>
      <c r="E136" s="1719"/>
      <c r="F136" s="1722"/>
      <c r="G136" s="567"/>
      <c r="H136" s="122"/>
      <c r="I136" s="571"/>
      <c r="J136" s="571"/>
      <c r="K136" s="1653"/>
      <c r="L136" s="95"/>
      <c r="M136" s="1320"/>
      <c r="N136" s="905"/>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row>
    <row r="137" spans="1:48" s="10" customFormat="1" ht="16.5" customHeight="1" thickBot="1" x14ac:dyDescent="0.25">
      <c r="A137" s="1711"/>
      <c r="B137" s="1713"/>
      <c r="C137" s="1715"/>
      <c r="D137" s="1717"/>
      <c r="E137" s="1720"/>
      <c r="F137" s="1723"/>
      <c r="G137" s="42" t="s">
        <v>6</v>
      </c>
      <c r="H137" s="190">
        <f>SUM(H135:H136)</f>
        <v>16.8</v>
      </c>
      <c r="I137" s="209">
        <f>SUM(I135:I136)</f>
        <v>16.8</v>
      </c>
      <c r="J137" s="209">
        <f>SUM(J135:J136)</f>
        <v>16.8</v>
      </c>
      <c r="K137" s="274"/>
      <c r="L137" s="51"/>
      <c r="M137" s="712"/>
      <c r="N137" s="556"/>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row>
    <row r="138" spans="1:48" s="10" customFormat="1" ht="14.1" customHeight="1" x14ac:dyDescent="0.2">
      <c r="A138" s="1301" t="s">
        <v>5</v>
      </c>
      <c r="B138" s="1303" t="s">
        <v>5</v>
      </c>
      <c r="C138" s="1338" t="s">
        <v>36</v>
      </c>
      <c r="D138" s="1732" t="s">
        <v>165</v>
      </c>
      <c r="E138" s="275" t="s">
        <v>47</v>
      </c>
      <c r="F138" s="1307" t="s">
        <v>46</v>
      </c>
      <c r="G138" s="1262" t="s">
        <v>24</v>
      </c>
      <c r="H138" s="143">
        <v>839.3</v>
      </c>
      <c r="I138" s="143">
        <v>3064.2</v>
      </c>
      <c r="J138" s="143">
        <v>3018.2</v>
      </c>
      <c r="K138" s="1893"/>
      <c r="L138" s="141"/>
      <c r="M138" s="729"/>
      <c r="N138" s="237"/>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row>
    <row r="139" spans="1:48" s="10" customFormat="1" ht="14.1" customHeight="1" x14ac:dyDescent="0.2">
      <c r="A139" s="1326"/>
      <c r="B139" s="1327"/>
      <c r="C139" s="1328"/>
      <c r="D139" s="1733"/>
      <c r="E139" s="319"/>
      <c r="F139" s="1332"/>
      <c r="G139" s="1350" t="s">
        <v>58</v>
      </c>
      <c r="H139" s="318">
        <v>816.5</v>
      </c>
      <c r="I139" s="318"/>
      <c r="J139" s="318"/>
      <c r="K139" s="1894"/>
      <c r="L139" s="142"/>
      <c r="M139" s="375"/>
      <c r="N139" s="238"/>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row>
    <row r="140" spans="1:48" s="10" customFormat="1" ht="14.1" customHeight="1" x14ac:dyDescent="0.2">
      <c r="A140" s="1326"/>
      <c r="B140" s="1327"/>
      <c r="C140" s="1328"/>
      <c r="D140" s="1733"/>
      <c r="E140" s="319"/>
      <c r="F140" s="1332"/>
      <c r="G140" s="1350" t="s">
        <v>428</v>
      </c>
      <c r="H140" s="318">
        <v>164.2</v>
      </c>
      <c r="I140" s="318">
        <v>260.60000000000002</v>
      </c>
      <c r="J140" s="318">
        <v>106.4</v>
      </c>
      <c r="K140" s="1894"/>
      <c r="L140" s="142"/>
      <c r="M140" s="375"/>
      <c r="N140" s="238"/>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row>
    <row r="141" spans="1:48" s="10" customFormat="1" ht="14.1" customHeight="1" x14ac:dyDescent="0.2">
      <c r="A141" s="1326"/>
      <c r="B141" s="1327"/>
      <c r="C141" s="1328"/>
      <c r="D141" s="1733"/>
      <c r="E141" s="319"/>
      <c r="F141" s="1332"/>
      <c r="G141" s="1350" t="s">
        <v>429</v>
      </c>
      <c r="H141" s="318">
        <v>1861.9</v>
      </c>
      <c r="I141" s="318">
        <v>2952.4</v>
      </c>
      <c r="J141" s="318">
        <v>1205.0999999999999</v>
      </c>
      <c r="K141" s="1894"/>
      <c r="L141" s="142"/>
      <c r="M141" s="375"/>
      <c r="N141" s="238"/>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row>
    <row r="142" spans="1:48" s="10" customFormat="1" ht="14.1" customHeight="1" x14ac:dyDescent="0.2">
      <c r="A142" s="1326"/>
      <c r="B142" s="1327"/>
      <c r="C142" s="1328"/>
      <c r="D142" s="1733"/>
      <c r="E142" s="319"/>
      <c r="F142" s="1332"/>
      <c r="G142" s="1350" t="s">
        <v>48</v>
      </c>
      <c r="H142" s="318">
        <v>737.4</v>
      </c>
      <c r="I142" s="318">
        <v>2977.7</v>
      </c>
      <c r="J142" s="318">
        <v>3305.4</v>
      </c>
      <c r="K142" s="1894"/>
      <c r="L142" s="142"/>
      <c r="M142" s="375"/>
      <c r="N142" s="238"/>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row>
    <row r="143" spans="1:48" s="10" customFormat="1" ht="14.1" customHeight="1" x14ac:dyDescent="0.2">
      <c r="A143" s="1295"/>
      <c r="B143" s="1304"/>
      <c r="C143" s="1328"/>
      <c r="D143" s="1733"/>
      <c r="E143" s="1309"/>
      <c r="F143" s="1297"/>
      <c r="G143" s="1350" t="s">
        <v>247</v>
      </c>
      <c r="H143" s="318">
        <v>65.099999999999994</v>
      </c>
      <c r="I143" s="318">
        <v>262.7</v>
      </c>
      <c r="J143" s="318">
        <v>291.7</v>
      </c>
      <c r="K143" s="1894"/>
      <c r="L143" s="142"/>
      <c r="M143" s="375"/>
      <c r="N143" s="238"/>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row>
    <row r="144" spans="1:48" s="10" customFormat="1" ht="16.5" customHeight="1" x14ac:dyDescent="0.2">
      <c r="A144" s="1295"/>
      <c r="B144" s="1304"/>
      <c r="C144" s="1328"/>
      <c r="D144" s="1610" t="s">
        <v>190</v>
      </c>
      <c r="E144" s="1736" t="s">
        <v>99</v>
      </c>
      <c r="F144" s="1603"/>
      <c r="G144" s="1262"/>
      <c r="H144" s="121"/>
      <c r="I144" s="121"/>
      <c r="J144" s="121"/>
      <c r="K144" s="1312" t="s">
        <v>98</v>
      </c>
      <c r="L144" s="41">
        <v>1</v>
      </c>
      <c r="M144" s="156"/>
      <c r="N144" s="240"/>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row>
    <row r="145" spans="1:48" s="10" customFormat="1" ht="13.5" customHeight="1" x14ac:dyDescent="0.2">
      <c r="A145" s="1295"/>
      <c r="B145" s="1304"/>
      <c r="C145" s="1328"/>
      <c r="D145" s="1617"/>
      <c r="E145" s="1737"/>
      <c r="F145" s="1603"/>
      <c r="G145" s="1325"/>
      <c r="H145" s="318"/>
      <c r="I145" s="318"/>
      <c r="J145" s="318"/>
      <c r="K145" s="1403" t="s">
        <v>136</v>
      </c>
      <c r="L145" s="95"/>
      <c r="M145" s="155">
        <v>30</v>
      </c>
      <c r="N145" s="905">
        <v>60</v>
      </c>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row>
    <row r="146" spans="1:48" s="10" customFormat="1" ht="12" customHeight="1" x14ac:dyDescent="0.2">
      <c r="A146" s="1295"/>
      <c r="B146" s="1304"/>
      <c r="C146" s="1328"/>
      <c r="D146" s="1611"/>
      <c r="E146" s="1738"/>
      <c r="F146" s="1603"/>
      <c r="G146" s="354"/>
      <c r="H146" s="122"/>
      <c r="I146" s="122"/>
      <c r="J146" s="122"/>
      <c r="K146" s="1352"/>
      <c r="L146" s="90"/>
      <c r="M146" s="157"/>
      <c r="N146" s="239"/>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row>
    <row r="147" spans="1:48" s="10" customFormat="1" ht="14.25" customHeight="1" x14ac:dyDescent="0.2">
      <c r="A147" s="1295"/>
      <c r="B147" s="1304"/>
      <c r="C147" s="1328"/>
      <c r="D147" s="1610" t="s">
        <v>258</v>
      </c>
      <c r="E147" s="1627" t="s">
        <v>65</v>
      </c>
      <c r="F147" s="1603"/>
      <c r="G147" s="1262"/>
      <c r="H147" s="121"/>
      <c r="I147" s="121"/>
      <c r="J147" s="121"/>
      <c r="K147" s="1415" t="s">
        <v>98</v>
      </c>
      <c r="L147" s="41">
        <v>1</v>
      </c>
      <c r="M147" s="156"/>
      <c r="N147" s="240"/>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row>
    <row r="148" spans="1:48" s="10" customFormat="1" ht="13.5" customHeight="1" x14ac:dyDescent="0.2">
      <c r="A148" s="1295"/>
      <c r="B148" s="1304"/>
      <c r="C148" s="1328"/>
      <c r="D148" s="1617"/>
      <c r="E148" s="1628"/>
      <c r="F148" s="1603"/>
      <c r="G148" s="1325"/>
      <c r="H148" s="193"/>
      <c r="I148" s="318"/>
      <c r="J148" s="318"/>
      <c r="K148" s="1614" t="s">
        <v>137</v>
      </c>
      <c r="L148" s="95">
        <v>30</v>
      </c>
      <c r="M148" s="155">
        <v>50</v>
      </c>
      <c r="N148" s="905">
        <v>100</v>
      </c>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row>
    <row r="149" spans="1:48" s="10" customFormat="1" ht="8.25" customHeight="1" x14ac:dyDescent="0.2">
      <c r="A149" s="1295"/>
      <c r="B149" s="1304"/>
      <c r="C149" s="1328"/>
      <c r="D149" s="1617"/>
      <c r="E149" s="1628"/>
      <c r="F149" s="1603"/>
      <c r="G149" s="1325"/>
      <c r="H149" s="318"/>
      <c r="I149" s="318"/>
      <c r="J149" s="318"/>
      <c r="K149" s="1614"/>
      <c r="L149" s="95"/>
      <c r="M149" s="155"/>
      <c r="N149" s="905"/>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row>
    <row r="150" spans="1:48" s="10" customFormat="1" ht="9" customHeight="1" x14ac:dyDescent="0.2">
      <c r="A150" s="1295"/>
      <c r="B150" s="1304"/>
      <c r="C150" s="1328"/>
      <c r="D150" s="1617"/>
      <c r="E150" s="1628"/>
      <c r="F150" s="1603"/>
      <c r="G150" s="1325"/>
      <c r="H150" s="318"/>
      <c r="I150" s="318"/>
      <c r="J150" s="318"/>
      <c r="K150" s="1891"/>
      <c r="L150" s="95"/>
      <c r="M150" s="155"/>
      <c r="N150" s="905"/>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row>
    <row r="151" spans="1:48" s="10" customFormat="1" ht="15.75" customHeight="1" x14ac:dyDescent="0.2">
      <c r="A151" s="1295"/>
      <c r="B151" s="1304"/>
      <c r="C151" s="1328"/>
      <c r="D151" s="1610" t="s">
        <v>492</v>
      </c>
      <c r="E151" s="1727" t="s">
        <v>446</v>
      </c>
      <c r="F151" s="1603"/>
      <c r="G151" s="1262"/>
      <c r="H151" s="121"/>
      <c r="I151" s="121"/>
      <c r="J151" s="121"/>
      <c r="K151" s="1599" t="s">
        <v>98</v>
      </c>
      <c r="L151" s="41">
        <v>1</v>
      </c>
      <c r="M151" s="156"/>
      <c r="N151" s="240"/>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row>
    <row r="152" spans="1:48" s="10" customFormat="1" ht="16.5" customHeight="1" x14ac:dyDescent="0.2">
      <c r="A152" s="1295"/>
      <c r="B152" s="1304"/>
      <c r="C152" s="1328"/>
      <c r="D152" s="1617"/>
      <c r="E152" s="1728"/>
      <c r="F152" s="1603"/>
      <c r="G152" s="1325"/>
      <c r="H152" s="318"/>
      <c r="I152" s="318"/>
      <c r="J152" s="318"/>
      <c r="K152" s="1940" t="s">
        <v>138</v>
      </c>
      <c r="L152" s="95">
        <v>30</v>
      </c>
      <c r="M152" s="155">
        <v>60</v>
      </c>
      <c r="N152" s="905">
        <v>100</v>
      </c>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row>
    <row r="153" spans="1:48" s="10" customFormat="1" ht="12" customHeight="1" x14ac:dyDescent="0.2">
      <c r="A153" s="1295"/>
      <c r="B153" s="1304"/>
      <c r="C153" s="1328"/>
      <c r="D153" s="1617"/>
      <c r="E153" s="1728"/>
      <c r="F153" s="1603"/>
      <c r="G153" s="1325"/>
      <c r="H153" s="318"/>
      <c r="I153" s="318"/>
      <c r="J153" s="318"/>
      <c r="K153" s="1940"/>
      <c r="L153" s="95"/>
      <c r="M153" s="155"/>
      <c r="N153" s="905"/>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row>
    <row r="154" spans="1:48" s="10" customFormat="1" ht="19.5" customHeight="1" x14ac:dyDescent="0.2">
      <c r="A154" s="1295"/>
      <c r="B154" s="1304"/>
      <c r="C154" s="1328"/>
      <c r="D154" s="1611"/>
      <c r="E154" s="1729"/>
      <c r="F154" s="1603"/>
      <c r="G154" s="26"/>
      <c r="H154" s="122"/>
      <c r="I154" s="122"/>
      <c r="J154" s="122"/>
      <c r="K154" s="360"/>
      <c r="L154" s="90"/>
      <c r="M154" s="157"/>
      <c r="N154" s="239"/>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row>
    <row r="155" spans="1:48" s="10" customFormat="1" ht="15" customHeight="1" x14ac:dyDescent="0.2">
      <c r="A155" s="1295"/>
      <c r="B155" s="1304"/>
      <c r="C155" s="1328"/>
      <c r="D155" s="1748" t="s">
        <v>324</v>
      </c>
      <c r="E155" s="1728" t="s">
        <v>448</v>
      </c>
      <c r="F155" s="1297"/>
      <c r="G155" s="193"/>
      <c r="H155" s="193"/>
      <c r="I155" s="193"/>
      <c r="J155" s="193"/>
      <c r="K155" s="1300" t="s">
        <v>98</v>
      </c>
      <c r="L155" s="155">
        <v>1</v>
      </c>
      <c r="M155" s="155"/>
      <c r="N155" s="905"/>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row>
    <row r="156" spans="1:48" s="10" customFormat="1" ht="13.5" customHeight="1" x14ac:dyDescent="0.2">
      <c r="A156" s="1295"/>
      <c r="B156" s="1304"/>
      <c r="C156" s="1328"/>
      <c r="D156" s="1748"/>
      <c r="E156" s="1728"/>
      <c r="F156" s="1297"/>
      <c r="G156" s="193"/>
      <c r="H156" s="193"/>
      <c r="I156" s="193"/>
      <c r="J156" s="193"/>
      <c r="K156" s="1614" t="s">
        <v>301</v>
      </c>
      <c r="L156" s="155"/>
      <c r="M156" s="155"/>
      <c r="N156" s="905"/>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row>
    <row r="157" spans="1:48" s="10" customFormat="1" ht="15" customHeight="1" x14ac:dyDescent="0.2">
      <c r="A157" s="1295"/>
      <c r="B157" s="1304"/>
      <c r="C157" s="1328"/>
      <c r="D157" s="1749"/>
      <c r="E157" s="1607"/>
      <c r="F157" s="1603"/>
      <c r="G157" s="194"/>
      <c r="H157" s="122"/>
      <c r="I157" s="122"/>
      <c r="J157" s="122"/>
      <c r="K157" s="1889"/>
      <c r="L157" s="236"/>
      <c r="M157" s="157"/>
      <c r="N157" s="239"/>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row>
    <row r="158" spans="1:48" s="10" customFormat="1" ht="15" customHeight="1" x14ac:dyDescent="0.2">
      <c r="A158" s="1295"/>
      <c r="B158" s="1304"/>
      <c r="C158" s="1328"/>
      <c r="D158" s="1610" t="s">
        <v>189</v>
      </c>
      <c r="E158" s="1727" t="s">
        <v>99</v>
      </c>
      <c r="F158" s="1603"/>
      <c r="G158" s="193"/>
      <c r="H158" s="193"/>
      <c r="I158" s="193"/>
      <c r="J158" s="193"/>
      <c r="K158" s="1411" t="s">
        <v>98</v>
      </c>
      <c r="L158" s="155">
        <v>1</v>
      </c>
      <c r="M158" s="155"/>
      <c r="N158" s="905"/>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row>
    <row r="159" spans="1:48" s="10" customFormat="1" ht="11.25" customHeight="1" x14ac:dyDescent="0.2">
      <c r="A159" s="1295"/>
      <c r="B159" s="1304"/>
      <c r="C159" s="1328"/>
      <c r="D159" s="1617"/>
      <c r="E159" s="1728"/>
      <c r="F159" s="1603"/>
      <c r="G159" s="193"/>
      <c r="H159" s="193"/>
      <c r="I159" s="193"/>
      <c r="J159" s="193"/>
      <c r="K159" s="1614" t="s">
        <v>502</v>
      </c>
      <c r="L159" s="155">
        <v>40</v>
      </c>
      <c r="M159" s="155">
        <v>100</v>
      </c>
      <c r="N159" s="905"/>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row>
    <row r="160" spans="1:48" s="10" customFormat="1" ht="17.25" customHeight="1" x14ac:dyDescent="0.2">
      <c r="A160" s="1295"/>
      <c r="B160" s="1304"/>
      <c r="C160" s="1328"/>
      <c r="D160" s="1611"/>
      <c r="E160" s="1728"/>
      <c r="F160" s="1603"/>
      <c r="G160" s="194"/>
      <c r="H160" s="122"/>
      <c r="I160" s="122"/>
      <c r="J160" s="122"/>
      <c r="K160" s="1889"/>
      <c r="L160" s="157"/>
      <c r="M160" s="157"/>
      <c r="N160" s="239"/>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row>
    <row r="161" spans="1:48" s="10" customFormat="1" ht="13.5" customHeight="1" x14ac:dyDescent="0.2">
      <c r="A161" s="1295"/>
      <c r="B161" s="1304"/>
      <c r="C161" s="1328"/>
      <c r="D161" s="1741" t="s">
        <v>191</v>
      </c>
      <c r="E161" s="1727" t="s">
        <v>99</v>
      </c>
      <c r="F161" s="1603"/>
      <c r="G161" s="193"/>
      <c r="H161" s="318"/>
      <c r="I161" s="121"/>
      <c r="J161" s="121"/>
      <c r="K161" s="1300" t="s">
        <v>98</v>
      </c>
      <c r="L161" s="196">
        <v>1</v>
      </c>
      <c r="M161" s="155"/>
      <c r="N161" s="905"/>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row>
    <row r="162" spans="1:48" s="10" customFormat="1" ht="18" customHeight="1" x14ac:dyDescent="0.2">
      <c r="A162" s="1295"/>
      <c r="B162" s="1304"/>
      <c r="C162" s="1328"/>
      <c r="D162" s="1746"/>
      <c r="E162" s="1728"/>
      <c r="F162" s="1603"/>
      <c r="G162" s="193"/>
      <c r="H162" s="318"/>
      <c r="I162" s="158"/>
      <c r="J162" s="158"/>
      <c r="K162" s="1614" t="s">
        <v>236</v>
      </c>
      <c r="L162" s="155">
        <v>40</v>
      </c>
      <c r="M162" s="155">
        <v>90</v>
      </c>
      <c r="N162" s="905">
        <v>100</v>
      </c>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row>
    <row r="163" spans="1:48" s="10" customFormat="1" ht="14.25" customHeight="1" x14ac:dyDescent="0.2">
      <c r="A163" s="1295"/>
      <c r="B163" s="1304"/>
      <c r="C163" s="1328"/>
      <c r="D163" s="1742"/>
      <c r="E163" s="1729"/>
      <c r="F163" s="1311"/>
      <c r="G163" s="194"/>
      <c r="H163" s="122"/>
      <c r="I163" s="122"/>
      <c r="J163" s="122"/>
      <c r="K163" s="1889"/>
      <c r="L163" s="157"/>
      <c r="M163" s="157"/>
      <c r="N163" s="239"/>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row>
    <row r="164" spans="1:48" s="10" customFormat="1" ht="18" customHeight="1" x14ac:dyDescent="0.2">
      <c r="A164" s="1295"/>
      <c r="B164" s="1304"/>
      <c r="C164" s="1328"/>
      <c r="D164" s="1890" t="s">
        <v>304</v>
      </c>
      <c r="E164" s="1627" t="s">
        <v>463</v>
      </c>
      <c r="F164" s="561"/>
      <c r="G164" s="193"/>
      <c r="H164" s="318"/>
      <c r="I164" s="515"/>
      <c r="J164" s="515"/>
      <c r="K164" s="425" t="s">
        <v>98</v>
      </c>
      <c r="L164" s="473"/>
      <c r="M164" s="1459" t="s">
        <v>249</v>
      </c>
      <c r="N164" s="1460"/>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row>
    <row r="165" spans="1:48" s="10" customFormat="1" ht="31.5" customHeight="1" x14ac:dyDescent="0.2">
      <c r="A165" s="1295"/>
      <c r="B165" s="1304"/>
      <c r="C165" s="1328"/>
      <c r="D165" s="1709"/>
      <c r="E165" s="1626"/>
      <c r="F165" s="1332"/>
      <c r="G165" s="194"/>
      <c r="H165" s="122"/>
      <c r="I165" s="122"/>
      <c r="J165" s="354"/>
      <c r="K165" s="1123" t="s">
        <v>253</v>
      </c>
      <c r="L165" s="476"/>
      <c r="M165" s="965">
        <v>70</v>
      </c>
      <c r="N165" s="982">
        <v>100</v>
      </c>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row>
    <row r="166" spans="1:48" s="10" customFormat="1" ht="18" customHeight="1" x14ac:dyDescent="0.2">
      <c r="A166" s="1439"/>
      <c r="B166" s="1441"/>
      <c r="C166" s="1440"/>
      <c r="D166" s="1890" t="s">
        <v>303</v>
      </c>
      <c r="E166" s="1626"/>
      <c r="F166" s="561"/>
      <c r="G166" s="193"/>
      <c r="H166" s="318"/>
      <c r="I166" s="515"/>
      <c r="J166" s="515"/>
      <c r="K166" s="1837" t="s">
        <v>493</v>
      </c>
      <c r="L166" s="475">
        <v>1</v>
      </c>
      <c r="M166" s="707"/>
      <c r="N166" s="746"/>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row>
    <row r="167" spans="1:48" s="10" customFormat="1" ht="18" customHeight="1" x14ac:dyDescent="0.2">
      <c r="A167" s="1439"/>
      <c r="B167" s="1441"/>
      <c r="C167" s="1440"/>
      <c r="D167" s="1709"/>
      <c r="E167" s="1442"/>
      <c r="F167" s="1438"/>
      <c r="G167" s="194"/>
      <c r="H167" s="122"/>
      <c r="I167" s="122"/>
      <c r="J167" s="354"/>
      <c r="K167" s="1839"/>
      <c r="L167" s="531"/>
      <c r="M167" s="707"/>
      <c r="N167" s="746"/>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row>
    <row r="168" spans="1:48" s="10" customFormat="1" ht="16.5" customHeight="1" thickBot="1" x14ac:dyDescent="0.25">
      <c r="A168" s="31"/>
      <c r="B168" s="1327"/>
      <c r="C168" s="1337"/>
      <c r="D168" s="1395"/>
      <c r="E168" s="626"/>
      <c r="F168" s="82"/>
      <c r="G168" s="42" t="s">
        <v>6</v>
      </c>
      <c r="H168" s="190">
        <f>SUM(H138:H165)</f>
        <v>4484.3999999999996</v>
      </c>
      <c r="I168" s="190">
        <f>SUM(I138:I165)</f>
        <v>9517.6</v>
      </c>
      <c r="J168" s="190">
        <f>SUM(J138:J165)</f>
        <v>7926.8</v>
      </c>
      <c r="K168" s="274"/>
      <c r="L168" s="51"/>
      <c r="M168" s="712"/>
      <c r="N168" s="556"/>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row>
    <row r="169" spans="1:48" s="10" customFormat="1" ht="29.25" customHeight="1" x14ac:dyDescent="0.2">
      <c r="A169" s="1301" t="s">
        <v>5</v>
      </c>
      <c r="B169" s="1303" t="s">
        <v>5</v>
      </c>
      <c r="C169" s="1401" t="s">
        <v>29</v>
      </c>
      <c r="D169" s="1408" t="s">
        <v>380</v>
      </c>
      <c r="E169" s="275" t="s">
        <v>47</v>
      </c>
      <c r="F169" s="1307" t="s">
        <v>46</v>
      </c>
      <c r="G169" s="79"/>
      <c r="H169" s="143"/>
      <c r="I169" s="143"/>
      <c r="J169" s="143"/>
      <c r="K169" s="1416"/>
      <c r="L169" s="141"/>
      <c r="M169" s="729"/>
      <c r="N169" s="237"/>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row>
    <row r="170" spans="1:48" s="10" customFormat="1" ht="14.25" customHeight="1" x14ac:dyDescent="0.2">
      <c r="A170" s="1295"/>
      <c r="B170" s="1304"/>
      <c r="C170" s="1397"/>
      <c r="D170" s="1610" t="s">
        <v>372</v>
      </c>
      <c r="E170" s="1736" t="s">
        <v>371</v>
      </c>
      <c r="F170" s="1603"/>
      <c r="G170" s="1262" t="s">
        <v>24</v>
      </c>
      <c r="H170" s="121">
        <v>10</v>
      </c>
      <c r="I170" s="121">
        <v>84</v>
      </c>
      <c r="J170" s="121"/>
      <c r="K170" s="1312" t="s">
        <v>98</v>
      </c>
      <c r="L170" s="41">
        <v>1</v>
      </c>
      <c r="M170" s="156"/>
      <c r="N170" s="240"/>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row>
    <row r="171" spans="1:48" s="10" customFormat="1" ht="12.75" customHeight="1" x14ac:dyDescent="0.2">
      <c r="A171" s="1295"/>
      <c r="B171" s="1304"/>
      <c r="C171" s="1397"/>
      <c r="D171" s="1617"/>
      <c r="E171" s="1737"/>
      <c r="F171" s="1603"/>
      <c r="G171" s="354"/>
      <c r="H171" s="122"/>
      <c r="I171" s="122"/>
      <c r="J171" s="122"/>
      <c r="K171" s="1294" t="s">
        <v>373</v>
      </c>
      <c r="L171" s="95"/>
      <c r="M171" s="155">
        <v>1</v>
      </c>
      <c r="N171" s="905"/>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row>
    <row r="172" spans="1:48" s="10" customFormat="1" ht="16.5" customHeight="1" thickBot="1" x14ac:dyDescent="0.25">
      <c r="A172" s="31"/>
      <c r="B172" s="1400"/>
      <c r="C172" s="1414"/>
      <c r="D172" s="1395"/>
      <c r="E172" s="626"/>
      <c r="F172" s="82"/>
      <c r="G172" s="42" t="s">
        <v>6</v>
      </c>
      <c r="H172" s="190">
        <f>H170</f>
        <v>10</v>
      </c>
      <c r="I172" s="190">
        <f>I170</f>
        <v>84</v>
      </c>
      <c r="J172" s="190"/>
      <c r="K172" s="274"/>
      <c r="L172" s="51"/>
      <c r="M172" s="712"/>
      <c r="N172" s="556"/>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row>
    <row r="173" spans="1:48" s="10" customFormat="1" ht="14.25" customHeight="1" thickBot="1" x14ac:dyDescent="0.25">
      <c r="A173" s="33" t="s">
        <v>5</v>
      </c>
      <c r="B173" s="85" t="s">
        <v>5</v>
      </c>
      <c r="C173" s="1754" t="s">
        <v>8</v>
      </c>
      <c r="D173" s="1755"/>
      <c r="E173" s="1755"/>
      <c r="F173" s="1755"/>
      <c r="G173" s="1756"/>
      <c r="H173" s="492">
        <f>+H168+H137+H134+H131+H110+H73+H61+H172</f>
        <v>13070</v>
      </c>
      <c r="I173" s="492">
        <f>+I168+I137+I134+I131+I110+I73+I61+I172</f>
        <v>17661.900000000001</v>
      </c>
      <c r="J173" s="128">
        <f>+J168+J137+J134+J131+J110+J73+J61+J172</f>
        <v>16113.2</v>
      </c>
      <c r="K173" s="325"/>
      <c r="L173" s="325"/>
      <c r="M173" s="325"/>
      <c r="N173" s="277"/>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row>
    <row r="174" spans="1:48" s="10" customFormat="1" ht="17.25" customHeight="1" thickBot="1" x14ac:dyDescent="0.25">
      <c r="A174" s="33" t="s">
        <v>5</v>
      </c>
      <c r="B174" s="85" t="s">
        <v>7</v>
      </c>
      <c r="C174" s="1757" t="s">
        <v>42</v>
      </c>
      <c r="D174" s="1758"/>
      <c r="E174" s="1758"/>
      <c r="F174" s="1758"/>
      <c r="G174" s="1758"/>
      <c r="H174" s="1758"/>
      <c r="I174" s="1758"/>
      <c r="J174" s="1758"/>
      <c r="K174" s="1758"/>
      <c r="L174" s="1758"/>
      <c r="M174" s="1758"/>
      <c r="N174" s="1760"/>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row>
    <row r="175" spans="1:48" s="10" customFormat="1" ht="15.75" customHeight="1" x14ac:dyDescent="0.2">
      <c r="A175" s="96" t="s">
        <v>5</v>
      </c>
      <c r="B175" s="133" t="s">
        <v>7</v>
      </c>
      <c r="C175" s="285" t="s">
        <v>5</v>
      </c>
      <c r="D175" s="1732" t="s">
        <v>83</v>
      </c>
      <c r="E175" s="1471"/>
      <c r="F175" s="1472">
        <v>6</v>
      </c>
      <c r="G175" s="1473" t="s">
        <v>24</v>
      </c>
      <c r="H175" s="143">
        <v>565.29999999999995</v>
      </c>
      <c r="I175" s="143">
        <v>597.5</v>
      </c>
      <c r="J175" s="149">
        <v>370</v>
      </c>
      <c r="K175" s="1474"/>
      <c r="L175" s="304"/>
      <c r="M175" s="304"/>
      <c r="N175" s="305"/>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row>
    <row r="176" spans="1:48" s="10" customFormat="1" ht="18.75" customHeight="1" x14ac:dyDescent="0.2">
      <c r="A176" s="97"/>
      <c r="B176" s="284"/>
      <c r="C176" s="1470"/>
      <c r="D176" s="1941"/>
      <c r="E176" s="1468"/>
      <c r="F176" s="1475"/>
      <c r="G176" s="71" t="s">
        <v>58</v>
      </c>
      <c r="H176" s="318">
        <v>35.6</v>
      </c>
      <c r="I176" s="318"/>
      <c r="J176" s="1469"/>
      <c r="K176" s="1476"/>
      <c r="L176" s="771"/>
      <c r="M176" s="771"/>
      <c r="N176" s="101"/>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row>
    <row r="177" spans="1:48" s="10" customFormat="1" ht="18" customHeight="1" x14ac:dyDescent="0.2">
      <c r="A177" s="97"/>
      <c r="B177" s="284"/>
      <c r="C177" s="1414"/>
      <c r="D177" s="1763" t="s">
        <v>52</v>
      </c>
      <c r="E177" s="1398"/>
      <c r="F177" s="64"/>
      <c r="G177" s="66"/>
      <c r="H177" s="1305"/>
      <c r="I177" s="1305"/>
      <c r="J177" s="1219"/>
      <c r="K177" s="1402" t="s">
        <v>305</v>
      </c>
      <c r="L177" s="602">
        <v>350</v>
      </c>
      <c r="M177" s="993">
        <v>350</v>
      </c>
      <c r="N177" s="604">
        <v>350</v>
      </c>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row>
    <row r="178" spans="1:48" s="10" customFormat="1" ht="28.5" customHeight="1" x14ac:dyDescent="0.2">
      <c r="A178" s="97"/>
      <c r="B178" s="284"/>
      <c r="C178" s="1414"/>
      <c r="D178" s="1763"/>
      <c r="E178" s="1398"/>
      <c r="F178" s="64"/>
      <c r="G178" s="66"/>
      <c r="H178" s="318"/>
      <c r="I178" s="318"/>
      <c r="J178" s="1410"/>
      <c r="K178" s="1403" t="s">
        <v>140</v>
      </c>
      <c r="L178" s="203">
        <v>300</v>
      </c>
      <c r="M178" s="563">
        <v>300</v>
      </c>
      <c r="N178" s="606">
        <v>300</v>
      </c>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row>
    <row r="179" spans="1:48" s="10" customFormat="1" ht="28.5" customHeight="1" x14ac:dyDescent="0.2">
      <c r="A179" s="97"/>
      <c r="B179" s="284"/>
      <c r="C179" s="1397"/>
      <c r="D179" s="1752"/>
      <c r="E179" s="1399"/>
      <c r="F179" s="64"/>
      <c r="G179" s="67"/>
      <c r="H179" s="122"/>
      <c r="I179" s="122"/>
      <c r="J179" s="1114"/>
      <c r="K179" s="273" t="s">
        <v>88</v>
      </c>
      <c r="L179" s="599">
        <v>36</v>
      </c>
      <c r="M179" s="564">
        <v>36</v>
      </c>
      <c r="N179" s="601">
        <v>36</v>
      </c>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row>
    <row r="180" spans="1:48" s="10" customFormat="1" ht="14.25" customHeight="1" x14ac:dyDescent="0.2">
      <c r="A180" s="97"/>
      <c r="B180" s="284"/>
      <c r="C180" s="1414"/>
      <c r="D180" s="1763" t="s">
        <v>252</v>
      </c>
      <c r="E180" s="1309"/>
      <c r="F180" s="64"/>
      <c r="G180" s="66"/>
      <c r="H180" s="318"/>
      <c r="I180" s="318"/>
      <c r="J180" s="318"/>
      <c r="K180" s="1883" t="s">
        <v>113</v>
      </c>
      <c r="L180" s="1418">
        <v>18</v>
      </c>
      <c r="M180" s="772">
        <v>18</v>
      </c>
      <c r="N180" s="459">
        <v>18</v>
      </c>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row>
    <row r="181" spans="1:48" s="10" customFormat="1" ht="13.5" customHeight="1" x14ac:dyDescent="0.2">
      <c r="A181" s="97"/>
      <c r="B181" s="284"/>
      <c r="C181" s="1414"/>
      <c r="D181" s="1764"/>
      <c r="E181" s="1309"/>
      <c r="F181" s="64"/>
      <c r="G181" s="66"/>
      <c r="H181" s="318"/>
      <c r="I181" s="318"/>
      <c r="J181" s="318"/>
      <c r="K181" s="1884"/>
      <c r="L181" s="1419"/>
      <c r="M181" s="460"/>
      <c r="N181" s="461"/>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row>
    <row r="182" spans="1:48" ht="27.75" customHeight="1" x14ac:dyDescent="0.2">
      <c r="A182" s="97"/>
      <c r="B182" s="284"/>
      <c r="C182" s="1414"/>
      <c r="D182" s="1764"/>
      <c r="E182" s="1309"/>
      <c r="F182" s="64"/>
      <c r="G182" s="66"/>
      <c r="H182" s="318"/>
      <c r="I182" s="318"/>
      <c r="J182" s="318"/>
      <c r="K182" s="108" t="s">
        <v>108</v>
      </c>
      <c r="L182" s="205">
        <v>25</v>
      </c>
      <c r="M182" s="773">
        <v>5</v>
      </c>
      <c r="N182" s="378">
        <v>5</v>
      </c>
    </row>
    <row r="183" spans="1:48" ht="16.5" customHeight="1" x14ac:dyDescent="0.2">
      <c r="A183" s="97"/>
      <c r="B183" s="284"/>
      <c r="C183" s="1414"/>
      <c r="D183" s="1764"/>
      <c r="E183" s="103"/>
      <c r="F183" s="93"/>
      <c r="G183" s="66"/>
      <c r="H183" s="318"/>
      <c r="I183" s="318"/>
      <c r="J183" s="318"/>
      <c r="K183" s="1230" t="s">
        <v>44</v>
      </c>
      <c r="L183" s="306">
        <v>57</v>
      </c>
      <c r="M183" s="496">
        <v>57</v>
      </c>
      <c r="N183" s="497">
        <v>57</v>
      </c>
    </row>
    <row r="184" spans="1:48" ht="25.5" customHeight="1" x14ac:dyDescent="0.2">
      <c r="A184" s="97"/>
      <c r="B184" s="284"/>
      <c r="C184" s="1414"/>
      <c r="D184" s="1764"/>
      <c r="E184" s="103"/>
      <c r="F184" s="93"/>
      <c r="G184" s="66"/>
      <c r="H184" s="318"/>
      <c r="I184" s="318"/>
      <c r="J184" s="318"/>
      <c r="K184" s="1230" t="s">
        <v>107</v>
      </c>
      <c r="L184" s="306">
        <v>1</v>
      </c>
      <c r="M184" s="496"/>
      <c r="N184" s="497"/>
      <c r="S184" s="1239"/>
    </row>
    <row r="185" spans="1:48" ht="28.5" customHeight="1" x14ac:dyDescent="0.2">
      <c r="A185" s="97"/>
      <c r="B185" s="284"/>
      <c r="C185" s="1414"/>
      <c r="D185" s="1404"/>
      <c r="E185" s="103"/>
      <c r="F185" s="93"/>
      <c r="G185" s="66"/>
      <c r="H185" s="318"/>
      <c r="I185" s="318"/>
      <c r="J185" s="318"/>
      <c r="K185" s="1217" t="s">
        <v>407</v>
      </c>
      <c r="L185" s="1207">
        <v>7.5</v>
      </c>
      <c r="M185" s="1209">
        <v>7.5</v>
      </c>
      <c r="N185" s="1210">
        <v>7.5</v>
      </c>
    </row>
    <row r="186" spans="1:48" ht="40.5" customHeight="1" x14ac:dyDescent="0.2">
      <c r="A186" s="97"/>
      <c r="B186" s="284"/>
      <c r="C186" s="1414"/>
      <c r="D186" s="1404"/>
      <c r="E186" s="103"/>
      <c r="F186" s="93"/>
      <c r="G186" s="66"/>
      <c r="H186" s="318"/>
      <c r="I186" s="318"/>
      <c r="J186" s="318"/>
      <c r="K186" s="1217" t="s">
        <v>231</v>
      </c>
      <c r="L186" s="205">
        <v>100</v>
      </c>
      <c r="M186" s="773"/>
      <c r="N186" s="378"/>
    </row>
    <row r="187" spans="1:48" ht="15.75" customHeight="1" x14ac:dyDescent="0.2">
      <c r="A187" s="97"/>
      <c r="B187" s="284"/>
      <c r="C187" s="1414"/>
      <c r="D187" s="1404"/>
      <c r="E187" s="103"/>
      <c r="F187" s="93"/>
      <c r="G187" s="66"/>
      <c r="H187" s="318"/>
      <c r="I187" s="318"/>
      <c r="J187" s="318"/>
      <c r="K187" s="1231" t="s">
        <v>228</v>
      </c>
      <c r="L187" s="205"/>
      <c r="M187" s="773">
        <v>80</v>
      </c>
      <c r="N187" s="378"/>
    </row>
    <row r="188" spans="1:48" ht="29.25" customHeight="1" x14ac:dyDescent="0.2">
      <c r="A188" s="97"/>
      <c r="B188" s="284"/>
      <c r="C188" s="1414"/>
      <c r="D188" s="1404"/>
      <c r="E188" s="103"/>
      <c r="F188" s="93"/>
      <c r="G188" s="66"/>
      <c r="H188" s="318"/>
      <c r="I188" s="318"/>
      <c r="J188" s="318"/>
      <c r="K188" s="1217" t="s">
        <v>408</v>
      </c>
      <c r="L188" s="205">
        <v>50</v>
      </c>
      <c r="M188" s="773">
        <v>100</v>
      </c>
      <c r="N188" s="378"/>
    </row>
    <row r="189" spans="1:48" ht="30.75" customHeight="1" x14ac:dyDescent="0.2">
      <c r="A189" s="97"/>
      <c r="B189" s="284"/>
      <c r="C189" s="1414"/>
      <c r="D189" s="1404"/>
      <c r="E189" s="103"/>
      <c r="F189" s="93"/>
      <c r="G189" s="67"/>
      <c r="H189" s="122"/>
      <c r="I189" s="793"/>
      <c r="J189" s="957"/>
      <c r="K189" s="1230" t="s">
        <v>409</v>
      </c>
      <c r="L189" s="306">
        <v>10</v>
      </c>
      <c r="M189" s="1420">
        <v>100</v>
      </c>
      <c r="N189" s="1421"/>
    </row>
    <row r="190" spans="1:48" s="10" customFormat="1" ht="16.5" customHeight="1" thickBot="1" x14ac:dyDescent="0.25">
      <c r="A190" s="31"/>
      <c r="B190" s="1400"/>
      <c r="C190" s="1414"/>
      <c r="D190" s="1395"/>
      <c r="E190" s="626"/>
      <c r="F190" s="82"/>
      <c r="G190" s="42" t="s">
        <v>6</v>
      </c>
      <c r="H190" s="190">
        <f>SUM(H175:H189)</f>
        <v>600.9</v>
      </c>
      <c r="I190" s="190">
        <f t="shared" ref="I190:J190" si="4">SUM(I175:I189)</f>
        <v>597.5</v>
      </c>
      <c r="J190" s="190">
        <f t="shared" si="4"/>
        <v>370</v>
      </c>
      <c r="K190" s="274"/>
      <c r="L190" s="51"/>
      <c r="M190" s="712"/>
      <c r="N190" s="556"/>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row>
    <row r="191" spans="1:48" ht="14.25" customHeight="1" thickBot="1" x14ac:dyDescent="0.25">
      <c r="A191" s="34" t="s">
        <v>5</v>
      </c>
      <c r="B191" s="8" t="s">
        <v>7</v>
      </c>
      <c r="C191" s="1755" t="s">
        <v>8</v>
      </c>
      <c r="D191" s="1755"/>
      <c r="E191" s="1755"/>
      <c r="F191" s="1755"/>
      <c r="G191" s="1755"/>
      <c r="H191" s="128">
        <f>H190</f>
        <v>600.9</v>
      </c>
      <c r="I191" s="128">
        <f t="shared" ref="I191:J191" si="5">I190</f>
        <v>597.5</v>
      </c>
      <c r="J191" s="128">
        <f t="shared" si="5"/>
        <v>370</v>
      </c>
      <c r="K191" s="325"/>
      <c r="L191" s="325"/>
      <c r="M191" s="325"/>
      <c r="N191" s="277"/>
    </row>
    <row r="192" spans="1:48" ht="17.25" customHeight="1" thickBot="1" x14ac:dyDescent="0.25">
      <c r="A192" s="33" t="s">
        <v>5</v>
      </c>
      <c r="B192" s="8" t="s">
        <v>26</v>
      </c>
      <c r="C192" s="1765" t="s">
        <v>153</v>
      </c>
      <c r="D192" s="1766"/>
      <c r="E192" s="1766"/>
      <c r="F192" s="1766"/>
      <c r="G192" s="1766"/>
      <c r="H192" s="1887"/>
      <c r="I192" s="1768"/>
      <c r="J192" s="1768"/>
      <c r="K192" s="1768"/>
      <c r="L192" s="1768"/>
      <c r="M192" s="1768"/>
      <c r="N192" s="279"/>
    </row>
    <row r="193" spans="1:16" ht="14.25" customHeight="1" x14ac:dyDescent="0.2">
      <c r="A193" s="335" t="s">
        <v>5</v>
      </c>
      <c r="B193" s="326" t="s">
        <v>26</v>
      </c>
      <c r="C193" s="1406" t="s">
        <v>5</v>
      </c>
      <c r="D193" s="1732" t="s">
        <v>103</v>
      </c>
      <c r="E193" s="255"/>
      <c r="F193" s="1128">
        <v>6</v>
      </c>
      <c r="G193" s="1417" t="s">
        <v>24</v>
      </c>
      <c r="H193" s="144">
        <v>1292</v>
      </c>
      <c r="I193" s="217">
        <f>1690.5-30-200</f>
        <v>1460.5</v>
      </c>
      <c r="J193" s="1423">
        <f>1695-200</f>
        <v>1495</v>
      </c>
      <c r="K193" s="1403"/>
      <c r="L193" s="794"/>
      <c r="M193" s="345"/>
      <c r="N193" s="348"/>
    </row>
    <row r="194" spans="1:16" ht="17.25" customHeight="1" x14ac:dyDescent="0.2">
      <c r="A194" s="335"/>
      <c r="B194" s="326"/>
      <c r="C194" s="1406"/>
      <c r="D194" s="1624"/>
      <c r="E194" s="349"/>
      <c r="F194" s="334"/>
      <c r="G194" s="354" t="s">
        <v>58</v>
      </c>
      <c r="H194" s="117">
        <f>100+35.1+196.7</f>
        <v>331.8</v>
      </c>
      <c r="I194" s="1424"/>
      <c r="J194" s="1425"/>
      <c r="K194" s="273"/>
      <c r="L194" s="540"/>
      <c r="M194" s="505"/>
      <c r="N194" s="541"/>
    </row>
    <row r="195" spans="1:16" ht="14.25" customHeight="1" x14ac:dyDescent="0.2">
      <c r="A195" s="335"/>
      <c r="B195" s="326"/>
      <c r="C195" s="1406"/>
      <c r="D195" s="1617" t="s">
        <v>425</v>
      </c>
      <c r="E195" s="255" t="s">
        <v>47</v>
      </c>
      <c r="F195" s="334"/>
      <c r="G195" s="1325"/>
      <c r="H195" s="144"/>
      <c r="I195" s="1410"/>
      <c r="J195" s="318"/>
      <c r="K195" s="1422"/>
      <c r="L195" s="3"/>
      <c r="M195" s="538"/>
      <c r="N195" s="539"/>
    </row>
    <row r="196" spans="1:16" ht="11.25" customHeight="1" x14ac:dyDescent="0.2">
      <c r="A196" s="335"/>
      <c r="B196" s="326"/>
      <c r="C196" s="1406"/>
      <c r="D196" s="1764"/>
      <c r="E196" s="255"/>
      <c r="F196" s="334"/>
      <c r="G196" s="1325"/>
      <c r="H196" s="144"/>
      <c r="I196" s="1317"/>
      <c r="J196" s="318"/>
      <c r="K196" s="379"/>
      <c r="L196" s="591"/>
      <c r="M196" s="1435"/>
      <c r="N196" s="381"/>
    </row>
    <row r="197" spans="1:16" ht="15" customHeight="1" x14ac:dyDescent="0.2">
      <c r="A197" s="335"/>
      <c r="B197" s="326"/>
      <c r="C197" s="1406"/>
      <c r="D197" s="350" t="s">
        <v>494</v>
      </c>
      <c r="E197" s="255"/>
      <c r="F197" s="334"/>
      <c r="G197" s="1325"/>
      <c r="H197" s="465"/>
      <c r="I197" s="1316"/>
      <c r="J197" s="1306"/>
      <c r="K197" s="462" t="s">
        <v>410</v>
      </c>
      <c r="L197" s="467">
        <v>10</v>
      </c>
      <c r="M197" s="798">
        <v>10</v>
      </c>
      <c r="N197" s="468">
        <v>10</v>
      </c>
    </row>
    <row r="198" spans="1:16" ht="13.5" customHeight="1" x14ac:dyDescent="0.2">
      <c r="A198" s="335"/>
      <c r="B198" s="326"/>
      <c r="C198" s="1406"/>
      <c r="D198" s="1770" t="s">
        <v>447</v>
      </c>
      <c r="E198" s="255"/>
      <c r="F198" s="334"/>
      <c r="G198" s="1325"/>
      <c r="H198" s="144"/>
      <c r="I198" s="1317"/>
      <c r="J198" s="318"/>
      <c r="K198" s="1772" t="s">
        <v>343</v>
      </c>
      <c r="L198" s="510">
        <v>580</v>
      </c>
      <c r="M198" s="799">
        <v>585</v>
      </c>
      <c r="N198" s="511">
        <v>596</v>
      </c>
    </row>
    <row r="199" spans="1:16" ht="12.75" customHeight="1" x14ac:dyDescent="0.2">
      <c r="A199" s="335"/>
      <c r="B199" s="326"/>
      <c r="C199" s="1406"/>
      <c r="D199" s="1771"/>
      <c r="E199" s="255"/>
      <c r="F199" s="334"/>
      <c r="G199" s="1325"/>
      <c r="H199" s="144"/>
      <c r="I199" s="1317"/>
      <c r="J199" s="318"/>
      <c r="K199" s="1888"/>
      <c r="L199" s="1048"/>
      <c r="M199" s="1049"/>
      <c r="N199" s="1050"/>
    </row>
    <row r="200" spans="1:16" ht="26.25" customHeight="1" x14ac:dyDescent="0.2">
      <c r="A200" s="335"/>
      <c r="B200" s="326"/>
      <c r="C200" s="1406"/>
      <c r="D200" s="380" t="s">
        <v>424</v>
      </c>
      <c r="E200" s="255"/>
      <c r="F200" s="334"/>
      <c r="G200" s="1325"/>
      <c r="H200" s="465"/>
      <c r="I200" s="1316"/>
      <c r="J200" s="1306"/>
      <c r="K200" s="1409" t="s">
        <v>184</v>
      </c>
      <c r="L200" s="1076">
        <v>5.8</v>
      </c>
      <c r="M200" s="798">
        <v>7</v>
      </c>
      <c r="N200" s="468">
        <v>7</v>
      </c>
    </row>
    <row r="201" spans="1:16" ht="19.5" customHeight="1" x14ac:dyDescent="0.2">
      <c r="A201" s="1632"/>
      <c r="B201" s="1633"/>
      <c r="C201" s="1750"/>
      <c r="D201" s="1751" t="s">
        <v>159</v>
      </c>
      <c r="E201" s="1881"/>
      <c r="F201" s="334"/>
      <c r="G201" s="1262"/>
      <c r="H201" s="129"/>
      <c r="I201" s="129"/>
      <c r="J201" s="121"/>
      <c r="K201" s="1340" t="s">
        <v>179</v>
      </c>
      <c r="L201" s="207">
        <v>1</v>
      </c>
      <c r="M201" s="711"/>
      <c r="N201" s="244"/>
    </row>
    <row r="202" spans="1:16" ht="9" customHeight="1" x14ac:dyDescent="0.2">
      <c r="A202" s="1632"/>
      <c r="B202" s="1633"/>
      <c r="C202" s="1750"/>
      <c r="D202" s="1752"/>
      <c r="E202" s="1882"/>
      <c r="F202" s="334"/>
      <c r="G202" s="354"/>
      <c r="H202" s="1114"/>
      <c r="I202" s="1114"/>
      <c r="J202" s="122"/>
      <c r="K202" s="1413"/>
      <c r="L202" s="208"/>
      <c r="M202" s="611"/>
      <c r="N202" s="263"/>
    </row>
    <row r="203" spans="1:16" ht="12.75" customHeight="1" x14ac:dyDescent="0.2">
      <c r="A203" s="1632"/>
      <c r="B203" s="1633"/>
      <c r="C203" s="1750"/>
      <c r="D203" s="1751" t="s">
        <v>495</v>
      </c>
      <c r="E203" s="1753"/>
      <c r="F203" s="334"/>
      <c r="G203" s="1417"/>
      <c r="H203" s="1410"/>
      <c r="I203" s="1410"/>
      <c r="J203" s="318"/>
      <c r="K203" s="1314" t="s">
        <v>411</v>
      </c>
      <c r="L203" s="206">
        <v>1</v>
      </c>
      <c r="M203" s="711"/>
      <c r="N203" s="244"/>
    </row>
    <row r="204" spans="1:16" ht="12.75" customHeight="1" x14ac:dyDescent="0.2">
      <c r="A204" s="1632"/>
      <c r="B204" s="1633"/>
      <c r="C204" s="1750"/>
      <c r="D204" s="1763"/>
      <c r="E204" s="1753"/>
      <c r="F204" s="334"/>
      <c r="G204" s="1417"/>
      <c r="H204" s="1410"/>
      <c r="I204" s="1410"/>
      <c r="J204" s="318"/>
      <c r="K204" s="1314" t="s">
        <v>412</v>
      </c>
      <c r="L204" s="206">
        <v>1</v>
      </c>
      <c r="M204" s="512"/>
      <c r="N204" s="313"/>
    </row>
    <row r="205" spans="1:16" ht="27.75" customHeight="1" x14ac:dyDescent="0.2">
      <c r="A205" s="1632"/>
      <c r="B205" s="1633"/>
      <c r="C205" s="1750"/>
      <c r="D205" s="1752"/>
      <c r="E205" s="1753"/>
      <c r="F205" s="334"/>
      <c r="G205" s="1417"/>
      <c r="H205" s="1410"/>
      <c r="I205" s="1410"/>
      <c r="J205" s="318"/>
      <c r="K205" s="1412" t="s">
        <v>325</v>
      </c>
      <c r="L205" s="208"/>
      <c r="M205" s="611"/>
      <c r="N205" s="263"/>
    </row>
    <row r="206" spans="1:16" ht="18.75" customHeight="1" x14ac:dyDescent="0.2">
      <c r="A206" s="1295"/>
      <c r="B206" s="1296"/>
      <c r="C206" s="1414"/>
      <c r="D206" s="1610" t="s">
        <v>435</v>
      </c>
      <c r="E206" s="1431"/>
      <c r="F206" s="1396"/>
      <c r="G206" s="1262"/>
      <c r="H206" s="121"/>
      <c r="I206" s="129"/>
      <c r="J206" s="121"/>
      <c r="K206" s="1402" t="s">
        <v>414</v>
      </c>
      <c r="L206" s="1220">
        <v>3</v>
      </c>
      <c r="M206" s="1287">
        <v>3</v>
      </c>
      <c r="N206" s="1288">
        <v>3</v>
      </c>
      <c r="O206" s="10"/>
      <c r="P206" s="10"/>
    </row>
    <row r="207" spans="1:16" ht="26.25" customHeight="1" x14ac:dyDescent="0.2">
      <c r="A207" s="1295"/>
      <c r="B207" s="1296"/>
      <c r="C207" s="1414"/>
      <c r="D207" s="1617"/>
      <c r="E207" s="1430"/>
      <c r="F207" s="1396"/>
      <c r="G207" s="1417"/>
      <c r="H207" s="318"/>
      <c r="I207" s="120"/>
      <c r="J207" s="318"/>
      <c r="K207" s="55" t="s">
        <v>496</v>
      </c>
      <c r="L207" s="164">
        <v>3</v>
      </c>
      <c r="M207" s="423">
        <v>3</v>
      </c>
      <c r="N207" s="424">
        <v>3</v>
      </c>
      <c r="O207" s="10"/>
      <c r="P207" s="10"/>
    </row>
    <row r="208" spans="1:16" ht="26.25" customHeight="1" x14ac:dyDescent="0.2">
      <c r="A208" s="31"/>
      <c r="B208" s="1304"/>
      <c r="C208" s="1414"/>
      <c r="D208" s="1617"/>
      <c r="E208" s="1430"/>
      <c r="F208" s="1396"/>
      <c r="G208" s="1417"/>
      <c r="H208" s="318"/>
      <c r="I208" s="120"/>
      <c r="J208" s="318"/>
      <c r="K208" s="55" t="s">
        <v>497</v>
      </c>
      <c r="L208" s="241">
        <v>8</v>
      </c>
      <c r="M208" s="724">
        <v>11</v>
      </c>
      <c r="N208" s="977">
        <v>14</v>
      </c>
      <c r="O208" s="10"/>
      <c r="P208" s="10"/>
    </row>
    <row r="209" spans="1:48" ht="17.25" customHeight="1" x14ac:dyDescent="0.2">
      <c r="A209" s="31"/>
      <c r="B209" s="1304"/>
      <c r="C209" s="1414"/>
      <c r="D209" s="1617"/>
      <c r="E209" s="1430"/>
      <c r="F209" s="1396"/>
      <c r="G209" s="1417"/>
      <c r="H209" s="1410"/>
      <c r="I209" s="1410"/>
      <c r="J209" s="318"/>
      <c r="K209" s="245" t="s">
        <v>413</v>
      </c>
      <c r="L209" s="220">
        <v>100</v>
      </c>
      <c r="M209" s="467">
        <v>100</v>
      </c>
      <c r="N209" s="468">
        <v>100</v>
      </c>
      <c r="O209" s="10"/>
      <c r="P209" s="10"/>
    </row>
    <row r="210" spans="1:48" ht="38.25" customHeight="1" x14ac:dyDescent="0.2">
      <c r="A210" s="31"/>
      <c r="B210" s="1304"/>
      <c r="C210" s="517"/>
      <c r="D210" s="1816"/>
      <c r="E210" s="1427"/>
      <c r="F210" s="334"/>
      <c r="G210" s="1432"/>
      <c r="H210" s="1429"/>
      <c r="I210" s="1429"/>
      <c r="J210" s="318"/>
      <c r="K210" s="1434" t="s">
        <v>415</v>
      </c>
      <c r="L210" s="1047">
        <v>5</v>
      </c>
      <c r="M210" s="510">
        <v>5</v>
      </c>
      <c r="N210" s="511">
        <v>5</v>
      </c>
      <c r="O210" s="10"/>
      <c r="P210" s="10"/>
    </row>
    <row r="211" spans="1:48" s="61" customFormat="1" ht="39.75" customHeight="1" x14ac:dyDescent="0.2">
      <c r="A211" s="484"/>
      <c r="B211" s="485"/>
      <c r="C211" s="542"/>
      <c r="D211" s="199"/>
      <c r="E211" s="489"/>
      <c r="F211" s="1426"/>
      <c r="G211" s="624"/>
      <c r="H211" s="1248"/>
      <c r="I211" s="178"/>
      <c r="J211" s="122"/>
      <c r="K211" s="1428" t="s">
        <v>378</v>
      </c>
      <c r="L211" s="1047"/>
      <c r="M211" s="799">
        <v>1</v>
      </c>
      <c r="N211" s="511"/>
    </row>
    <row r="212" spans="1:48" s="10" customFormat="1" ht="16.5" customHeight="1" thickBot="1" x14ac:dyDescent="0.25">
      <c r="A212" s="31"/>
      <c r="B212" s="1400"/>
      <c r="C212" s="1414"/>
      <c r="D212" s="1395"/>
      <c r="E212" s="626"/>
      <c r="F212" s="82"/>
      <c r="G212" s="42" t="s">
        <v>6</v>
      </c>
      <c r="H212" s="190">
        <f>SUM(H193:H211)</f>
        <v>1623.8</v>
      </c>
      <c r="I212" s="190">
        <f>SUM(I193:I211)</f>
        <v>1460.5</v>
      </c>
      <c r="J212" s="190">
        <f>SUM(J193:J211)</f>
        <v>1495</v>
      </c>
      <c r="K212" s="274"/>
      <c r="L212" s="51"/>
      <c r="M212" s="712"/>
      <c r="N212" s="556"/>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row>
    <row r="213" spans="1:48" ht="33" customHeight="1" x14ac:dyDescent="0.2">
      <c r="A213" s="35" t="s">
        <v>5</v>
      </c>
      <c r="B213" s="280" t="s">
        <v>26</v>
      </c>
      <c r="C213" s="281" t="s">
        <v>7</v>
      </c>
      <c r="D213" s="1407" t="s">
        <v>192</v>
      </c>
      <c r="E213" s="135"/>
      <c r="F213" s="1307" t="s">
        <v>50</v>
      </c>
      <c r="G213" s="219" t="s">
        <v>24</v>
      </c>
      <c r="H213" s="149">
        <v>35.299999999999997</v>
      </c>
      <c r="I213" s="143">
        <v>11.2</v>
      </c>
      <c r="J213" s="143">
        <v>11.2</v>
      </c>
      <c r="K213" s="1298"/>
      <c r="L213" s="282"/>
      <c r="M213" s="802"/>
      <c r="N213" s="805"/>
    </row>
    <row r="214" spans="1:48" ht="36.75" customHeight="1" x14ac:dyDescent="0.2">
      <c r="A214" s="335"/>
      <c r="B214" s="326"/>
      <c r="C214" s="1406"/>
      <c r="D214" s="351" t="s">
        <v>498</v>
      </c>
      <c r="E214" s="1241"/>
      <c r="F214" s="1297"/>
      <c r="G214" s="1057"/>
      <c r="H214" s="192"/>
      <c r="I214" s="124"/>
      <c r="J214" s="124"/>
      <c r="K214" s="546" t="s">
        <v>171</v>
      </c>
      <c r="L214" s="1242"/>
      <c r="M214" s="803"/>
      <c r="N214" s="1243">
        <v>1</v>
      </c>
    </row>
    <row r="215" spans="1:48" ht="41.25" customHeight="1" x14ac:dyDescent="0.2">
      <c r="A215" s="335"/>
      <c r="B215" s="326"/>
      <c r="C215" s="1406"/>
      <c r="D215" s="1405" t="s">
        <v>499</v>
      </c>
      <c r="E215" s="137"/>
      <c r="F215" s="1297"/>
      <c r="G215" s="1325"/>
      <c r="H215" s="1317"/>
      <c r="I215" s="318"/>
      <c r="J215" s="318"/>
      <c r="K215" s="1314" t="s">
        <v>171</v>
      </c>
      <c r="L215" s="1228">
        <v>1</v>
      </c>
      <c r="M215" s="804"/>
      <c r="N215" s="764"/>
    </row>
    <row r="216" spans="1:48" ht="53.25" customHeight="1" x14ac:dyDescent="0.2">
      <c r="A216" s="335"/>
      <c r="B216" s="326"/>
      <c r="C216" s="1406"/>
      <c r="D216" s="351" t="s">
        <v>436</v>
      </c>
      <c r="E216" s="1241"/>
      <c r="F216" s="1297"/>
      <c r="G216" s="1057"/>
      <c r="H216" s="192"/>
      <c r="I216" s="124"/>
      <c r="J216" s="124"/>
      <c r="K216" s="546" t="s">
        <v>171</v>
      </c>
      <c r="L216" s="1242">
        <v>1</v>
      </c>
      <c r="M216" s="803"/>
      <c r="N216" s="1243"/>
    </row>
    <row r="217" spans="1:48" ht="40.5" customHeight="1" x14ac:dyDescent="0.2">
      <c r="A217" s="335"/>
      <c r="B217" s="326"/>
      <c r="C217" s="1406"/>
      <c r="D217" s="1405" t="s">
        <v>420</v>
      </c>
      <c r="E217" s="137"/>
      <c r="F217" s="1297"/>
      <c r="G217" s="1325"/>
      <c r="H217" s="1317"/>
      <c r="I217" s="318"/>
      <c r="J217" s="318"/>
      <c r="K217" s="1314" t="s">
        <v>171</v>
      </c>
      <c r="L217" s="1228"/>
      <c r="M217" s="804"/>
      <c r="N217" s="764">
        <v>1</v>
      </c>
    </row>
    <row r="218" spans="1:48" ht="51" x14ac:dyDescent="0.2">
      <c r="A218" s="335"/>
      <c r="B218" s="326"/>
      <c r="C218" s="1406"/>
      <c r="D218" s="351" t="s">
        <v>220</v>
      </c>
      <c r="E218" s="1241"/>
      <c r="F218" s="1297"/>
      <c r="G218" s="1057"/>
      <c r="H218" s="192"/>
      <c r="I218" s="124"/>
      <c r="J218" s="124"/>
      <c r="K218" s="546" t="s">
        <v>171</v>
      </c>
      <c r="L218" s="1242"/>
      <c r="M218" s="803"/>
      <c r="N218" s="1243">
        <v>1</v>
      </c>
    </row>
    <row r="219" spans="1:48" ht="39" customHeight="1" x14ac:dyDescent="0.2">
      <c r="A219" s="335"/>
      <c r="B219" s="326"/>
      <c r="C219" s="1406"/>
      <c r="D219" s="1449" t="s">
        <v>438</v>
      </c>
      <c r="E219" s="137"/>
      <c r="F219" s="1443"/>
      <c r="G219" s="354"/>
      <c r="H219" s="1114"/>
      <c r="I219" s="122"/>
      <c r="J219" s="122"/>
      <c r="K219" s="1457" t="s">
        <v>171</v>
      </c>
      <c r="L219" s="1228">
        <v>1</v>
      </c>
      <c r="M219" s="804"/>
      <c r="N219" s="764"/>
    </row>
    <row r="220" spans="1:48" s="10" customFormat="1" ht="16.5" customHeight="1" thickBot="1" x14ac:dyDescent="0.25">
      <c r="A220" s="31"/>
      <c r="B220" s="1400"/>
      <c r="C220" s="1414"/>
      <c r="D220" s="1395"/>
      <c r="E220" s="626"/>
      <c r="F220" s="82"/>
      <c r="G220" s="42" t="s">
        <v>6</v>
      </c>
      <c r="H220" s="190">
        <f>SUM(H213:H219)</f>
        <v>35.299999999999997</v>
      </c>
      <c r="I220" s="190">
        <f t="shared" ref="I220:J220" si="6">SUM(I213:I219)</f>
        <v>11.2</v>
      </c>
      <c r="J220" s="190">
        <f t="shared" si="6"/>
        <v>11.2</v>
      </c>
      <c r="K220" s="274"/>
      <c r="L220" s="51"/>
      <c r="M220" s="712"/>
      <c r="N220" s="556"/>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row>
    <row r="221" spans="1:48" ht="13.5" thickBot="1" x14ac:dyDescent="0.25">
      <c r="A221" s="33" t="s">
        <v>5</v>
      </c>
      <c r="B221" s="8" t="s">
        <v>26</v>
      </c>
      <c r="C221" s="1754" t="s">
        <v>8</v>
      </c>
      <c r="D221" s="1755"/>
      <c r="E221" s="1755"/>
      <c r="F221" s="1755"/>
      <c r="G221" s="1756"/>
      <c r="H221" s="128">
        <f>H220+H212</f>
        <v>1659.1</v>
      </c>
      <c r="I221" s="128">
        <f t="shared" ref="I221:J221" si="7">I220+I212</f>
        <v>1471.7</v>
      </c>
      <c r="J221" s="128">
        <f t="shared" si="7"/>
        <v>1506.2</v>
      </c>
      <c r="K221" s="325"/>
      <c r="L221" s="325"/>
      <c r="M221" s="325"/>
      <c r="N221" s="277"/>
    </row>
    <row r="222" spans="1:48" ht="15.75" customHeight="1" thickBot="1" x14ac:dyDescent="0.25">
      <c r="A222" s="33" t="s">
        <v>5</v>
      </c>
      <c r="B222" s="8" t="s">
        <v>34</v>
      </c>
      <c r="C222" s="1765" t="s">
        <v>43</v>
      </c>
      <c r="D222" s="1942"/>
      <c r="E222" s="1942"/>
      <c r="F222" s="1942"/>
      <c r="G222" s="1942"/>
      <c r="H222" s="1942"/>
      <c r="I222" s="1598"/>
      <c r="J222" s="1598"/>
      <c r="K222" s="216"/>
      <c r="L222" s="328"/>
      <c r="M222" s="328"/>
      <c r="N222" s="279"/>
    </row>
    <row r="223" spans="1:48" s="61" customFormat="1" ht="15.75" customHeight="1" x14ac:dyDescent="0.2">
      <c r="A223" s="1817" t="s">
        <v>5</v>
      </c>
      <c r="B223" s="1819" t="s">
        <v>34</v>
      </c>
      <c r="C223" s="1821" t="s">
        <v>5</v>
      </c>
      <c r="D223" s="1823" t="s">
        <v>260</v>
      </c>
      <c r="E223" s="1825" t="s">
        <v>47</v>
      </c>
      <c r="F223" s="1307" t="s">
        <v>27</v>
      </c>
      <c r="G223" s="256" t="s">
        <v>24</v>
      </c>
      <c r="H223" s="258">
        <v>100</v>
      </c>
      <c r="I223" s="258">
        <v>200</v>
      </c>
      <c r="J223" s="258">
        <v>200</v>
      </c>
      <c r="K223" s="1223" t="s">
        <v>259</v>
      </c>
      <c r="L223" s="1226">
        <v>1322</v>
      </c>
      <c r="M223" s="1226">
        <v>670</v>
      </c>
      <c r="N223" s="1026">
        <v>670</v>
      </c>
    </row>
    <row r="224" spans="1:48" s="61" customFormat="1" ht="15" customHeight="1" x14ac:dyDescent="0.2">
      <c r="A224" s="1818"/>
      <c r="B224" s="1820"/>
      <c r="C224" s="1822"/>
      <c r="D224" s="1824"/>
      <c r="E224" s="1826"/>
      <c r="F224" s="1297"/>
      <c r="G224" s="547" t="s">
        <v>58</v>
      </c>
      <c r="H224" s="548">
        <f>100+123.9</f>
        <v>223.9</v>
      </c>
      <c r="I224" s="548"/>
      <c r="J224" s="548"/>
      <c r="K224" s="1260"/>
      <c r="L224" s="1261"/>
      <c r="M224" s="1261"/>
      <c r="N224" s="763"/>
    </row>
    <row r="225" spans="1:45" s="61" customFormat="1" ht="13.5" customHeight="1" thickBot="1" x14ac:dyDescent="0.25">
      <c r="A225" s="436"/>
      <c r="B225" s="437"/>
      <c r="C225" s="441"/>
      <c r="D225" s="439"/>
      <c r="E225" s="440"/>
      <c r="F225" s="369"/>
      <c r="G225" s="1467" t="s">
        <v>6</v>
      </c>
      <c r="H225" s="218">
        <f>SUM(H223:H224)</f>
        <v>323.89999999999998</v>
      </c>
      <c r="I225" s="218">
        <f>SUM(I223:I224)</f>
        <v>200</v>
      </c>
      <c r="J225" s="218">
        <f>SUM(J223:J224)</f>
        <v>200</v>
      </c>
      <c r="K225" s="287"/>
      <c r="L225" s="260"/>
      <c r="M225" s="260"/>
      <c r="N225" s="261"/>
    </row>
    <row r="226" spans="1:45" ht="15" customHeight="1" x14ac:dyDescent="0.2">
      <c r="A226" s="1295" t="s">
        <v>5</v>
      </c>
      <c r="B226" s="1296" t="s">
        <v>34</v>
      </c>
      <c r="C226" s="1311" t="s">
        <v>7</v>
      </c>
      <c r="D226" s="1763" t="s">
        <v>141</v>
      </c>
      <c r="E226" s="137" t="s">
        <v>47</v>
      </c>
      <c r="F226" s="1297" t="s">
        <v>46</v>
      </c>
      <c r="G226" s="572" t="s">
        <v>58</v>
      </c>
      <c r="H226" s="143">
        <v>46.8</v>
      </c>
      <c r="I226" s="227"/>
      <c r="J226" s="227"/>
      <c r="K226" s="308" t="s">
        <v>98</v>
      </c>
      <c r="L226" s="310" t="s">
        <v>50</v>
      </c>
      <c r="M226" s="806"/>
      <c r="N226" s="311"/>
    </row>
    <row r="227" spans="1:45" ht="13.5" customHeight="1" x14ac:dyDescent="0.2">
      <c r="A227" s="31"/>
      <c r="B227" s="1296"/>
      <c r="C227" s="82"/>
      <c r="D227" s="1763"/>
      <c r="E227" s="137"/>
      <c r="F227" s="1297"/>
      <c r="G227" s="567"/>
      <c r="H227" s="122"/>
      <c r="I227" s="122"/>
      <c r="J227" s="122"/>
      <c r="K227" s="1403" t="s">
        <v>451</v>
      </c>
      <c r="L227" s="312"/>
      <c r="M227" s="196"/>
      <c r="N227" s="313"/>
    </row>
    <row r="228" spans="1:45" s="61" customFormat="1" ht="16.5" customHeight="1" thickBot="1" x14ac:dyDescent="0.25">
      <c r="A228" s="32"/>
      <c r="B228" s="73"/>
      <c r="C228" s="272"/>
      <c r="D228" s="1827"/>
      <c r="E228" s="136"/>
      <c r="F228" s="614"/>
      <c r="G228" s="1467" t="s">
        <v>6</v>
      </c>
      <c r="H228" s="218">
        <f>SUM(H226:H227)</f>
        <v>46.8</v>
      </c>
      <c r="I228" s="218">
        <f t="shared" ref="I228" si="8">SUM(I226:I227)</f>
        <v>0</v>
      </c>
      <c r="J228" s="218">
        <f>J226</f>
        <v>0</v>
      </c>
      <c r="K228" s="287"/>
      <c r="L228" s="314"/>
      <c r="M228" s="807"/>
      <c r="N228" s="223"/>
    </row>
    <row r="229" spans="1:45" ht="17.25" customHeight="1" x14ac:dyDescent="0.2">
      <c r="A229" s="1295" t="s">
        <v>5</v>
      </c>
      <c r="B229" s="1296" t="s">
        <v>34</v>
      </c>
      <c r="C229" s="1311" t="s">
        <v>26</v>
      </c>
      <c r="D229" s="1763" t="s">
        <v>500</v>
      </c>
      <c r="E229" s="137" t="s">
        <v>47</v>
      </c>
      <c r="F229" s="1297" t="s">
        <v>46</v>
      </c>
      <c r="G229" s="570" t="s">
        <v>24</v>
      </c>
      <c r="H229" s="318">
        <v>20</v>
      </c>
      <c r="I229" s="227"/>
      <c r="J229" s="227"/>
      <c r="K229" s="308" t="s">
        <v>369</v>
      </c>
      <c r="L229" s="310" t="s">
        <v>370</v>
      </c>
      <c r="M229" s="806"/>
      <c r="N229" s="311"/>
    </row>
    <row r="230" spans="1:45" ht="12" customHeight="1" x14ac:dyDescent="0.2">
      <c r="A230" s="31"/>
      <c r="B230" s="1296"/>
      <c r="C230" s="82"/>
      <c r="D230" s="1763"/>
      <c r="E230" s="137"/>
      <c r="F230" s="1297"/>
      <c r="G230" s="567"/>
      <c r="H230" s="122"/>
      <c r="I230" s="122"/>
      <c r="J230" s="122"/>
      <c r="K230" s="1294"/>
      <c r="L230" s="312"/>
      <c r="M230" s="196"/>
      <c r="N230" s="313"/>
    </row>
    <row r="231" spans="1:45" s="61" customFormat="1" ht="17.25" customHeight="1" thickBot="1" x14ac:dyDescent="0.25">
      <c r="A231" s="32"/>
      <c r="B231" s="73"/>
      <c r="C231" s="272"/>
      <c r="D231" s="1827"/>
      <c r="E231" s="136"/>
      <c r="F231" s="614"/>
      <c r="G231" s="1467" t="s">
        <v>6</v>
      </c>
      <c r="H231" s="218">
        <f>SUM(H229:H230)</f>
        <v>20</v>
      </c>
      <c r="I231" s="218">
        <f t="shared" ref="I231" si="9">SUM(I229:I230)</f>
        <v>0</v>
      </c>
      <c r="J231" s="218">
        <f>J229</f>
        <v>0</v>
      </c>
      <c r="K231" s="287"/>
      <c r="L231" s="314"/>
      <c r="M231" s="807"/>
      <c r="N231" s="223"/>
    </row>
    <row r="232" spans="1:45" ht="13.5" thickBot="1" x14ac:dyDescent="0.25">
      <c r="A232" s="1302" t="s">
        <v>5</v>
      </c>
      <c r="B232" s="327" t="s">
        <v>34</v>
      </c>
      <c r="C232" s="1828" t="s">
        <v>8</v>
      </c>
      <c r="D232" s="1829"/>
      <c r="E232" s="1829"/>
      <c r="F232" s="1829"/>
      <c r="G232" s="1829"/>
      <c r="H232" s="128">
        <f>H228+H225+H231</f>
        <v>390.7</v>
      </c>
      <c r="I232" s="128">
        <f t="shared" ref="I232:J232" si="10">I228+I225+I231</f>
        <v>200</v>
      </c>
      <c r="J232" s="128">
        <f t="shared" si="10"/>
        <v>200</v>
      </c>
      <c r="K232" s="325"/>
      <c r="L232" s="325"/>
      <c r="M232" s="325"/>
      <c r="N232" s="983"/>
    </row>
    <row r="233" spans="1:45" ht="14.25" customHeight="1" thickBot="1" x14ac:dyDescent="0.25">
      <c r="A233" s="34" t="s">
        <v>5</v>
      </c>
      <c r="B233" s="1831" t="s">
        <v>9</v>
      </c>
      <c r="C233" s="1832"/>
      <c r="D233" s="1832"/>
      <c r="E233" s="1832"/>
      <c r="F233" s="1832"/>
      <c r="G233" s="1832"/>
      <c r="H233" s="384">
        <f>H232+H221+H191+H173</f>
        <v>15720.7</v>
      </c>
      <c r="I233" s="384">
        <f>I232+I221+I191+I173</f>
        <v>19931.099999999999</v>
      </c>
      <c r="J233" s="384">
        <f>J232+J221+J191+J173</f>
        <v>18189.400000000001</v>
      </c>
      <c r="K233" s="1811"/>
      <c r="L233" s="1812"/>
      <c r="M233" s="1812"/>
      <c r="N233" s="1813"/>
    </row>
    <row r="234" spans="1:45" ht="14.25" customHeight="1" thickBot="1" x14ac:dyDescent="0.25">
      <c r="A234" s="25" t="s">
        <v>36</v>
      </c>
      <c r="B234" s="1834" t="s">
        <v>56</v>
      </c>
      <c r="C234" s="1835"/>
      <c r="D234" s="1835"/>
      <c r="E234" s="1835"/>
      <c r="F234" s="1835"/>
      <c r="G234" s="1835"/>
      <c r="H234" s="132">
        <f t="shared" ref="H234:J234" si="11">SUM(H233)</f>
        <v>15720.7</v>
      </c>
      <c r="I234" s="385">
        <f t="shared" si="11"/>
        <v>19931.099999999999</v>
      </c>
      <c r="J234" s="385">
        <f t="shared" si="11"/>
        <v>18189.400000000001</v>
      </c>
      <c r="K234" s="1814"/>
      <c r="L234" s="1814"/>
      <c r="M234" s="1814"/>
      <c r="N234" s="1815"/>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s="12" customFormat="1" ht="16.5" customHeight="1" x14ac:dyDescent="0.2">
      <c r="A235" s="1053"/>
      <c r="B235" s="526"/>
      <c r="C235" s="526"/>
      <c r="D235" s="526"/>
      <c r="E235" s="526"/>
      <c r="F235" s="526"/>
      <c r="G235" s="526"/>
      <c r="H235" s="526"/>
      <c r="I235" s="526"/>
      <c r="J235" s="526"/>
      <c r="K235" s="526"/>
      <c r="L235" s="1053"/>
      <c r="M235" s="1053"/>
      <c r="N235" s="1053"/>
    </row>
    <row r="236" spans="1:45" s="12" customFormat="1" ht="17.25" customHeight="1" x14ac:dyDescent="0.2">
      <c r="A236" s="1053"/>
      <c r="B236" s="950"/>
      <c r="C236" s="950"/>
      <c r="D236" s="950"/>
      <c r="E236" s="950"/>
      <c r="F236" s="950"/>
      <c r="G236" s="950"/>
      <c r="H236" s="950"/>
      <c r="I236" s="950"/>
      <c r="J236" s="950"/>
      <c r="K236" s="950"/>
      <c r="L236" s="1053"/>
      <c r="M236" s="1053"/>
      <c r="N236" s="1053"/>
    </row>
    <row r="237" spans="1:45" s="13" customFormat="1" ht="14.25" customHeight="1" thickBot="1" x14ac:dyDescent="0.25">
      <c r="A237" s="1794" t="s">
        <v>13</v>
      </c>
      <c r="B237" s="1794"/>
      <c r="C237" s="1794"/>
      <c r="D237" s="1794"/>
      <c r="E237" s="1794"/>
      <c r="F237" s="1794"/>
      <c r="G237" s="1794"/>
      <c r="H237" s="1290"/>
      <c r="I237" s="1290"/>
      <c r="J237" s="1290"/>
      <c r="K237" s="20"/>
      <c r="L237" s="20"/>
      <c r="M237" s="20"/>
      <c r="N237" s="20"/>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row>
    <row r="238" spans="1:45" ht="57" customHeight="1" thickBot="1" x14ac:dyDescent="0.25">
      <c r="A238" s="1795" t="s">
        <v>10</v>
      </c>
      <c r="B238" s="1796"/>
      <c r="C238" s="1796"/>
      <c r="D238" s="1796"/>
      <c r="E238" s="1796"/>
      <c r="F238" s="1796"/>
      <c r="G238" s="1797"/>
      <c r="H238" s="952" t="s">
        <v>474</v>
      </c>
      <c r="I238" s="288" t="s">
        <v>193</v>
      </c>
      <c r="J238" s="288" t="s">
        <v>328</v>
      </c>
      <c r="K238" s="2"/>
      <c r="L238" s="2"/>
      <c r="M238" s="2"/>
      <c r="N238" s="2"/>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row>
    <row r="239" spans="1:45" ht="14.25" customHeight="1" x14ac:dyDescent="0.2">
      <c r="A239" s="1798" t="s">
        <v>14</v>
      </c>
      <c r="B239" s="1799"/>
      <c r="C239" s="1799"/>
      <c r="D239" s="1799"/>
      <c r="E239" s="1799"/>
      <c r="F239" s="1799"/>
      <c r="G239" s="1800"/>
      <c r="H239" s="557">
        <f>H240+H249+H250+H251+H248</f>
        <v>14918.2</v>
      </c>
      <c r="I239" s="557">
        <f>I240+I249+I250+I251+I248</f>
        <v>16690.7</v>
      </c>
      <c r="J239" s="557">
        <f>J240+J249+J250+J251+J248</f>
        <v>14592.3</v>
      </c>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row>
    <row r="240" spans="1:45" ht="14.25" customHeight="1" x14ac:dyDescent="0.2">
      <c r="A240" s="1801" t="s">
        <v>92</v>
      </c>
      <c r="B240" s="1802"/>
      <c r="C240" s="1802"/>
      <c r="D240" s="1802"/>
      <c r="E240" s="1802"/>
      <c r="F240" s="1802"/>
      <c r="G240" s="1803"/>
      <c r="H240" s="109">
        <f>SUM(H241:H247)</f>
        <v>12387.5</v>
      </c>
      <c r="I240" s="109">
        <f>SUM(I241:I247)</f>
        <v>16690.7</v>
      </c>
      <c r="J240" s="109">
        <f>SUM(J241:J247)</f>
        <v>14592.3</v>
      </c>
      <c r="K240" s="383"/>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row>
    <row r="241" spans="1:45" ht="14.25" customHeight="1" x14ac:dyDescent="0.2">
      <c r="A241" s="1804" t="s">
        <v>18</v>
      </c>
      <c r="B241" s="1805"/>
      <c r="C241" s="1805"/>
      <c r="D241" s="1805"/>
      <c r="E241" s="1805"/>
      <c r="F241" s="1805"/>
      <c r="G241" s="1806"/>
      <c r="H241" s="122">
        <f>SUMIF(G12:G234,"SB",H12:H234)</f>
        <v>10326.700000000001</v>
      </c>
      <c r="I241" s="122">
        <f>SUMIF(G12:G234,"SB",I12:I234)</f>
        <v>13443</v>
      </c>
      <c r="J241" s="122">
        <f>SUMIF(G12:G234,"SB",J12:J234)</f>
        <v>13246.1</v>
      </c>
      <c r="K241" s="16"/>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row>
    <row r="242" spans="1:45" ht="14.25" customHeight="1" x14ac:dyDescent="0.2">
      <c r="A242" s="1785" t="s">
        <v>19</v>
      </c>
      <c r="B242" s="1786"/>
      <c r="C242" s="1786"/>
      <c r="D242" s="1786"/>
      <c r="E242" s="1786"/>
      <c r="F242" s="1786"/>
      <c r="G242" s="1787"/>
      <c r="H242" s="153">
        <f>SUMIF(G14:G234,"SB(SP)",H14:H234)</f>
        <v>34.700000000000003</v>
      </c>
      <c r="I242" s="153">
        <f>SUMIF(G19:G234,"SB(SP)",I19:I234)</f>
        <v>34.700000000000003</v>
      </c>
      <c r="J242" s="153">
        <f>SUMIF(G19:G234,"SB(SP)",J19:J234)</f>
        <v>34.700000000000003</v>
      </c>
      <c r="K242" s="23"/>
    </row>
    <row r="243" spans="1:45" ht="12.75" customHeight="1" x14ac:dyDescent="0.2">
      <c r="A243" s="1785" t="s">
        <v>67</v>
      </c>
      <c r="B243" s="1786"/>
      <c r="C243" s="1786"/>
      <c r="D243" s="1786"/>
      <c r="E243" s="1786"/>
      <c r="F243" s="1786"/>
      <c r="G243" s="1787"/>
      <c r="H243" s="153">
        <f>SUMIF(G14:G234,"SB(VR)",H14:H234)</f>
        <v>0</v>
      </c>
      <c r="I243" s="153">
        <f>SUMIF(G14:G234,"SB(VR)",I14:I234)</f>
        <v>0</v>
      </c>
      <c r="J243" s="153">
        <f>SUMIF(G14:G234,"SB(VR)",J14:J234)</f>
        <v>0</v>
      </c>
      <c r="K243" s="18"/>
      <c r="L243" s="1"/>
      <c r="M243" s="1"/>
      <c r="N243" s="1"/>
    </row>
    <row r="244" spans="1:45" x14ac:dyDescent="0.2">
      <c r="A244" s="1785" t="s">
        <v>20</v>
      </c>
      <c r="B244" s="1786"/>
      <c r="C244" s="1786"/>
      <c r="D244" s="1786"/>
      <c r="E244" s="1786"/>
      <c r="F244" s="1786"/>
      <c r="G244" s="1787"/>
      <c r="H244" s="153">
        <f>SUMIF(G14:G234,"SB(P)",H14:H234)</f>
        <v>0</v>
      </c>
      <c r="I244" s="153">
        <f>SUMIF(G14:G234,"SB(P)",I14:I234)</f>
        <v>0</v>
      </c>
      <c r="J244" s="153">
        <f>SUMIF(G14:G234,"SB(P)",J14:J234)</f>
        <v>0</v>
      </c>
      <c r="K244" s="18"/>
      <c r="L244" s="1"/>
      <c r="M244" s="1"/>
      <c r="N244" s="1"/>
    </row>
    <row r="245" spans="1:45" x14ac:dyDescent="0.2">
      <c r="A245" s="1785" t="s">
        <v>95</v>
      </c>
      <c r="B245" s="1786"/>
      <c r="C245" s="1786"/>
      <c r="D245" s="1786"/>
      <c r="E245" s="1786"/>
      <c r="F245" s="1786"/>
      <c r="G245" s="1787"/>
      <c r="H245" s="153">
        <f>SUMIF(G15:G234,"SB(VB)",H15:H234)</f>
        <v>164.2</v>
      </c>
      <c r="I245" s="153">
        <f>SUMIF(G16:G234,"SB(VB)",I16:I234)</f>
        <v>260.60000000000002</v>
      </c>
      <c r="J245" s="153">
        <f>SUMIF(G16:G234,"SB(VB)",J16:J234)</f>
        <v>106.4</v>
      </c>
    </row>
    <row r="246" spans="1:45" x14ac:dyDescent="0.2">
      <c r="A246" s="1788" t="s">
        <v>199</v>
      </c>
      <c r="B246" s="1789"/>
      <c r="C246" s="1789"/>
      <c r="D246" s="1789"/>
      <c r="E246" s="1789"/>
      <c r="F246" s="1789"/>
      <c r="G246" s="1790"/>
      <c r="H246" s="153">
        <f>SUMIF(G14:G234,"SB(KPP)",H14:H234)</f>
        <v>0</v>
      </c>
      <c r="I246" s="153">
        <f>SUMIF(G17:G228,"SB(KPP)",I17:I228)</f>
        <v>0</v>
      </c>
      <c r="J246" s="153">
        <f>SUMIF(G17:G228,"SB(KPP)",J17:J228)</f>
        <v>0</v>
      </c>
      <c r="K246" s="57"/>
      <c r="L246" s="57"/>
      <c r="M246" s="57"/>
      <c r="N246" s="57"/>
    </row>
    <row r="247" spans="1:45" ht="14.25" customHeight="1" x14ac:dyDescent="0.2">
      <c r="A247" s="1791" t="s">
        <v>310</v>
      </c>
      <c r="B247" s="1792"/>
      <c r="C247" s="1792"/>
      <c r="D247" s="1792"/>
      <c r="E247" s="1792"/>
      <c r="F247" s="1792"/>
      <c r="G247" s="1793"/>
      <c r="H247" s="153">
        <f>SUMIF(G14:G232,"SB(ES)",H14:H232)</f>
        <v>1861.9</v>
      </c>
      <c r="I247" s="153">
        <f>SUMIF(G17:G233,"SB(ES)",I17:I233)</f>
        <v>2952.4</v>
      </c>
      <c r="J247" s="153">
        <f>SUMIF(G17:G233,"SB(ES)",J17:J233)</f>
        <v>1205.0999999999999</v>
      </c>
    </row>
    <row r="248" spans="1:45" ht="14.25" customHeight="1" x14ac:dyDescent="0.2">
      <c r="A248" s="1776" t="s">
        <v>59</v>
      </c>
      <c r="B248" s="1777"/>
      <c r="C248" s="1777"/>
      <c r="D248" s="1777"/>
      <c r="E248" s="1777"/>
      <c r="F248" s="1777"/>
      <c r="G248" s="1778"/>
      <c r="H248" s="339">
        <f>SUMIF(G14:G228,"SB(L)",H14:H228)</f>
        <v>2530.6999999999998</v>
      </c>
      <c r="I248" s="339">
        <f>SUMIF(G19:G228,"SB(L)",I19:I228)</f>
        <v>0</v>
      </c>
      <c r="J248" s="339">
        <f>SUMIF(H19:H228,"SB(L)",J19:J228)</f>
        <v>0</v>
      </c>
    </row>
    <row r="249" spans="1:45" x14ac:dyDescent="0.2">
      <c r="A249" s="1776" t="s">
        <v>93</v>
      </c>
      <c r="B249" s="1777"/>
      <c r="C249" s="1777"/>
      <c r="D249" s="1777"/>
      <c r="E249" s="1777"/>
      <c r="F249" s="1777"/>
      <c r="G249" s="1778"/>
      <c r="H249" s="947">
        <f>SUMIF(G19:G234,"SB(SPL)",H19:H234)</f>
        <v>0</v>
      </c>
      <c r="I249" s="947">
        <f>SUMIF(G19:G234,"SB(SPL)",I19:I234)</f>
        <v>0</v>
      </c>
      <c r="J249" s="111">
        <f>SUMIF(H19:H234,"SB(SPL)",J19:J234)</f>
        <v>0</v>
      </c>
    </row>
    <row r="250" spans="1:45" x14ac:dyDescent="0.2">
      <c r="A250" s="1776" t="s">
        <v>96</v>
      </c>
      <c r="B250" s="1777"/>
      <c r="C250" s="1777"/>
      <c r="D250" s="1777"/>
      <c r="E250" s="1777"/>
      <c r="F250" s="1777"/>
      <c r="G250" s="1778"/>
      <c r="H250" s="947">
        <f>SUMIF(G14:G234,"SB(ŽPL)",H14:H234)</f>
        <v>0</v>
      </c>
      <c r="I250" s="947">
        <f>SUMIF(G14:G234,"SB(ŽPL)",I14:I234)</f>
        <v>0</v>
      </c>
      <c r="J250" s="111">
        <f>SUMIF(H14:H234,"SB(ŽPL)",J14:J234)</f>
        <v>0</v>
      </c>
    </row>
    <row r="251" spans="1:45" ht="12" customHeight="1" x14ac:dyDescent="0.2">
      <c r="A251" s="1776" t="s">
        <v>94</v>
      </c>
      <c r="B251" s="1777"/>
      <c r="C251" s="1777"/>
      <c r="D251" s="1777"/>
      <c r="E251" s="1777"/>
      <c r="F251" s="1777"/>
      <c r="G251" s="1778"/>
      <c r="H251" s="339">
        <f>SUMIF(G14:G234,"SB(VRL)",H14:H234)</f>
        <v>0</v>
      </c>
      <c r="I251" s="339">
        <f>SUMIF(G19:G234,"SB(VRL)",I19:I234)</f>
        <v>0</v>
      </c>
      <c r="J251" s="339">
        <f>SUMIF(H19:H234,"SB(VRL)",J19:J234)</f>
        <v>0</v>
      </c>
    </row>
    <row r="252" spans="1:45" x14ac:dyDescent="0.2">
      <c r="A252" s="1779" t="s">
        <v>15</v>
      </c>
      <c r="B252" s="1780"/>
      <c r="C252" s="1780"/>
      <c r="D252" s="1780"/>
      <c r="E252" s="1780"/>
      <c r="F252" s="1780"/>
      <c r="G252" s="1781"/>
      <c r="H252" s="956">
        <f t="shared" ref="H252:J252" si="12">SUM(H253:H256)</f>
        <v>802.5</v>
      </c>
      <c r="I252" s="956">
        <f t="shared" si="12"/>
        <v>3240.4</v>
      </c>
      <c r="J252" s="1274">
        <f t="shared" si="12"/>
        <v>3597.1</v>
      </c>
    </row>
    <row r="253" spans="1:45" x14ac:dyDescent="0.2">
      <c r="A253" s="1782" t="s">
        <v>150</v>
      </c>
      <c r="B253" s="1783"/>
      <c r="C253" s="1783"/>
      <c r="D253" s="1783"/>
      <c r="E253" s="1783"/>
      <c r="F253" s="1783"/>
      <c r="G253" s="1784"/>
      <c r="H253" s="153">
        <f>SUMIF(G17:G234,"KVJUD",H17:H234)</f>
        <v>0</v>
      </c>
      <c r="I253" s="153">
        <f>SUMIF(G19:G234,"KVJUD",I17:I234)</f>
        <v>0</v>
      </c>
      <c r="J253" s="153">
        <f>SUMIF(G17:G234,"KVJUD",J17:J234)</f>
        <v>0</v>
      </c>
    </row>
    <row r="254" spans="1:45" ht="13.5" customHeight="1" x14ac:dyDescent="0.2">
      <c r="A254" s="1785" t="s">
        <v>22</v>
      </c>
      <c r="B254" s="1786"/>
      <c r="C254" s="1786"/>
      <c r="D254" s="1786"/>
      <c r="E254" s="1786"/>
      <c r="F254" s="1786"/>
      <c r="G254" s="1787"/>
      <c r="H254" s="153">
        <f>SUMIF(G14:G234,"LRVB",H14:H234)</f>
        <v>65.099999999999994</v>
      </c>
      <c r="I254" s="153">
        <f>SUMIF(G14:G234,"LRVB",I14:I234)</f>
        <v>262.7</v>
      </c>
      <c r="J254" s="153">
        <f>SUMIF(G14:G234,"LRVB",J14:J234)</f>
        <v>291.7</v>
      </c>
    </row>
    <row r="255" spans="1:45" ht="14.25" customHeight="1" x14ac:dyDescent="0.2">
      <c r="A255" s="1791" t="s">
        <v>21</v>
      </c>
      <c r="B255" s="1792"/>
      <c r="C255" s="1792"/>
      <c r="D255" s="1792"/>
      <c r="E255" s="1792"/>
      <c r="F255" s="1792"/>
      <c r="G255" s="1793"/>
      <c r="H255" s="110">
        <f>SUMIF(G19:G232,"ES",H19:H232)</f>
        <v>737.4</v>
      </c>
      <c r="I255" s="110">
        <f>SUMIF(G19:G228,"ES",I19:I228)</f>
        <v>2977.7</v>
      </c>
      <c r="J255" s="110">
        <f>SUMIF(G19:G228,"ES",J19:J228)</f>
        <v>3305.4</v>
      </c>
    </row>
    <row r="256" spans="1:45" ht="15.75" customHeight="1" x14ac:dyDescent="0.2">
      <c r="A256" s="1785" t="s">
        <v>23</v>
      </c>
      <c r="B256" s="1786"/>
      <c r="C256" s="1786"/>
      <c r="D256" s="1786"/>
      <c r="E256" s="1786"/>
      <c r="F256" s="1786"/>
      <c r="G256" s="1787"/>
      <c r="H256" s="153">
        <f>SUMIF(G14:G234,"Kt",H14:H234)</f>
        <v>0</v>
      </c>
      <c r="I256" s="153">
        <f>SUMIF(G14:G234,"Kt",I14:I234)</f>
        <v>0</v>
      </c>
      <c r="J256" s="153">
        <f>SUMIF(G14:G234,"Kt",J14:J234)</f>
        <v>0</v>
      </c>
    </row>
    <row r="257" spans="1:48" s="10" customFormat="1" ht="15" customHeight="1" thickBot="1" x14ac:dyDescent="0.25">
      <c r="A257" s="1807" t="s">
        <v>16</v>
      </c>
      <c r="B257" s="1808"/>
      <c r="C257" s="1808"/>
      <c r="D257" s="1808"/>
      <c r="E257" s="1808"/>
      <c r="F257" s="1808"/>
      <c r="G257" s="1809"/>
      <c r="H257" s="559">
        <f>SUM(H239,H252)</f>
        <v>15720.7</v>
      </c>
      <c r="I257" s="559">
        <f>SUM(I239,I252)</f>
        <v>19931.099999999999</v>
      </c>
      <c r="J257" s="559">
        <f>SUM(J239,J252)</f>
        <v>18189.400000000001</v>
      </c>
      <c r="K257" s="7"/>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row>
    <row r="258" spans="1:48" s="10" customFormat="1" x14ac:dyDescent="0.2">
      <c r="A258" s="7"/>
      <c r="B258" s="7"/>
      <c r="C258" s="7"/>
      <c r="D258" s="7"/>
      <c r="E258" s="15"/>
      <c r="F258" s="1318"/>
      <c r="G258" s="24"/>
      <c r="H258" s="12"/>
      <c r="I258" s="12"/>
      <c r="J258" s="12"/>
      <c r="K258" s="12"/>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row>
    <row r="259" spans="1:48" s="10" customFormat="1" x14ac:dyDescent="0.2">
      <c r="A259" s="7"/>
      <c r="B259" s="7"/>
      <c r="C259" s="7"/>
      <c r="D259" s="7"/>
      <c r="E259" s="1939" t="s">
        <v>473</v>
      </c>
      <c r="F259" s="1939"/>
      <c r="G259" s="1939"/>
      <c r="H259" s="1939"/>
      <c r="I259" s="1939"/>
      <c r="J259" s="1939"/>
      <c r="K259" s="74"/>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row>
    <row r="260" spans="1:48" s="10" customFormat="1" x14ac:dyDescent="0.2">
      <c r="A260" s="7"/>
      <c r="B260" s="7"/>
      <c r="C260" s="7"/>
      <c r="D260" s="7"/>
      <c r="E260" s="15"/>
      <c r="F260" s="1318"/>
      <c r="G260" s="24"/>
      <c r="H260" s="1201"/>
      <c r="I260" s="1201"/>
      <c r="J260" s="1201"/>
      <c r="K260" s="12"/>
      <c r="L260" s="12"/>
      <c r="M260" s="12"/>
      <c r="N260" s="12"/>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row>
    <row r="261" spans="1:48" s="10" customFormat="1" x14ac:dyDescent="0.2">
      <c r="A261" s="7"/>
      <c r="B261" s="7"/>
      <c r="C261" s="7"/>
      <c r="D261" s="7"/>
      <c r="E261" s="15"/>
      <c r="F261" s="1318"/>
      <c r="G261" s="24"/>
      <c r="H261" s="17"/>
      <c r="I261" s="17"/>
      <c r="J261" s="17"/>
      <c r="K261" s="7"/>
      <c r="L261" s="7"/>
      <c r="M261" s="7"/>
      <c r="N261" s="7"/>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row>
    <row r="262" spans="1:48" s="10" customFormat="1" x14ac:dyDescent="0.2">
      <c r="A262" s="7"/>
      <c r="B262" s="7"/>
      <c r="C262" s="7"/>
      <c r="D262" s="7"/>
      <c r="E262" s="15"/>
      <c r="F262" s="1318"/>
      <c r="G262" s="24"/>
      <c r="H262" s="17"/>
      <c r="I262" s="7"/>
      <c r="J262" s="7"/>
      <c r="K262" s="7"/>
      <c r="L262" s="7"/>
      <c r="M262" s="7"/>
      <c r="N262" s="7"/>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row>
    <row r="263" spans="1:48" s="10" customFormat="1" x14ac:dyDescent="0.2">
      <c r="A263" s="7"/>
      <c r="B263" s="7"/>
      <c r="C263" s="7"/>
      <c r="D263" s="7"/>
      <c r="E263" s="15"/>
      <c r="F263" s="1318"/>
      <c r="G263" s="24"/>
      <c r="H263" s="57"/>
      <c r="I263" s="57"/>
      <c r="J263" s="57"/>
      <c r="K263" s="7"/>
      <c r="L263" s="7"/>
      <c r="M263" s="7"/>
      <c r="N263" s="7"/>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row>
  </sheetData>
  <mergeCells count="205">
    <mergeCell ref="E259:J259"/>
    <mergeCell ref="K152:K153"/>
    <mergeCell ref="D175:D176"/>
    <mergeCell ref="C222:H222"/>
    <mergeCell ref="K25:K26"/>
    <mergeCell ref="D27:D30"/>
    <mergeCell ref="E27:E44"/>
    <mergeCell ref="A14:N14"/>
    <mergeCell ref="B15:N15"/>
    <mergeCell ref="C16:N16"/>
    <mergeCell ref="D19:D20"/>
    <mergeCell ref="A21:A26"/>
    <mergeCell ref="D17:D18"/>
    <mergeCell ref="F53:F54"/>
    <mergeCell ref="D55:D56"/>
    <mergeCell ref="E55:E56"/>
    <mergeCell ref="F55:F56"/>
    <mergeCell ref="B21:B26"/>
    <mergeCell ref="C21:C26"/>
    <mergeCell ref="D21:D26"/>
    <mergeCell ref="D49:D50"/>
    <mergeCell ref="E49:E50"/>
    <mergeCell ref="F49:F50"/>
    <mergeCell ref="D51:D52"/>
    <mergeCell ref="K10:N10"/>
    <mergeCell ref="K11:K12"/>
    <mergeCell ref="L11:N11"/>
    <mergeCell ref="A13:N13"/>
    <mergeCell ref="E10:E12"/>
    <mergeCell ref="F10:F12"/>
    <mergeCell ref="G10:G12"/>
    <mergeCell ref="H10:H12"/>
    <mergeCell ref="A10:A12"/>
    <mergeCell ref="B10:B12"/>
    <mergeCell ref="C10:C12"/>
    <mergeCell ref="D10:D12"/>
    <mergeCell ref="E21:E26"/>
    <mergeCell ref="F21:F26"/>
    <mergeCell ref="D57:D58"/>
    <mergeCell ref="E57:E58"/>
    <mergeCell ref="D59:D60"/>
    <mergeCell ref="E59:E60"/>
    <mergeCell ref="I10:I12"/>
    <mergeCell ref="J10:J12"/>
    <mergeCell ref="D53:D54"/>
    <mergeCell ref="B65:B66"/>
    <mergeCell ref="C65:C66"/>
    <mergeCell ref="D65:D66"/>
    <mergeCell ref="D45:D46"/>
    <mergeCell ref="E45:E48"/>
    <mergeCell ref="D47:D48"/>
    <mergeCell ref="E65:E66"/>
    <mergeCell ref="D91:D92"/>
    <mergeCell ref="F47:F48"/>
    <mergeCell ref="K91:K92"/>
    <mergeCell ref="F65:F66"/>
    <mergeCell ref="K59:K60"/>
    <mergeCell ref="D69:D70"/>
    <mergeCell ref="D78:D79"/>
    <mergeCell ref="A105:A107"/>
    <mergeCell ref="B105:B107"/>
    <mergeCell ref="C105:C107"/>
    <mergeCell ref="D105:D107"/>
    <mergeCell ref="E105:E107"/>
    <mergeCell ref="D93:D96"/>
    <mergeCell ref="E93:E97"/>
    <mergeCell ref="D74:D77"/>
    <mergeCell ref="E78:E79"/>
    <mergeCell ref="K96:K97"/>
    <mergeCell ref="D102:D104"/>
    <mergeCell ref="D98:D99"/>
    <mergeCell ref="F105:F107"/>
    <mergeCell ref="D62:D63"/>
    <mergeCell ref="A67:A68"/>
    <mergeCell ref="B67:B68"/>
    <mergeCell ref="C67:C68"/>
    <mergeCell ref="D67:D68"/>
    <mergeCell ref="A65:A66"/>
    <mergeCell ref="K111:K112"/>
    <mergeCell ref="M111:M112"/>
    <mergeCell ref="N111:N112"/>
    <mergeCell ref="A113:A114"/>
    <mergeCell ref="B113:B114"/>
    <mergeCell ref="C113:C114"/>
    <mergeCell ref="D113:D114"/>
    <mergeCell ref="E113:E114"/>
    <mergeCell ref="F113:F114"/>
    <mergeCell ref="A111:A112"/>
    <mergeCell ref="B111:B112"/>
    <mergeCell ref="C111:C112"/>
    <mergeCell ref="D111:D112"/>
    <mergeCell ref="E111:E112"/>
    <mergeCell ref="F111:F112"/>
    <mergeCell ref="D108:D109"/>
    <mergeCell ref="A135:A137"/>
    <mergeCell ref="B135:B137"/>
    <mergeCell ref="C135:C137"/>
    <mergeCell ref="D135:D137"/>
    <mergeCell ref="E135:E137"/>
    <mergeCell ref="A132:A134"/>
    <mergeCell ref="B132:B134"/>
    <mergeCell ref="C132:C134"/>
    <mergeCell ref="D132:D134"/>
    <mergeCell ref="E132:E134"/>
    <mergeCell ref="D115:D118"/>
    <mergeCell ref="D119:D120"/>
    <mergeCell ref="C121:C125"/>
    <mergeCell ref="C126:C129"/>
    <mergeCell ref="F132:F134"/>
    <mergeCell ref="D144:D146"/>
    <mergeCell ref="E144:E146"/>
    <mergeCell ref="F144:F146"/>
    <mergeCell ref="D147:D150"/>
    <mergeCell ref="E147:E150"/>
    <mergeCell ref="F147:F150"/>
    <mergeCell ref="F135:F137"/>
    <mergeCell ref="K135:K136"/>
    <mergeCell ref="D138:D143"/>
    <mergeCell ref="K138:K143"/>
    <mergeCell ref="D155:D157"/>
    <mergeCell ref="E155:E157"/>
    <mergeCell ref="K156:K157"/>
    <mergeCell ref="F157:F159"/>
    <mergeCell ref="D158:D160"/>
    <mergeCell ref="E158:E160"/>
    <mergeCell ref="K159:K160"/>
    <mergeCell ref="F160:F162"/>
    <mergeCell ref="K148:K150"/>
    <mergeCell ref="D151:D154"/>
    <mergeCell ref="E151:E154"/>
    <mergeCell ref="F151:F154"/>
    <mergeCell ref="D170:D171"/>
    <mergeCell ref="E170:E171"/>
    <mergeCell ref="F170:F171"/>
    <mergeCell ref="D161:D163"/>
    <mergeCell ref="E161:E163"/>
    <mergeCell ref="K162:K163"/>
    <mergeCell ref="D164:D165"/>
    <mergeCell ref="C174:N174"/>
    <mergeCell ref="D177:D179"/>
    <mergeCell ref="D166:D167"/>
    <mergeCell ref="K166:K167"/>
    <mergeCell ref="E164:E166"/>
    <mergeCell ref="C173:G173"/>
    <mergeCell ref="B203:B205"/>
    <mergeCell ref="C203:C205"/>
    <mergeCell ref="D203:D205"/>
    <mergeCell ref="E203:E205"/>
    <mergeCell ref="C192:M192"/>
    <mergeCell ref="D195:D196"/>
    <mergeCell ref="D198:D199"/>
    <mergeCell ref="K198:K199"/>
    <mergeCell ref="A201:A202"/>
    <mergeCell ref="B201:B202"/>
    <mergeCell ref="C201:C202"/>
    <mergeCell ref="D201:D202"/>
    <mergeCell ref="D193:D194"/>
    <mergeCell ref="K1:N1"/>
    <mergeCell ref="K2:N2"/>
    <mergeCell ref="A249:G249"/>
    <mergeCell ref="A250:G250"/>
    <mergeCell ref="A251:G251"/>
    <mergeCell ref="A252:G252"/>
    <mergeCell ref="A253:G253"/>
    <mergeCell ref="A254:G254"/>
    <mergeCell ref="A243:G243"/>
    <mergeCell ref="A244:G244"/>
    <mergeCell ref="A245:G245"/>
    <mergeCell ref="A246:G246"/>
    <mergeCell ref="A247:G247"/>
    <mergeCell ref="A248:G248"/>
    <mergeCell ref="A237:G237"/>
    <mergeCell ref="A238:G238"/>
    <mergeCell ref="A239:G239"/>
    <mergeCell ref="A240:G240"/>
    <mergeCell ref="A241:G241"/>
    <mergeCell ref="A242:G242"/>
    <mergeCell ref="C232:G232"/>
    <mergeCell ref="B233:G233"/>
    <mergeCell ref="K233:N233"/>
    <mergeCell ref="B234:G234"/>
    <mergeCell ref="K51:K52"/>
    <mergeCell ref="E51:E54"/>
    <mergeCell ref="A255:G255"/>
    <mergeCell ref="A256:G256"/>
    <mergeCell ref="A257:G257"/>
    <mergeCell ref="A6:M6"/>
    <mergeCell ref="A7:M7"/>
    <mergeCell ref="A8:M8"/>
    <mergeCell ref="J9:M9"/>
    <mergeCell ref="K234:N234"/>
    <mergeCell ref="E223:E224"/>
    <mergeCell ref="D226:D228"/>
    <mergeCell ref="D229:D231"/>
    <mergeCell ref="D206:D210"/>
    <mergeCell ref="C221:G221"/>
    <mergeCell ref="A223:A224"/>
    <mergeCell ref="B223:B224"/>
    <mergeCell ref="C223:C224"/>
    <mergeCell ref="D223:D224"/>
    <mergeCell ref="E201:E202"/>
    <mergeCell ref="D180:D184"/>
    <mergeCell ref="K180:K181"/>
    <mergeCell ref="C191:G191"/>
    <mergeCell ref="A203:A205"/>
  </mergeCells>
  <printOptions horizontalCentered="1"/>
  <pageMargins left="0.78740157480314965" right="0.39370078740157483" top="0.59055118110236227" bottom="0.39370078740157483" header="0" footer="0"/>
  <pageSetup paperSize="9" scale="67" orientation="portrait" r:id="rId1"/>
  <rowBreaks count="2" manualBreakCount="2">
    <brk id="68" max="13" man="1"/>
    <brk id="236" max="1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6"/>
  <sheetViews>
    <sheetView view="pageBreakPreview" topLeftCell="A179" zoomScaleNormal="100" zoomScaleSheetLayoutView="100" workbookViewId="0">
      <selection activeCell="N200" sqref="N200:N202"/>
    </sheetView>
  </sheetViews>
  <sheetFormatPr defaultRowHeight="12.75" x14ac:dyDescent="0.2"/>
  <cols>
    <col min="1" max="4" width="2.7109375" style="7" customWidth="1"/>
    <col min="5" max="5" width="32" style="7" customWidth="1"/>
    <col min="6" max="6" width="3.28515625" style="15" customWidth="1"/>
    <col min="7" max="7" width="3.28515625" style="21" customWidth="1"/>
    <col min="8" max="8" width="11.5703125" style="21" customWidth="1"/>
    <col min="9" max="9" width="8.28515625" style="24" customWidth="1"/>
    <col min="10" max="10" width="8.7109375" style="7" customWidth="1"/>
    <col min="11" max="13" width="8.85546875" style="7" customWidth="1"/>
    <col min="14" max="14" width="37" style="7" customWidth="1"/>
    <col min="15" max="15" width="5.85546875" style="7" customWidth="1"/>
    <col min="16" max="18" width="4.5703125" style="7" customWidth="1"/>
    <col min="19" max="16384" width="9.140625" style="3"/>
  </cols>
  <sheetData>
    <row r="1" spans="1:18" s="151" customFormat="1" ht="14.25" customHeight="1" x14ac:dyDescent="0.25">
      <c r="N1" s="2012" t="s">
        <v>119</v>
      </c>
      <c r="O1" s="2013"/>
      <c r="P1" s="2013"/>
      <c r="Q1" s="2013"/>
      <c r="R1" s="2013"/>
    </row>
    <row r="2" spans="1:18" s="151" customFormat="1" ht="14.25" customHeight="1" x14ac:dyDescent="0.25">
      <c r="N2" s="1051"/>
      <c r="O2" s="1052"/>
      <c r="P2" s="1052"/>
      <c r="Q2" s="1052"/>
      <c r="R2" s="1052"/>
    </row>
    <row r="3" spans="1:18" s="61" customFormat="1" ht="15.75" x14ac:dyDescent="0.2">
      <c r="A3" s="1655" t="s">
        <v>330</v>
      </c>
      <c r="B3" s="1655"/>
      <c r="C3" s="1655"/>
      <c r="D3" s="1655"/>
      <c r="E3" s="1655"/>
      <c r="F3" s="1655"/>
      <c r="G3" s="1655"/>
      <c r="H3" s="1655"/>
      <c r="I3" s="1655"/>
      <c r="J3" s="1655"/>
      <c r="K3" s="1655"/>
      <c r="L3" s="1655"/>
      <c r="M3" s="1655"/>
      <c r="N3" s="1655"/>
      <c r="O3" s="1655"/>
      <c r="P3" s="1655"/>
      <c r="Q3" s="1655"/>
      <c r="R3" s="1655"/>
    </row>
    <row r="4" spans="1:18" ht="15.75" x14ac:dyDescent="0.2">
      <c r="A4" s="1656" t="s">
        <v>25</v>
      </c>
      <c r="B4" s="1656"/>
      <c r="C4" s="1656"/>
      <c r="D4" s="1656"/>
      <c r="E4" s="1656"/>
      <c r="F4" s="1656"/>
      <c r="G4" s="1656"/>
      <c r="H4" s="1656"/>
      <c r="I4" s="1656"/>
      <c r="J4" s="1656"/>
      <c r="K4" s="1656"/>
      <c r="L4" s="1656"/>
      <c r="M4" s="1656"/>
      <c r="N4" s="1656"/>
      <c r="O4" s="1656"/>
      <c r="P4" s="1656"/>
      <c r="Q4" s="1656"/>
      <c r="R4" s="1656"/>
    </row>
    <row r="5" spans="1:18" ht="15.75" x14ac:dyDescent="0.2">
      <c r="A5" s="1657" t="s">
        <v>114</v>
      </c>
      <c r="B5" s="1657"/>
      <c r="C5" s="1657"/>
      <c r="D5" s="1657"/>
      <c r="E5" s="1657"/>
      <c r="F5" s="1657"/>
      <c r="G5" s="1657"/>
      <c r="H5" s="1657"/>
      <c r="I5" s="1657"/>
      <c r="J5" s="1657"/>
      <c r="K5" s="1657"/>
      <c r="L5" s="1657"/>
      <c r="M5" s="1657"/>
      <c r="N5" s="1657"/>
      <c r="O5" s="1657"/>
      <c r="P5" s="1657"/>
      <c r="Q5" s="1657"/>
      <c r="R5" s="1657"/>
    </row>
    <row r="6" spans="1:18" ht="13.5" thickBot="1" x14ac:dyDescent="0.25">
      <c r="N6" s="1658" t="s">
        <v>110</v>
      </c>
      <c r="O6" s="1658"/>
      <c r="P6" s="1658"/>
      <c r="Q6" s="1658"/>
      <c r="R6" s="1659"/>
    </row>
    <row r="7" spans="1:18" s="61" customFormat="1" ht="24.75" customHeight="1" x14ac:dyDescent="0.2">
      <c r="A7" s="1930" t="s">
        <v>17</v>
      </c>
      <c r="B7" s="1933" t="s">
        <v>0</v>
      </c>
      <c r="C7" s="1933" t="s">
        <v>1</v>
      </c>
      <c r="D7" s="1933" t="s">
        <v>73</v>
      </c>
      <c r="E7" s="1936" t="s">
        <v>12</v>
      </c>
      <c r="F7" s="1921" t="s">
        <v>2</v>
      </c>
      <c r="G7" s="1924" t="s">
        <v>3</v>
      </c>
      <c r="H7" s="2014" t="s">
        <v>74</v>
      </c>
      <c r="I7" s="1927" t="s">
        <v>4</v>
      </c>
      <c r="J7" s="1916" t="s">
        <v>347</v>
      </c>
      <c r="K7" s="1916" t="s">
        <v>346</v>
      </c>
      <c r="L7" s="1916" t="s">
        <v>193</v>
      </c>
      <c r="M7" s="1916" t="s">
        <v>328</v>
      </c>
      <c r="N7" s="1672" t="s">
        <v>11</v>
      </c>
      <c r="O7" s="1673"/>
      <c r="P7" s="1673"/>
      <c r="Q7" s="1673"/>
      <c r="R7" s="1919"/>
    </row>
    <row r="8" spans="1:18" s="61" customFormat="1" ht="18.75" customHeight="1" x14ac:dyDescent="0.2">
      <c r="A8" s="1931"/>
      <c r="B8" s="1934"/>
      <c r="C8" s="1934"/>
      <c r="D8" s="1934"/>
      <c r="E8" s="1937"/>
      <c r="F8" s="1922"/>
      <c r="G8" s="1925"/>
      <c r="H8" s="2015"/>
      <c r="I8" s="1928"/>
      <c r="J8" s="1917"/>
      <c r="K8" s="1917"/>
      <c r="L8" s="1917"/>
      <c r="M8" s="1917"/>
      <c r="N8" s="1690" t="s">
        <v>12</v>
      </c>
      <c r="O8" s="1674" t="s">
        <v>87</v>
      </c>
      <c r="P8" s="1674"/>
      <c r="Q8" s="1674"/>
      <c r="R8" s="1920"/>
    </row>
    <row r="9" spans="1:18" s="61" customFormat="1" ht="59.25" customHeight="1" thickBot="1" x14ac:dyDescent="0.25">
      <c r="A9" s="1932"/>
      <c r="B9" s="1935"/>
      <c r="C9" s="1935"/>
      <c r="D9" s="1935"/>
      <c r="E9" s="1938"/>
      <c r="F9" s="1923"/>
      <c r="G9" s="1926"/>
      <c r="H9" s="2016"/>
      <c r="I9" s="1929"/>
      <c r="J9" s="1918"/>
      <c r="K9" s="1918"/>
      <c r="L9" s="1918"/>
      <c r="M9" s="1918"/>
      <c r="N9" s="1691"/>
      <c r="O9" s="5" t="s">
        <v>91</v>
      </c>
      <c r="P9" s="152" t="s">
        <v>121</v>
      </c>
      <c r="Q9" s="152" t="s">
        <v>194</v>
      </c>
      <c r="R9" s="6" t="s">
        <v>329</v>
      </c>
    </row>
    <row r="10" spans="1:18" s="14" customFormat="1" ht="15" customHeight="1" x14ac:dyDescent="0.2">
      <c r="A10" s="1636" t="s">
        <v>61</v>
      </c>
      <c r="B10" s="1637"/>
      <c r="C10" s="1637"/>
      <c r="D10" s="1637"/>
      <c r="E10" s="1637"/>
      <c r="F10" s="1637"/>
      <c r="G10" s="1637"/>
      <c r="H10" s="1637"/>
      <c r="I10" s="1637"/>
      <c r="J10" s="1637"/>
      <c r="K10" s="1637"/>
      <c r="L10" s="1637"/>
      <c r="M10" s="1637"/>
      <c r="N10" s="1637"/>
      <c r="O10" s="1637"/>
      <c r="P10" s="1637"/>
      <c r="Q10" s="1637"/>
      <c r="R10" s="1638"/>
    </row>
    <row r="11" spans="1:18" s="14" customFormat="1" ht="14.25" customHeight="1" x14ac:dyDescent="0.2">
      <c r="A11" s="1639" t="s">
        <v>45</v>
      </c>
      <c r="B11" s="1640"/>
      <c r="C11" s="1640"/>
      <c r="D11" s="1640"/>
      <c r="E11" s="1640"/>
      <c r="F11" s="1640"/>
      <c r="G11" s="1640"/>
      <c r="H11" s="1640"/>
      <c r="I11" s="1640"/>
      <c r="J11" s="1640"/>
      <c r="K11" s="1640"/>
      <c r="L11" s="1640"/>
      <c r="M11" s="1640"/>
      <c r="N11" s="1640"/>
      <c r="O11" s="1640"/>
      <c r="P11" s="1640"/>
      <c r="Q11" s="1640"/>
      <c r="R11" s="1641"/>
    </row>
    <row r="12" spans="1:18" ht="15" customHeight="1" x14ac:dyDescent="0.2">
      <c r="A12" s="30" t="s">
        <v>5</v>
      </c>
      <c r="B12" s="1642" t="s">
        <v>62</v>
      </c>
      <c r="C12" s="1643"/>
      <c r="D12" s="1643"/>
      <c r="E12" s="1643"/>
      <c r="F12" s="1643"/>
      <c r="G12" s="1643"/>
      <c r="H12" s="1643"/>
      <c r="I12" s="1643"/>
      <c r="J12" s="1643"/>
      <c r="K12" s="1643"/>
      <c r="L12" s="1643"/>
      <c r="M12" s="1643"/>
      <c r="N12" s="1643"/>
      <c r="O12" s="1643"/>
      <c r="P12" s="1643"/>
      <c r="Q12" s="1643"/>
      <c r="R12" s="1644"/>
    </row>
    <row r="13" spans="1:18" ht="15.75" customHeight="1" x14ac:dyDescent="0.2">
      <c r="A13" s="48" t="s">
        <v>5</v>
      </c>
      <c r="B13" s="49" t="s">
        <v>5</v>
      </c>
      <c r="C13" s="1645" t="s">
        <v>41</v>
      </c>
      <c r="D13" s="1646"/>
      <c r="E13" s="1646"/>
      <c r="F13" s="1646"/>
      <c r="G13" s="1646"/>
      <c r="H13" s="1646"/>
      <c r="I13" s="1646"/>
      <c r="J13" s="1646"/>
      <c r="K13" s="1646"/>
      <c r="L13" s="1646"/>
      <c r="M13" s="1646"/>
      <c r="N13" s="1646"/>
      <c r="O13" s="1646"/>
      <c r="P13" s="1646"/>
      <c r="Q13" s="1646"/>
      <c r="R13" s="1647"/>
    </row>
    <row r="14" spans="1:18" ht="39" customHeight="1" x14ac:dyDescent="0.2">
      <c r="A14" s="581" t="s">
        <v>5</v>
      </c>
      <c r="B14" s="582" t="s">
        <v>5</v>
      </c>
      <c r="C14" s="585" t="s">
        <v>5</v>
      </c>
      <c r="D14" s="579"/>
      <c r="E14" s="269" t="s">
        <v>97</v>
      </c>
      <c r="F14" s="1289" t="s">
        <v>445</v>
      </c>
      <c r="G14" s="278" t="s">
        <v>27</v>
      </c>
      <c r="H14" s="580" t="s">
        <v>198</v>
      </c>
      <c r="I14" s="44"/>
      <c r="J14" s="115"/>
      <c r="K14" s="318"/>
      <c r="L14" s="120"/>
      <c r="M14" s="318"/>
      <c r="N14" s="329"/>
      <c r="O14" s="332"/>
      <c r="P14" s="173"/>
      <c r="Q14" s="173"/>
      <c r="R14" s="364"/>
    </row>
    <row r="15" spans="1:18" ht="16.5" customHeight="1" x14ac:dyDescent="0.2">
      <c r="A15" s="581"/>
      <c r="B15" s="582"/>
      <c r="C15" s="585"/>
      <c r="D15" s="578" t="s">
        <v>5</v>
      </c>
      <c r="E15" s="1610" t="s">
        <v>117</v>
      </c>
      <c r="F15" s="583"/>
      <c r="G15" s="584"/>
      <c r="H15" s="1946"/>
      <c r="I15" s="70" t="s">
        <v>24</v>
      </c>
      <c r="J15" s="114">
        <v>140</v>
      </c>
      <c r="K15" s="121">
        <v>140.1</v>
      </c>
      <c r="L15" s="146">
        <v>140.1</v>
      </c>
      <c r="M15" s="121">
        <v>140.1</v>
      </c>
      <c r="N15" s="58" t="s">
        <v>313</v>
      </c>
      <c r="O15" s="159">
        <v>3.9</v>
      </c>
      <c r="P15" s="361">
        <v>3.9</v>
      </c>
      <c r="Q15" s="154">
        <v>3.9</v>
      </c>
      <c r="R15" s="551">
        <v>3.9</v>
      </c>
    </row>
    <row r="16" spans="1:18" ht="16.5" customHeight="1" x14ac:dyDescent="0.2">
      <c r="A16" s="581"/>
      <c r="B16" s="582"/>
      <c r="C16" s="585"/>
      <c r="D16" s="586"/>
      <c r="E16" s="1617"/>
      <c r="F16" s="583"/>
      <c r="G16" s="584"/>
      <c r="H16" s="1946"/>
      <c r="I16" s="28"/>
      <c r="J16" s="115"/>
      <c r="K16" s="318"/>
      <c r="L16" s="120"/>
      <c r="M16" s="318"/>
      <c r="N16" s="946" t="s">
        <v>442</v>
      </c>
      <c r="O16" s="627">
        <v>332</v>
      </c>
      <c r="P16" s="985">
        <v>341</v>
      </c>
      <c r="Q16" s="628">
        <v>353</v>
      </c>
      <c r="R16" s="629">
        <v>353</v>
      </c>
    </row>
    <row r="17" spans="1:18" ht="8.25" customHeight="1" x14ac:dyDescent="0.2">
      <c r="A17" s="1489"/>
      <c r="B17" s="1490"/>
      <c r="C17" s="1552"/>
      <c r="D17" s="1491"/>
      <c r="E17" s="1708"/>
      <c r="F17" s="1496"/>
      <c r="G17" s="1488"/>
      <c r="H17" s="2011"/>
      <c r="I17" s="43"/>
      <c r="J17" s="115"/>
      <c r="K17" s="318"/>
      <c r="L17" s="120"/>
      <c r="M17" s="318"/>
      <c r="N17" s="370"/>
      <c r="O17" s="340"/>
      <c r="P17" s="363"/>
      <c r="Q17" s="966"/>
      <c r="R17" s="365"/>
    </row>
    <row r="18" spans="1:18" ht="16.5" customHeight="1" x14ac:dyDescent="0.2">
      <c r="A18" s="1632"/>
      <c r="B18" s="1633"/>
      <c r="C18" s="1958"/>
      <c r="D18" s="1947" t="s">
        <v>7</v>
      </c>
      <c r="E18" s="1610" t="s">
        <v>30</v>
      </c>
      <c r="F18" s="1912" t="s">
        <v>100</v>
      </c>
      <c r="G18" s="1603"/>
      <c r="H18" s="1952"/>
      <c r="I18" s="1262" t="s">
        <v>24</v>
      </c>
      <c r="J18" s="114">
        <v>15.6</v>
      </c>
      <c r="K18" s="121">
        <v>15.6</v>
      </c>
      <c r="L18" s="146">
        <v>15.6</v>
      </c>
      <c r="M18" s="121">
        <v>15.6</v>
      </c>
      <c r="N18" s="1570" t="s">
        <v>32</v>
      </c>
      <c r="O18" s="41">
        <v>4</v>
      </c>
      <c r="P18" s="41">
        <v>4</v>
      </c>
      <c r="Q18" s="727">
        <v>4</v>
      </c>
      <c r="R18" s="240">
        <v>4</v>
      </c>
    </row>
    <row r="19" spans="1:18" ht="16.5" customHeight="1" x14ac:dyDescent="0.2">
      <c r="A19" s="1632"/>
      <c r="B19" s="1633"/>
      <c r="C19" s="1958"/>
      <c r="D19" s="1634"/>
      <c r="E19" s="1617"/>
      <c r="F19" s="1635"/>
      <c r="G19" s="1603"/>
      <c r="H19" s="1952"/>
      <c r="I19" s="1545"/>
      <c r="J19" s="115"/>
      <c r="K19" s="318"/>
      <c r="L19" s="120"/>
      <c r="M19" s="318"/>
      <c r="N19" s="1147" t="s">
        <v>86</v>
      </c>
      <c r="O19" s="1149">
        <v>3</v>
      </c>
      <c r="P19" s="1149">
        <v>3</v>
      </c>
      <c r="Q19" s="1150">
        <v>3</v>
      </c>
      <c r="R19" s="988">
        <v>6</v>
      </c>
    </row>
    <row r="20" spans="1:18" ht="27" customHeight="1" x14ac:dyDescent="0.2">
      <c r="A20" s="1632"/>
      <c r="B20" s="1633"/>
      <c r="C20" s="1958"/>
      <c r="D20" s="1634"/>
      <c r="E20" s="1617"/>
      <c r="F20" s="1635"/>
      <c r="G20" s="1603"/>
      <c r="H20" s="1952"/>
      <c r="I20" s="249" t="s">
        <v>24</v>
      </c>
      <c r="J20" s="184"/>
      <c r="K20" s="184">
        <v>15</v>
      </c>
      <c r="L20" s="1073"/>
      <c r="M20" s="184"/>
      <c r="N20" s="38" t="s">
        <v>381</v>
      </c>
      <c r="O20" s="907"/>
      <c r="P20" s="907">
        <v>1</v>
      </c>
      <c r="Q20" s="907"/>
      <c r="R20" s="986"/>
    </row>
    <row r="21" spans="1:18" ht="18" customHeight="1" x14ac:dyDescent="0.2">
      <c r="A21" s="1632"/>
      <c r="B21" s="1633"/>
      <c r="C21" s="1958"/>
      <c r="D21" s="1634"/>
      <c r="E21" s="1617"/>
      <c r="F21" s="1635"/>
      <c r="G21" s="1603"/>
      <c r="H21" s="1952"/>
      <c r="I21" s="249" t="s">
        <v>24</v>
      </c>
      <c r="J21" s="184"/>
      <c r="K21" s="184"/>
      <c r="L21" s="1073">
        <v>30</v>
      </c>
      <c r="M21" s="184"/>
      <c r="N21" s="38" t="s">
        <v>382</v>
      </c>
      <c r="O21" s="907"/>
      <c r="P21" s="907"/>
      <c r="Q21" s="907">
        <v>3</v>
      </c>
      <c r="R21" s="986"/>
    </row>
    <row r="22" spans="1:18" ht="16.5" customHeight="1" x14ac:dyDescent="0.2">
      <c r="A22" s="1632"/>
      <c r="B22" s="1633"/>
      <c r="C22" s="1958"/>
      <c r="D22" s="1634"/>
      <c r="E22" s="1617"/>
      <c r="F22" s="1635"/>
      <c r="G22" s="1603"/>
      <c r="H22" s="1952"/>
      <c r="I22" s="1545" t="s">
        <v>58</v>
      </c>
      <c r="J22" s="115">
        <v>43.1</v>
      </c>
      <c r="K22" s="318">
        <v>39.5</v>
      </c>
      <c r="L22" s="120"/>
      <c r="M22" s="318"/>
      <c r="N22" s="1943" t="s">
        <v>501</v>
      </c>
      <c r="O22" s="95">
        <v>10</v>
      </c>
      <c r="P22" s="155">
        <v>100</v>
      </c>
      <c r="Q22" s="155"/>
      <c r="R22" s="905"/>
    </row>
    <row r="23" spans="1:18" ht="15.75" customHeight="1" x14ac:dyDescent="0.2">
      <c r="A23" s="1632"/>
      <c r="B23" s="1633"/>
      <c r="C23" s="1958"/>
      <c r="D23" s="1634"/>
      <c r="E23" s="1611"/>
      <c r="F23" s="1913"/>
      <c r="G23" s="1603"/>
      <c r="H23" s="1973"/>
      <c r="I23" s="354" t="s">
        <v>24</v>
      </c>
      <c r="J23" s="113"/>
      <c r="K23" s="122">
        <v>10.7</v>
      </c>
      <c r="L23" s="119"/>
      <c r="M23" s="122"/>
      <c r="N23" s="1898"/>
      <c r="O23" s="90"/>
      <c r="P23" s="157"/>
      <c r="Q23" s="157"/>
      <c r="R23" s="239"/>
    </row>
    <row r="24" spans="1:18" ht="18" customHeight="1" x14ac:dyDescent="0.2">
      <c r="A24" s="1489"/>
      <c r="B24" s="1490"/>
      <c r="C24" s="1552"/>
      <c r="D24" s="1947" t="s">
        <v>26</v>
      </c>
      <c r="E24" s="1610" t="s">
        <v>31</v>
      </c>
      <c r="F24" s="1650"/>
      <c r="G24" s="1488"/>
      <c r="H24" s="1555"/>
      <c r="I24" s="1545" t="s">
        <v>24</v>
      </c>
      <c r="J24" s="115">
        <v>313.39999999999998</v>
      </c>
      <c r="K24" s="318">
        <f>252-127.1</f>
        <v>124.9</v>
      </c>
      <c r="L24" s="1521">
        <v>160</v>
      </c>
      <c r="M24" s="318">
        <v>160</v>
      </c>
      <c r="N24" s="410" t="s">
        <v>202</v>
      </c>
      <c r="O24" s="411"/>
      <c r="P24" s="412"/>
      <c r="Q24" s="735"/>
      <c r="R24" s="46"/>
    </row>
    <row r="25" spans="1:18" ht="29.25" customHeight="1" x14ac:dyDescent="0.2">
      <c r="A25" s="1489"/>
      <c r="B25" s="1490"/>
      <c r="C25" s="1552"/>
      <c r="D25" s="1634"/>
      <c r="E25" s="1978"/>
      <c r="F25" s="1625"/>
      <c r="G25" s="1488"/>
      <c r="H25" s="1555"/>
      <c r="I25" s="1545" t="s">
        <v>58</v>
      </c>
      <c r="J25" s="115">
        <f>97.5-6.5</f>
        <v>91</v>
      </c>
      <c r="K25" s="318">
        <f>85.8+14.1</f>
        <v>99.9</v>
      </c>
      <c r="L25" s="120"/>
      <c r="M25" s="318"/>
      <c r="N25" s="1529" t="s">
        <v>203</v>
      </c>
      <c r="O25" s="330">
        <v>430</v>
      </c>
      <c r="P25" s="1542">
        <v>87</v>
      </c>
      <c r="Q25" s="316">
        <v>87</v>
      </c>
      <c r="R25" s="1543">
        <v>87</v>
      </c>
    </row>
    <row r="26" spans="1:18" ht="25.5" customHeight="1" x14ac:dyDescent="0.2">
      <c r="A26" s="1489"/>
      <c r="B26" s="1490"/>
      <c r="C26" s="1552"/>
      <c r="D26" s="1634"/>
      <c r="E26" s="1978"/>
      <c r="F26" s="1625"/>
      <c r="G26" s="1488"/>
      <c r="H26" s="1555"/>
      <c r="I26" s="1545"/>
      <c r="J26" s="115"/>
      <c r="K26" s="318"/>
      <c r="L26" s="120"/>
      <c r="M26" s="318"/>
      <c r="N26" s="54" t="s">
        <v>166</v>
      </c>
      <c r="O26" s="413">
        <v>42</v>
      </c>
      <c r="P26" s="414">
        <v>63</v>
      </c>
      <c r="Q26" s="736">
        <v>63</v>
      </c>
      <c r="R26" s="415">
        <v>63</v>
      </c>
    </row>
    <row r="27" spans="1:18" ht="15" customHeight="1" x14ac:dyDescent="0.2">
      <c r="A27" s="1489"/>
      <c r="B27" s="1490"/>
      <c r="C27" s="1552"/>
      <c r="D27" s="1634"/>
      <c r="E27" s="1978"/>
      <c r="F27" s="1625"/>
      <c r="G27" s="1488"/>
      <c r="H27" s="1555"/>
      <c r="I27" s="1545"/>
      <c r="J27" s="115"/>
      <c r="K27" s="318"/>
      <c r="L27" s="120"/>
      <c r="M27" s="318"/>
      <c r="N27" s="417" t="s">
        <v>204</v>
      </c>
      <c r="O27" s="289"/>
      <c r="P27" s="418"/>
      <c r="Q27" s="737"/>
      <c r="R27" s="419"/>
    </row>
    <row r="28" spans="1:18" ht="13.5" customHeight="1" x14ac:dyDescent="0.2">
      <c r="A28" s="1489"/>
      <c r="B28" s="1490"/>
      <c r="C28" s="1552"/>
      <c r="D28" s="1634"/>
      <c r="E28" s="234"/>
      <c r="F28" s="1625"/>
      <c r="G28" s="1488"/>
      <c r="H28" s="1555"/>
      <c r="I28" s="1545"/>
      <c r="J28" s="115"/>
      <c r="K28" s="318"/>
      <c r="L28" s="120"/>
      <c r="M28" s="318"/>
      <c r="N28" s="1534" t="s">
        <v>112</v>
      </c>
      <c r="O28" s="95">
        <v>13</v>
      </c>
      <c r="P28" s="1505">
        <v>10</v>
      </c>
      <c r="Q28" s="155">
        <v>10</v>
      </c>
      <c r="R28" s="905">
        <v>10</v>
      </c>
    </row>
    <row r="29" spans="1:18" ht="13.5" customHeight="1" x14ac:dyDescent="0.2">
      <c r="A29" s="1489"/>
      <c r="B29" s="1490"/>
      <c r="C29" s="1552"/>
      <c r="D29" s="1634"/>
      <c r="E29" s="234"/>
      <c r="F29" s="1625"/>
      <c r="G29" s="1488"/>
      <c r="H29" s="1555"/>
      <c r="I29" s="1545"/>
      <c r="J29" s="115"/>
      <c r="K29" s="318"/>
      <c r="L29" s="120"/>
      <c r="M29" s="318"/>
      <c r="N29" s="1508" t="s">
        <v>33</v>
      </c>
      <c r="O29" s="39" t="s">
        <v>205</v>
      </c>
      <c r="P29" s="188" t="s">
        <v>383</v>
      </c>
      <c r="Q29" s="312" t="s">
        <v>383</v>
      </c>
      <c r="R29" s="421" t="s">
        <v>383</v>
      </c>
    </row>
    <row r="30" spans="1:18" ht="13.5" customHeight="1" x14ac:dyDescent="0.2">
      <c r="A30" s="1489"/>
      <c r="B30" s="1490"/>
      <c r="C30" s="1552"/>
      <c r="D30" s="1634"/>
      <c r="E30" s="234"/>
      <c r="F30" s="1625"/>
      <c r="G30" s="1488"/>
      <c r="H30" s="1555"/>
      <c r="I30" s="1545"/>
      <c r="J30" s="115"/>
      <c r="K30" s="318"/>
      <c r="L30" s="120"/>
      <c r="M30" s="318"/>
      <c r="N30" s="1508" t="s">
        <v>85</v>
      </c>
      <c r="O30" s="39" t="s">
        <v>206</v>
      </c>
      <c r="P30" s="188" t="s">
        <v>443</v>
      </c>
      <c r="Q30" s="312" t="s">
        <v>443</v>
      </c>
      <c r="R30" s="421" t="s">
        <v>443</v>
      </c>
    </row>
    <row r="31" spans="1:18" ht="13.5" customHeight="1" x14ac:dyDescent="0.2">
      <c r="A31" s="1489"/>
      <c r="B31" s="1490"/>
      <c r="C31" s="1552"/>
      <c r="D31" s="1634"/>
      <c r="E31" s="234"/>
      <c r="F31" s="1625"/>
      <c r="G31" s="1488"/>
      <c r="H31" s="1555"/>
      <c r="I31" s="1545"/>
      <c r="J31" s="115"/>
      <c r="K31" s="318"/>
      <c r="L31" s="120"/>
      <c r="M31" s="318"/>
      <c r="N31" s="1508" t="s">
        <v>384</v>
      </c>
      <c r="O31" s="39"/>
      <c r="P31" s="188" t="s">
        <v>197</v>
      </c>
      <c r="Q31" s="312" t="s">
        <v>197</v>
      </c>
      <c r="R31" s="421" t="s">
        <v>197</v>
      </c>
    </row>
    <row r="32" spans="1:18" ht="13.5" customHeight="1" x14ac:dyDescent="0.2">
      <c r="A32" s="1489"/>
      <c r="B32" s="1490"/>
      <c r="C32" s="1552"/>
      <c r="D32" s="1634"/>
      <c r="E32" s="234"/>
      <c r="F32" s="1625"/>
      <c r="G32" s="1488"/>
      <c r="H32" s="1555"/>
      <c r="I32" s="1545"/>
      <c r="J32" s="115"/>
      <c r="K32" s="318"/>
      <c r="L32" s="120"/>
      <c r="M32" s="318"/>
      <c r="N32" s="7" t="s">
        <v>348</v>
      </c>
      <c r="O32" s="39" t="s">
        <v>338</v>
      </c>
      <c r="P32" s="188" t="s">
        <v>338</v>
      </c>
      <c r="Q32" s="312" t="s">
        <v>338</v>
      </c>
      <c r="R32" s="421" t="s">
        <v>338</v>
      </c>
    </row>
    <row r="33" spans="1:21" ht="13.5" customHeight="1" x14ac:dyDescent="0.2">
      <c r="A33" s="1489"/>
      <c r="B33" s="1490"/>
      <c r="C33" s="1552"/>
      <c r="D33" s="1634"/>
      <c r="E33" s="234"/>
      <c r="F33" s="1625"/>
      <c r="G33" s="1488"/>
      <c r="H33" s="1555"/>
      <c r="I33" s="1545"/>
      <c r="J33" s="115"/>
      <c r="K33" s="318"/>
      <c r="L33" s="120"/>
      <c r="M33" s="318"/>
      <c r="N33" s="1508" t="s">
        <v>385</v>
      </c>
      <c r="O33" s="39"/>
      <c r="P33" s="188" t="s">
        <v>386</v>
      </c>
      <c r="Q33" s="312" t="s">
        <v>386</v>
      </c>
      <c r="R33" s="421" t="s">
        <v>386</v>
      </c>
    </row>
    <row r="34" spans="1:21" ht="15" customHeight="1" x14ac:dyDescent="0.2">
      <c r="A34" s="1489"/>
      <c r="B34" s="1490"/>
      <c r="C34" s="1552"/>
      <c r="D34" s="1634"/>
      <c r="E34" s="234"/>
      <c r="F34" s="1625"/>
      <c r="G34" s="1488"/>
      <c r="H34" s="1555"/>
      <c r="I34" s="1545"/>
      <c r="J34" s="115"/>
      <c r="K34" s="318"/>
      <c r="L34" s="120"/>
      <c r="M34" s="318"/>
      <c r="N34" s="1549" t="s">
        <v>207</v>
      </c>
      <c r="O34" s="1054" t="s">
        <v>208</v>
      </c>
      <c r="P34" s="188"/>
      <c r="Q34" s="312"/>
      <c r="R34" s="421"/>
    </row>
    <row r="35" spans="1:21" ht="17.25" customHeight="1" x14ac:dyDescent="0.2">
      <c r="A35" s="1489"/>
      <c r="B35" s="1490"/>
      <c r="C35" s="1552"/>
      <c r="D35" s="1634"/>
      <c r="E35" s="234"/>
      <c r="F35" s="1625"/>
      <c r="G35" s="1488"/>
      <c r="H35" s="1555"/>
      <c r="I35" s="1545"/>
      <c r="J35" s="115"/>
      <c r="K35" s="318"/>
      <c r="L35" s="120"/>
      <c r="M35" s="318"/>
      <c r="N35" s="1151" t="s">
        <v>209</v>
      </c>
      <c r="O35" s="1152" t="s">
        <v>210</v>
      </c>
      <c r="P35" s="232"/>
      <c r="Q35" s="372"/>
      <c r="R35" s="233"/>
    </row>
    <row r="36" spans="1:21" ht="14.25" customHeight="1" x14ac:dyDescent="0.2">
      <c r="A36" s="1489"/>
      <c r="B36" s="1490"/>
      <c r="C36" s="1552"/>
      <c r="D36" s="1634"/>
      <c r="E36" s="234"/>
      <c r="F36" s="1625"/>
      <c r="G36" s="1488"/>
      <c r="H36" s="1555"/>
      <c r="I36" s="1545"/>
      <c r="J36" s="115"/>
      <c r="K36" s="318"/>
      <c r="L36" s="120"/>
      <c r="M36" s="318"/>
      <c r="N36" s="422" t="s">
        <v>211</v>
      </c>
      <c r="O36" s="289"/>
      <c r="P36" s="418"/>
      <c r="Q36" s="737"/>
      <c r="R36" s="419"/>
    </row>
    <row r="37" spans="1:21" ht="13.5" customHeight="1" x14ac:dyDescent="0.2">
      <c r="A37" s="1489"/>
      <c r="B37" s="1490"/>
      <c r="C37" s="1552"/>
      <c r="D37" s="1634"/>
      <c r="E37" s="234"/>
      <c r="F37" s="1625"/>
      <c r="G37" s="1488"/>
      <c r="H37" s="1555"/>
      <c r="I37" s="1545"/>
      <c r="J37" s="115"/>
      <c r="K37" s="318"/>
      <c r="L37" s="120"/>
      <c r="M37" s="318"/>
      <c r="N37" s="1508" t="s">
        <v>168</v>
      </c>
      <c r="O37" s="164" t="s">
        <v>212</v>
      </c>
      <c r="P37" s="423">
        <v>11</v>
      </c>
      <c r="Q37" s="508">
        <v>11</v>
      </c>
      <c r="R37" s="424">
        <v>11</v>
      </c>
    </row>
    <row r="38" spans="1:21" ht="18" customHeight="1" x14ac:dyDescent="0.2">
      <c r="A38" s="1489"/>
      <c r="B38" s="1490"/>
      <c r="C38" s="1552"/>
      <c r="D38" s="1634"/>
      <c r="E38" s="234"/>
      <c r="F38" s="1625"/>
      <c r="G38" s="1488"/>
      <c r="H38" s="1555"/>
      <c r="I38" s="1545"/>
      <c r="J38" s="115"/>
      <c r="K38" s="318"/>
      <c r="L38" s="120"/>
      <c r="M38" s="318"/>
      <c r="N38" s="1569" t="s">
        <v>167</v>
      </c>
      <c r="O38" s="231" t="s">
        <v>145</v>
      </c>
      <c r="P38" s="232" t="s">
        <v>145</v>
      </c>
      <c r="Q38" s="372" t="s">
        <v>145</v>
      </c>
      <c r="R38" s="233" t="s">
        <v>145</v>
      </c>
    </row>
    <row r="39" spans="1:21" ht="15" customHeight="1" x14ac:dyDescent="0.2">
      <c r="A39" s="1489"/>
      <c r="B39" s="1490"/>
      <c r="C39" s="1552"/>
      <c r="D39" s="1634"/>
      <c r="E39" s="234"/>
      <c r="F39" s="1625"/>
      <c r="G39" s="1488"/>
      <c r="H39" s="1555"/>
      <c r="I39" s="1545"/>
      <c r="J39" s="115"/>
      <c r="K39" s="318"/>
      <c r="L39" s="120"/>
      <c r="M39" s="318"/>
      <c r="N39" s="422" t="s">
        <v>213</v>
      </c>
      <c r="O39" s="164"/>
      <c r="P39" s="423"/>
      <c r="Q39" s="508"/>
      <c r="R39" s="424"/>
    </row>
    <row r="40" spans="1:21" ht="28.5" customHeight="1" x14ac:dyDescent="0.2">
      <c r="A40" s="1489"/>
      <c r="B40" s="1490"/>
      <c r="C40" s="1552"/>
      <c r="D40" s="1634"/>
      <c r="E40" s="234"/>
      <c r="F40" s="1625"/>
      <c r="G40" s="1488"/>
      <c r="H40" s="1555"/>
      <c r="I40" s="1545"/>
      <c r="J40" s="115"/>
      <c r="K40" s="318"/>
      <c r="L40" s="120"/>
      <c r="M40" s="318"/>
      <c r="N40" s="1581" t="s">
        <v>467</v>
      </c>
      <c r="O40" s="164">
        <v>150</v>
      </c>
      <c r="P40" s="423"/>
      <c r="Q40" s="508">
        <v>150</v>
      </c>
      <c r="R40" s="424"/>
    </row>
    <row r="41" spans="1:21" ht="27.75" customHeight="1" x14ac:dyDescent="0.2">
      <c r="A41" s="1489"/>
      <c r="B41" s="1490"/>
      <c r="C41" s="1552"/>
      <c r="D41" s="1634"/>
      <c r="E41" s="234"/>
      <c r="F41" s="1625"/>
      <c r="G41" s="1488"/>
      <c r="H41" s="1555"/>
      <c r="I41" s="1545"/>
      <c r="J41" s="115"/>
      <c r="K41" s="318"/>
      <c r="L41" s="120"/>
      <c r="M41" s="318"/>
      <c r="N41" s="1581" t="s">
        <v>468</v>
      </c>
      <c r="O41" s="355">
        <v>7.5</v>
      </c>
      <c r="P41" s="320"/>
      <c r="Q41" s="1584">
        <v>7.5</v>
      </c>
      <c r="R41" s="743"/>
    </row>
    <row r="42" spans="1:21" ht="27" customHeight="1" x14ac:dyDescent="0.2">
      <c r="A42" s="1489"/>
      <c r="B42" s="1490"/>
      <c r="C42" s="1552"/>
      <c r="D42" s="1634"/>
      <c r="E42" s="234"/>
      <c r="F42" s="1625"/>
      <c r="G42" s="1488"/>
      <c r="H42" s="1555"/>
      <c r="I42" s="1545"/>
      <c r="J42" s="115"/>
      <c r="K42" s="318"/>
      <c r="L42" s="120"/>
      <c r="M42" s="318"/>
      <c r="N42" s="56" t="s">
        <v>279</v>
      </c>
      <c r="O42" s="231">
        <v>1</v>
      </c>
      <c r="P42" s="232">
        <v>1</v>
      </c>
      <c r="Q42" s="372">
        <v>1</v>
      </c>
      <c r="R42" s="233">
        <v>1</v>
      </c>
    </row>
    <row r="43" spans="1:21" ht="30" customHeight="1" x14ac:dyDescent="0.2">
      <c r="A43" s="1489"/>
      <c r="B43" s="1490"/>
      <c r="C43" s="1552"/>
      <c r="D43" s="1959"/>
      <c r="E43" s="235"/>
      <c r="F43" s="1693"/>
      <c r="G43" s="1488"/>
      <c r="H43" s="1555"/>
      <c r="I43" s="354"/>
      <c r="J43" s="113"/>
      <c r="K43" s="122"/>
      <c r="L43" s="119"/>
      <c r="M43" s="122"/>
      <c r="N43" s="251" t="s">
        <v>281</v>
      </c>
      <c r="O43" s="290">
        <v>2</v>
      </c>
      <c r="P43" s="521">
        <v>2</v>
      </c>
      <c r="Q43" s="738"/>
      <c r="R43" s="522"/>
    </row>
    <row r="44" spans="1:21" ht="28.5" customHeight="1" x14ac:dyDescent="0.2">
      <c r="A44" s="1489"/>
      <c r="B44" s="1490"/>
      <c r="C44" s="394"/>
      <c r="D44" s="1953" t="s">
        <v>34</v>
      </c>
      <c r="E44" s="1617" t="s">
        <v>152</v>
      </c>
      <c r="F44" s="1909" t="s">
        <v>155</v>
      </c>
      <c r="G44" s="1488"/>
      <c r="H44" s="1946" t="s">
        <v>198</v>
      </c>
      <c r="I44" s="28" t="s">
        <v>24</v>
      </c>
      <c r="J44" s="1521">
        <v>500</v>
      </c>
      <c r="K44" s="318">
        <v>20.9</v>
      </c>
      <c r="L44" s="120"/>
      <c r="M44" s="318"/>
      <c r="N44" s="1544" t="s">
        <v>175</v>
      </c>
      <c r="O44" s="95">
        <v>50</v>
      </c>
      <c r="P44" s="206">
        <v>100</v>
      </c>
      <c r="Q44" s="512"/>
      <c r="R44" s="313"/>
    </row>
    <row r="45" spans="1:21" ht="14.25" customHeight="1" x14ac:dyDescent="0.2">
      <c r="A45" s="1489"/>
      <c r="B45" s="1490"/>
      <c r="C45" s="394"/>
      <c r="D45" s="1953"/>
      <c r="E45" s="1617"/>
      <c r="F45" s="1695"/>
      <c r="G45" s="1488"/>
      <c r="H45" s="1946"/>
      <c r="I45" s="28" t="s">
        <v>58</v>
      </c>
      <c r="J45" s="1521"/>
      <c r="K45" s="318">
        <f>270+7.8</f>
        <v>277.8</v>
      </c>
      <c r="L45" s="120"/>
      <c r="M45" s="318"/>
      <c r="N45" s="1553" t="s">
        <v>154</v>
      </c>
      <c r="O45" s="206"/>
      <c r="P45" s="206">
        <v>1</v>
      </c>
      <c r="Q45" s="512"/>
      <c r="R45" s="313"/>
    </row>
    <row r="46" spans="1:21" ht="9.75" customHeight="1" x14ac:dyDescent="0.2">
      <c r="A46" s="1489"/>
      <c r="B46" s="1490"/>
      <c r="C46" s="394"/>
      <c r="D46" s="1954"/>
      <c r="E46" s="1611"/>
      <c r="F46" s="1695"/>
      <c r="G46" s="1488"/>
      <c r="H46" s="1946"/>
      <c r="I46" s="76"/>
      <c r="J46" s="1114"/>
      <c r="K46" s="122"/>
      <c r="L46" s="119"/>
      <c r="M46" s="122"/>
      <c r="N46" s="1321"/>
      <c r="O46" s="1141"/>
      <c r="P46" s="90"/>
      <c r="Q46" s="611"/>
      <c r="R46" s="263"/>
    </row>
    <row r="47" spans="1:21" ht="19.5" customHeight="1" x14ac:dyDescent="0.2">
      <c r="A47" s="1489"/>
      <c r="B47" s="1490"/>
      <c r="C47" s="395"/>
      <c r="D47" s="2007" t="s">
        <v>35</v>
      </c>
      <c r="E47" s="1610" t="s">
        <v>142</v>
      </c>
      <c r="F47" s="1695"/>
      <c r="G47" s="1697"/>
      <c r="H47" s="1946"/>
      <c r="I47" s="70" t="s">
        <v>24</v>
      </c>
      <c r="J47" s="144">
        <v>195</v>
      </c>
      <c r="K47" s="318">
        <v>21</v>
      </c>
      <c r="L47" s="120">
        <v>604</v>
      </c>
      <c r="M47" s="318"/>
      <c r="N47" s="1530" t="s">
        <v>98</v>
      </c>
      <c r="O47" s="1137">
        <v>1</v>
      </c>
      <c r="P47" s="206">
        <v>1</v>
      </c>
      <c r="Q47" s="711"/>
      <c r="R47" s="244"/>
    </row>
    <row r="48" spans="1:21" ht="27" customHeight="1" x14ac:dyDescent="0.2">
      <c r="A48" s="1489"/>
      <c r="B48" s="1490"/>
      <c r="C48" s="1552"/>
      <c r="D48" s="1954"/>
      <c r="E48" s="1611"/>
      <c r="F48" s="1695"/>
      <c r="G48" s="1697"/>
      <c r="H48" s="1946"/>
      <c r="I48" s="354" t="s">
        <v>58</v>
      </c>
      <c r="J48" s="113"/>
      <c r="K48" s="122">
        <f>179+8</f>
        <v>187</v>
      </c>
      <c r="L48" s="1114"/>
      <c r="M48" s="122"/>
      <c r="N48" s="1123" t="s">
        <v>175</v>
      </c>
      <c r="O48" s="1141"/>
      <c r="P48" s="90">
        <v>25</v>
      </c>
      <c r="Q48" s="611">
        <v>100</v>
      </c>
      <c r="R48" s="263"/>
      <c r="U48" s="291"/>
    </row>
    <row r="49" spans="1:21" ht="15" customHeight="1" x14ac:dyDescent="0.2">
      <c r="A49" s="1489"/>
      <c r="B49" s="1490"/>
      <c r="C49" s="395"/>
      <c r="D49" s="2007" t="s">
        <v>28</v>
      </c>
      <c r="E49" s="1604" t="s">
        <v>122</v>
      </c>
      <c r="F49" s="1612" t="s">
        <v>109</v>
      </c>
      <c r="G49" s="1608"/>
      <c r="H49" s="1952"/>
      <c r="I49" s="70" t="s">
        <v>24</v>
      </c>
      <c r="J49" s="146">
        <f>281-270.2</f>
        <v>10.8</v>
      </c>
      <c r="K49" s="121"/>
      <c r="L49" s="146">
        <v>274.8</v>
      </c>
      <c r="M49" s="121">
        <v>736.8</v>
      </c>
      <c r="N49" s="1530" t="s">
        <v>98</v>
      </c>
      <c r="O49" s="1137">
        <v>1</v>
      </c>
      <c r="P49" s="155">
        <v>1</v>
      </c>
      <c r="Q49" s="196"/>
      <c r="R49" s="313"/>
    </row>
    <row r="50" spans="1:21" ht="26.25" customHeight="1" x14ac:dyDescent="0.2">
      <c r="A50" s="1489"/>
      <c r="B50" s="1490"/>
      <c r="C50" s="1552"/>
      <c r="D50" s="1954"/>
      <c r="E50" s="1605"/>
      <c r="F50" s="1607"/>
      <c r="G50" s="1608"/>
      <c r="H50" s="1952"/>
      <c r="I50" s="354" t="s">
        <v>58</v>
      </c>
      <c r="J50" s="119">
        <v>250</v>
      </c>
      <c r="K50" s="122">
        <f>244+17</f>
        <v>261</v>
      </c>
      <c r="L50" s="119"/>
      <c r="M50" s="122"/>
      <c r="N50" s="168" t="s">
        <v>130</v>
      </c>
      <c r="O50" s="1141"/>
      <c r="P50" s="157">
        <v>20</v>
      </c>
      <c r="Q50" s="198">
        <v>50</v>
      </c>
      <c r="R50" s="263">
        <v>100</v>
      </c>
    </row>
    <row r="51" spans="1:21" ht="27" customHeight="1" x14ac:dyDescent="0.2">
      <c r="A51" s="1489"/>
      <c r="B51" s="1490"/>
      <c r="C51" s="394"/>
      <c r="D51" s="2007" t="s">
        <v>36</v>
      </c>
      <c r="E51" s="1610" t="s">
        <v>238</v>
      </c>
      <c r="F51" s="1612" t="s">
        <v>155</v>
      </c>
      <c r="G51" s="1488"/>
      <c r="H51" s="1946"/>
      <c r="I51" s="70" t="s">
        <v>24</v>
      </c>
      <c r="J51" s="114"/>
      <c r="K51" s="121">
        <v>400</v>
      </c>
      <c r="L51" s="146"/>
      <c r="M51" s="121"/>
      <c r="N51" s="1544" t="s">
        <v>175</v>
      </c>
      <c r="O51" s="1372"/>
      <c r="P51" s="207">
        <v>100</v>
      </c>
      <c r="Q51" s="711"/>
      <c r="R51" s="244"/>
      <c r="U51" s="291"/>
    </row>
    <row r="52" spans="1:21" ht="15.75" customHeight="1" x14ac:dyDescent="0.2">
      <c r="A52" s="1489"/>
      <c r="B52" s="1490"/>
      <c r="C52" s="394"/>
      <c r="D52" s="1954"/>
      <c r="E52" s="1611"/>
      <c r="F52" s="1613"/>
      <c r="G52" s="1499"/>
      <c r="H52" s="1946"/>
      <c r="I52" s="71" t="s">
        <v>24</v>
      </c>
      <c r="J52" s="113"/>
      <c r="K52" s="122"/>
      <c r="L52" s="119"/>
      <c r="M52" s="122"/>
      <c r="N52" s="1321"/>
      <c r="O52" s="1141"/>
      <c r="P52" s="90"/>
      <c r="Q52" s="611"/>
      <c r="R52" s="263"/>
    </row>
    <row r="53" spans="1:21" ht="15.75" customHeight="1" x14ac:dyDescent="0.2">
      <c r="A53" s="1489"/>
      <c r="B53" s="1490"/>
      <c r="C53" s="395"/>
      <c r="D53" s="2007" t="s">
        <v>29</v>
      </c>
      <c r="E53" s="1604" t="s">
        <v>146</v>
      </c>
      <c r="F53" s="1606"/>
      <c r="G53" s="1608"/>
      <c r="H53" s="1952"/>
      <c r="I53" s="70" t="s">
        <v>24</v>
      </c>
      <c r="J53" s="146">
        <v>20</v>
      </c>
      <c r="K53" s="121"/>
      <c r="L53" s="121">
        <v>100</v>
      </c>
      <c r="M53" s="120">
        <v>370</v>
      </c>
      <c r="N53" s="1530" t="s">
        <v>98</v>
      </c>
      <c r="O53" s="1137">
        <v>1</v>
      </c>
      <c r="P53" s="155">
        <v>1</v>
      </c>
      <c r="Q53" s="197"/>
      <c r="R53" s="244"/>
    </row>
    <row r="54" spans="1:21" ht="26.25" customHeight="1" x14ac:dyDescent="0.2">
      <c r="A54" s="1489"/>
      <c r="B54" s="1490"/>
      <c r="C54" s="1552"/>
      <c r="D54" s="1954"/>
      <c r="E54" s="1605"/>
      <c r="F54" s="1613"/>
      <c r="G54" s="1608"/>
      <c r="H54" s="1952"/>
      <c r="I54" s="354" t="s">
        <v>58</v>
      </c>
      <c r="J54" s="119"/>
      <c r="K54" s="122">
        <v>20</v>
      </c>
      <c r="L54" s="119"/>
      <c r="M54" s="122"/>
      <c r="N54" s="168" t="s">
        <v>131</v>
      </c>
      <c r="O54" s="1141"/>
      <c r="P54" s="157"/>
      <c r="Q54" s="157">
        <v>20</v>
      </c>
      <c r="R54" s="263">
        <v>100</v>
      </c>
      <c r="T54" s="291"/>
    </row>
    <row r="55" spans="1:21" ht="15" customHeight="1" x14ac:dyDescent="0.2">
      <c r="A55" s="1489"/>
      <c r="B55" s="1490"/>
      <c r="C55" s="395"/>
      <c r="D55" s="2007" t="s">
        <v>64</v>
      </c>
      <c r="E55" s="1604" t="s">
        <v>261</v>
      </c>
      <c r="F55" s="1612" t="s">
        <v>109</v>
      </c>
      <c r="G55" s="1608"/>
      <c r="H55" s="1952"/>
      <c r="I55" s="70" t="s">
        <v>24</v>
      </c>
      <c r="J55" s="146">
        <v>15</v>
      </c>
      <c r="K55" s="121"/>
      <c r="L55" s="146">
        <v>0</v>
      </c>
      <c r="M55" s="121">
        <v>0</v>
      </c>
      <c r="N55" s="1530" t="s">
        <v>98</v>
      </c>
      <c r="O55" s="95"/>
      <c r="P55" s="155">
        <v>1</v>
      </c>
      <c r="Q55" s="196"/>
      <c r="R55" s="313"/>
    </row>
    <row r="56" spans="1:21" ht="25.5" customHeight="1" x14ac:dyDescent="0.2">
      <c r="A56" s="1489"/>
      <c r="B56" s="1490"/>
      <c r="C56" s="1552"/>
      <c r="D56" s="1954"/>
      <c r="E56" s="1605"/>
      <c r="F56" s="1607"/>
      <c r="G56" s="1608"/>
      <c r="H56" s="1952"/>
      <c r="I56" s="354" t="s">
        <v>58</v>
      </c>
      <c r="J56" s="119"/>
      <c r="K56" s="122">
        <v>15</v>
      </c>
      <c r="L56" s="119"/>
      <c r="M56" s="122"/>
      <c r="N56" s="168" t="s">
        <v>464</v>
      </c>
      <c r="O56" s="90"/>
      <c r="P56" s="157"/>
      <c r="Q56" s="198"/>
      <c r="R56" s="263"/>
      <c r="T56" s="291"/>
    </row>
    <row r="57" spans="1:21" ht="13.5" customHeight="1" x14ac:dyDescent="0.2">
      <c r="A57" s="1489"/>
      <c r="B57" s="1490"/>
      <c r="C57" s="394"/>
      <c r="D57" s="2007" t="s">
        <v>197</v>
      </c>
      <c r="E57" s="1610" t="s">
        <v>151</v>
      </c>
      <c r="F57" s="1612" t="s">
        <v>155</v>
      </c>
      <c r="G57" s="1488"/>
      <c r="H57" s="1946"/>
      <c r="I57" s="70" t="s">
        <v>49</v>
      </c>
      <c r="J57" s="114">
        <v>10</v>
      </c>
      <c r="K57" s="121"/>
      <c r="L57" s="146"/>
      <c r="M57" s="121"/>
      <c r="N57" s="1530" t="s">
        <v>98</v>
      </c>
      <c r="O57" s="207">
        <v>1</v>
      </c>
      <c r="P57" s="197"/>
      <c r="Q57" s="207"/>
      <c r="R57" s="244"/>
    </row>
    <row r="58" spans="1:21" ht="26.25" customHeight="1" x14ac:dyDescent="0.2">
      <c r="A58" s="1489"/>
      <c r="B58" s="1490"/>
      <c r="C58" s="394"/>
      <c r="D58" s="1954"/>
      <c r="E58" s="1611"/>
      <c r="F58" s="1960"/>
      <c r="G58" s="1499"/>
      <c r="H58" s="1946"/>
      <c r="I58" s="71" t="s">
        <v>24</v>
      </c>
      <c r="J58" s="113"/>
      <c r="K58" s="122"/>
      <c r="L58" s="119"/>
      <c r="M58" s="122"/>
      <c r="N58" s="168" t="s">
        <v>130</v>
      </c>
      <c r="O58" s="90"/>
      <c r="P58" s="157"/>
      <c r="Q58" s="208"/>
      <c r="R58" s="263"/>
      <c r="T58" s="291"/>
    </row>
    <row r="59" spans="1:21" ht="18" customHeight="1" x14ac:dyDescent="0.2">
      <c r="A59" s="1489"/>
      <c r="B59" s="1490"/>
      <c r="C59" s="1552"/>
      <c r="D59" s="1491" t="s">
        <v>235</v>
      </c>
      <c r="E59" s="1617" t="s">
        <v>375</v>
      </c>
      <c r="F59" s="1612" t="s">
        <v>155</v>
      </c>
      <c r="G59" s="1488"/>
      <c r="H59" s="1563"/>
      <c r="I59" s="28" t="s">
        <v>24</v>
      </c>
      <c r="J59" s="1521"/>
      <c r="K59" s="318"/>
      <c r="L59" s="120"/>
      <c r="M59" s="318">
        <v>100</v>
      </c>
      <c r="N59" s="1905" t="s">
        <v>376</v>
      </c>
      <c r="O59" s="246"/>
      <c r="P59" s="1237"/>
      <c r="Q59" s="246"/>
      <c r="R59" s="766">
        <v>30</v>
      </c>
    </row>
    <row r="60" spans="1:21" ht="21.75" customHeight="1" x14ac:dyDescent="0.2">
      <c r="A60" s="1489"/>
      <c r="B60" s="1490"/>
      <c r="C60" s="1552"/>
      <c r="D60" s="271"/>
      <c r="E60" s="1915"/>
      <c r="F60" s="1613"/>
      <c r="G60" s="1499"/>
      <c r="H60" s="1550"/>
      <c r="I60" s="71"/>
      <c r="J60" s="1114"/>
      <c r="K60" s="122"/>
      <c r="L60" s="119"/>
      <c r="M60" s="122"/>
      <c r="N60" s="1906"/>
      <c r="O60" s="630"/>
      <c r="P60" s="1238"/>
      <c r="Q60" s="630"/>
      <c r="R60" s="967"/>
    </row>
    <row r="61" spans="1:21" ht="18" customHeight="1" x14ac:dyDescent="0.2">
      <c r="A61" s="1489"/>
      <c r="B61" s="1490"/>
      <c r="C61" s="1552"/>
      <c r="D61" s="1491"/>
      <c r="E61" s="2005" t="s">
        <v>173</v>
      </c>
      <c r="F61" s="2036" t="s">
        <v>109</v>
      </c>
      <c r="G61" s="1566" t="s">
        <v>27</v>
      </c>
      <c r="H61" s="2039"/>
      <c r="I61" s="1159" t="s">
        <v>24</v>
      </c>
      <c r="J61" s="1144"/>
      <c r="K61" s="1136"/>
      <c r="L61" s="1135"/>
      <c r="M61" s="1136"/>
      <c r="N61" s="2033" t="s">
        <v>177</v>
      </c>
      <c r="O61" s="1160">
        <v>100</v>
      </c>
      <c r="P61" s="1160"/>
      <c r="Q61" s="958"/>
      <c r="R61" s="766"/>
    </row>
    <row r="62" spans="1:21" ht="21.75" customHeight="1" x14ac:dyDescent="0.2">
      <c r="A62" s="1489"/>
      <c r="B62" s="1490"/>
      <c r="C62" s="1552"/>
      <c r="D62" s="270"/>
      <c r="E62" s="2005"/>
      <c r="F62" s="2037"/>
      <c r="G62" s="1566"/>
      <c r="H62" s="2039"/>
      <c r="I62" s="1159" t="s">
        <v>58</v>
      </c>
      <c r="J62" s="1144">
        <f>30+6.5</f>
        <v>36.5</v>
      </c>
      <c r="K62" s="1136"/>
      <c r="L62" s="1135"/>
      <c r="M62" s="1136"/>
      <c r="N62" s="2034"/>
      <c r="O62" s="1161"/>
      <c r="P62" s="1161"/>
      <c r="Q62" s="705"/>
      <c r="R62" s="744"/>
    </row>
    <row r="63" spans="1:21" ht="15.75" customHeight="1" x14ac:dyDescent="0.2">
      <c r="A63" s="1489"/>
      <c r="B63" s="1490"/>
      <c r="C63" s="1552"/>
      <c r="D63" s="271"/>
      <c r="E63" s="2031"/>
      <c r="F63" s="2038"/>
      <c r="G63" s="1566"/>
      <c r="H63" s="1162"/>
      <c r="I63" s="1157"/>
      <c r="J63" s="1145"/>
      <c r="K63" s="1140"/>
      <c r="L63" s="1139"/>
      <c r="M63" s="1140"/>
      <c r="N63" s="286"/>
      <c r="O63" s="1163"/>
      <c r="P63" s="1163"/>
      <c r="Q63" s="959"/>
      <c r="R63" s="967"/>
    </row>
    <row r="64" spans="1:21" ht="15.75" customHeight="1" x14ac:dyDescent="0.2">
      <c r="A64" s="1489"/>
      <c r="B64" s="1490"/>
      <c r="C64" s="395"/>
      <c r="D64" s="2007"/>
      <c r="E64" s="2040" t="s">
        <v>124</v>
      </c>
      <c r="F64" s="2042" t="s">
        <v>109</v>
      </c>
      <c r="G64" s="1998"/>
      <c r="H64" s="2039"/>
      <c r="I64" s="1153" t="s">
        <v>24</v>
      </c>
      <c r="J64" s="1154">
        <f>174.8-62+270.2</f>
        <v>383</v>
      </c>
      <c r="K64" s="1155"/>
      <c r="L64" s="1156"/>
      <c r="M64" s="1155"/>
      <c r="N64" s="2044" t="s">
        <v>176</v>
      </c>
      <c r="O64" s="1142">
        <v>100</v>
      </c>
      <c r="P64" s="207"/>
      <c r="Q64" s="711"/>
      <c r="R64" s="244"/>
    </row>
    <row r="65" spans="1:21" ht="35.25" customHeight="1" x14ac:dyDescent="0.2">
      <c r="A65" s="1489"/>
      <c r="B65" s="1490"/>
      <c r="C65" s="1552"/>
      <c r="D65" s="1954"/>
      <c r="E65" s="2041"/>
      <c r="F65" s="2043"/>
      <c r="G65" s="1998"/>
      <c r="H65" s="2039"/>
      <c r="I65" s="1157" t="s">
        <v>58</v>
      </c>
      <c r="J65" s="1158">
        <v>62</v>
      </c>
      <c r="K65" s="1140"/>
      <c r="L65" s="1145"/>
      <c r="M65" s="1140"/>
      <c r="N65" s="2045"/>
      <c r="O65" s="1141"/>
      <c r="P65" s="90"/>
      <c r="Q65" s="611"/>
      <c r="R65" s="263"/>
      <c r="U65" s="291"/>
    </row>
    <row r="66" spans="1:21" ht="17.25" customHeight="1" x14ac:dyDescent="0.2">
      <c r="A66" s="1489"/>
      <c r="B66" s="1490"/>
      <c r="C66" s="1552"/>
      <c r="D66" s="2000"/>
      <c r="E66" s="2004" t="s">
        <v>379</v>
      </c>
      <c r="F66" s="2002" t="s">
        <v>109</v>
      </c>
      <c r="G66" s="1998" t="s">
        <v>46</v>
      </c>
      <c r="H66" s="2008"/>
      <c r="I66" s="1132" t="s">
        <v>24</v>
      </c>
      <c r="J66" s="1133">
        <v>0</v>
      </c>
      <c r="K66" s="1134"/>
      <c r="L66" s="1135"/>
      <c r="M66" s="1136"/>
      <c r="N66" s="2035" t="s">
        <v>178</v>
      </c>
      <c r="O66" s="1137">
        <v>100</v>
      </c>
      <c r="P66" s="1137"/>
      <c r="Q66" s="155"/>
      <c r="R66" s="905"/>
      <c r="U66" s="291"/>
    </row>
    <row r="67" spans="1:21" ht="21.75" customHeight="1" x14ac:dyDescent="0.2">
      <c r="A67" s="1489"/>
      <c r="B67" s="1490"/>
      <c r="C67" s="1552"/>
      <c r="D67" s="2000"/>
      <c r="E67" s="2005"/>
      <c r="F67" s="2002"/>
      <c r="G67" s="1998"/>
      <c r="H67" s="2009"/>
      <c r="I67" s="1557" t="s">
        <v>180</v>
      </c>
      <c r="J67" s="1133">
        <f>443-1.1</f>
        <v>441.9</v>
      </c>
      <c r="K67" s="1134"/>
      <c r="L67" s="1135"/>
      <c r="M67" s="1136"/>
      <c r="N67" s="2035"/>
      <c r="O67" s="1137"/>
      <c r="P67" s="1137"/>
      <c r="Q67" s="1505"/>
      <c r="R67" s="905"/>
      <c r="U67" s="291"/>
    </row>
    <row r="68" spans="1:21" ht="12" customHeight="1" x14ac:dyDescent="0.2">
      <c r="A68" s="1489"/>
      <c r="B68" s="1490"/>
      <c r="C68" s="1552"/>
      <c r="D68" s="2001"/>
      <c r="E68" s="2006"/>
      <c r="F68" s="2003"/>
      <c r="G68" s="1999"/>
      <c r="H68" s="2010"/>
      <c r="I68" s="1138"/>
      <c r="J68" s="1139"/>
      <c r="K68" s="1140"/>
      <c r="L68" s="1139"/>
      <c r="M68" s="1140"/>
      <c r="N68" s="368"/>
      <c r="O68" s="1141"/>
      <c r="P68" s="1141"/>
      <c r="Q68" s="710"/>
      <c r="R68" s="239"/>
    </row>
    <row r="69" spans="1:21" ht="18.75" customHeight="1" thickBot="1" x14ac:dyDescent="0.25">
      <c r="A69" s="1518"/>
      <c r="B69" s="327"/>
      <c r="C69" s="387"/>
      <c r="D69" s="390"/>
      <c r="E69" s="391"/>
      <c r="F69" s="392"/>
      <c r="G69" s="393"/>
      <c r="H69" s="389"/>
      <c r="I69" s="27" t="s">
        <v>6</v>
      </c>
      <c r="J69" s="209">
        <f>SUM(J15:J68)</f>
        <v>2527.3000000000002</v>
      </c>
      <c r="K69" s="209">
        <f>SUM(K15:K68)</f>
        <v>1648.4</v>
      </c>
      <c r="L69" s="209">
        <f>SUM(L15:L68)</f>
        <v>1324.5</v>
      </c>
      <c r="M69" s="209">
        <f>SUM(M15:M68)</f>
        <v>1522.5</v>
      </c>
      <c r="N69" s="388"/>
      <c r="O69" s="396"/>
      <c r="P69" s="396"/>
      <c r="Q69" s="403"/>
      <c r="R69" s="984"/>
      <c r="U69" s="291"/>
    </row>
    <row r="70" spans="1:21" ht="27" customHeight="1" x14ac:dyDescent="0.2">
      <c r="A70" s="1489" t="s">
        <v>5</v>
      </c>
      <c r="B70" s="1502" t="s">
        <v>5</v>
      </c>
      <c r="C70" s="1552" t="s">
        <v>7</v>
      </c>
      <c r="D70" s="86"/>
      <c r="E70" s="100" t="s">
        <v>53</v>
      </c>
      <c r="F70" s="99"/>
      <c r="G70" s="1506" t="s">
        <v>27</v>
      </c>
      <c r="H70" s="1974" t="s">
        <v>76</v>
      </c>
      <c r="I70" s="72"/>
      <c r="J70" s="116"/>
      <c r="K70" s="116"/>
      <c r="L70" s="116"/>
      <c r="M70" s="175"/>
      <c r="N70" s="989"/>
      <c r="O70" s="163"/>
      <c r="P70" s="163"/>
      <c r="Q70" s="960"/>
      <c r="R70" s="968"/>
    </row>
    <row r="71" spans="1:21" ht="27.75" customHeight="1" x14ac:dyDescent="0.2">
      <c r="A71" s="1632"/>
      <c r="B71" s="1701"/>
      <c r="C71" s="1958"/>
      <c r="D71" s="1634" t="s">
        <v>5</v>
      </c>
      <c r="E71" s="1610" t="s">
        <v>70</v>
      </c>
      <c r="F71" s="1910"/>
      <c r="G71" s="1603"/>
      <c r="H71" s="1975"/>
      <c r="I71" s="9" t="s">
        <v>24</v>
      </c>
      <c r="J71" s="129">
        <f>2773.7-110</f>
        <v>2663.7</v>
      </c>
      <c r="K71" s="145">
        <f>3015.7+36.3-200-15-10-62.7</f>
        <v>2764.3</v>
      </c>
      <c r="L71" s="129">
        <v>2850</v>
      </c>
      <c r="M71" s="121">
        <v>2850</v>
      </c>
      <c r="N71" s="1285" t="s">
        <v>291</v>
      </c>
      <c r="O71" s="1164">
        <v>8.6</v>
      </c>
      <c r="P71" s="1164">
        <v>8.6</v>
      </c>
      <c r="Q71" s="1165">
        <v>8.6</v>
      </c>
      <c r="R71" s="453">
        <v>8.6</v>
      </c>
    </row>
    <row r="72" spans="1:21" ht="24.75" customHeight="1" x14ac:dyDescent="0.2">
      <c r="A72" s="1632"/>
      <c r="B72" s="1701"/>
      <c r="C72" s="1958"/>
      <c r="D72" s="1634"/>
      <c r="E72" s="1944"/>
      <c r="F72" s="1911"/>
      <c r="G72" s="1603"/>
      <c r="H72" s="1975"/>
      <c r="I72" s="587" t="s">
        <v>58</v>
      </c>
      <c r="J72" s="169">
        <v>50</v>
      </c>
      <c r="K72" s="1127"/>
      <c r="L72" s="169"/>
      <c r="M72" s="123"/>
      <c r="N72" s="1166" t="s">
        <v>195</v>
      </c>
      <c r="O72" s="231">
        <v>1196</v>
      </c>
      <c r="P72" s="893">
        <v>445</v>
      </c>
      <c r="Q72" s="893">
        <v>445</v>
      </c>
      <c r="R72" s="978">
        <v>445</v>
      </c>
    </row>
    <row r="73" spans="1:21" ht="18" customHeight="1" x14ac:dyDescent="0.2">
      <c r="A73" s="1632"/>
      <c r="B73" s="1701"/>
      <c r="C73" s="1958"/>
      <c r="D73" s="1947" t="s">
        <v>7</v>
      </c>
      <c r="E73" s="1604" t="s">
        <v>37</v>
      </c>
      <c r="F73" s="1537"/>
      <c r="G73" s="1488"/>
      <c r="H73" s="1952"/>
      <c r="I73" s="9" t="s">
        <v>24</v>
      </c>
      <c r="J73" s="129">
        <v>154.5</v>
      </c>
      <c r="K73" s="145">
        <v>127.4</v>
      </c>
      <c r="L73" s="129">
        <v>127.4</v>
      </c>
      <c r="M73" s="121">
        <v>127.4</v>
      </c>
      <c r="N73" s="990" t="s">
        <v>39</v>
      </c>
      <c r="O73" s="94">
        <v>57</v>
      </c>
      <c r="P73" s="94">
        <v>46</v>
      </c>
      <c r="Q73" s="708">
        <v>46</v>
      </c>
      <c r="R73" s="617">
        <v>46</v>
      </c>
    </row>
    <row r="74" spans="1:21" ht="26.25" customHeight="1" x14ac:dyDescent="0.2">
      <c r="A74" s="1632"/>
      <c r="B74" s="1701"/>
      <c r="C74" s="1958"/>
      <c r="D74" s="1634"/>
      <c r="E74" s="1618"/>
      <c r="F74" s="1538"/>
      <c r="G74" s="1488"/>
      <c r="H74" s="1952"/>
      <c r="I74" s="1545" t="s">
        <v>40</v>
      </c>
      <c r="J74" s="1521">
        <v>0.8</v>
      </c>
      <c r="K74" s="144">
        <v>2</v>
      </c>
      <c r="L74" s="1521">
        <v>2</v>
      </c>
      <c r="M74" s="318">
        <v>2</v>
      </c>
      <c r="N74" s="479" t="s">
        <v>71</v>
      </c>
      <c r="O74" s="592">
        <v>2900</v>
      </c>
      <c r="P74" s="592">
        <v>1500</v>
      </c>
      <c r="Q74" s="714">
        <v>1500</v>
      </c>
      <c r="R74" s="969">
        <v>1500</v>
      </c>
    </row>
    <row r="75" spans="1:21" ht="27" customHeight="1" x14ac:dyDescent="0.2">
      <c r="A75" s="1632"/>
      <c r="B75" s="1701"/>
      <c r="C75" s="1958"/>
      <c r="D75" s="1959"/>
      <c r="E75" s="1619"/>
      <c r="F75" s="226"/>
      <c r="G75" s="1488"/>
      <c r="H75" s="1973"/>
      <c r="I75" s="1545" t="s">
        <v>90</v>
      </c>
      <c r="J75" s="1114"/>
      <c r="K75" s="117"/>
      <c r="L75" s="1114"/>
      <c r="M75" s="122"/>
      <c r="N75" s="1198" t="s">
        <v>172</v>
      </c>
      <c r="O75" s="1199">
        <v>1</v>
      </c>
      <c r="P75" s="371"/>
      <c r="Q75" s="371"/>
      <c r="R75" s="507"/>
    </row>
    <row r="76" spans="1:21" ht="16.5" customHeight="1" x14ac:dyDescent="0.2">
      <c r="A76" s="1489"/>
      <c r="B76" s="1502"/>
      <c r="C76" s="1552"/>
      <c r="D76" s="1558" t="s">
        <v>26</v>
      </c>
      <c r="E76" s="1604" t="s">
        <v>129</v>
      </c>
      <c r="F76" s="1523"/>
      <c r="G76" s="1488"/>
      <c r="H76" s="1555"/>
      <c r="I76" s="1262" t="s">
        <v>24</v>
      </c>
      <c r="J76" s="129">
        <f>30.2+21.4+2.3</f>
        <v>53.9</v>
      </c>
      <c r="K76" s="145">
        <v>30.2</v>
      </c>
      <c r="L76" s="129">
        <v>30.2</v>
      </c>
      <c r="M76" s="121">
        <v>30.2</v>
      </c>
      <c r="N76" s="991" t="s">
        <v>162</v>
      </c>
      <c r="O76" s="295" t="s">
        <v>126</v>
      </c>
      <c r="P76" s="296" t="s">
        <v>388</v>
      </c>
      <c r="Q76" s="296" t="s">
        <v>388</v>
      </c>
      <c r="R76" s="297" t="s">
        <v>388</v>
      </c>
    </row>
    <row r="77" spans="1:21" ht="19.5" customHeight="1" x14ac:dyDescent="0.2">
      <c r="A77" s="1489"/>
      <c r="B77" s="1502"/>
      <c r="C77" s="1552"/>
      <c r="D77" s="1491"/>
      <c r="E77" s="1620"/>
      <c r="F77" s="1522"/>
      <c r="G77" s="1488"/>
      <c r="H77" s="1555"/>
      <c r="I77" s="1545" t="s">
        <v>58</v>
      </c>
      <c r="J77" s="1521"/>
      <c r="K77" s="144"/>
      <c r="L77" s="1521"/>
      <c r="M77" s="318"/>
      <c r="N77" s="150" t="s">
        <v>163</v>
      </c>
      <c r="O77" s="231" t="s">
        <v>125</v>
      </c>
      <c r="P77" s="372" t="s">
        <v>125</v>
      </c>
      <c r="Q77" s="372" t="s">
        <v>125</v>
      </c>
      <c r="R77" s="233" t="s">
        <v>125</v>
      </c>
    </row>
    <row r="78" spans="1:21" ht="30" customHeight="1" x14ac:dyDescent="0.2">
      <c r="A78" s="1489"/>
      <c r="B78" s="1502"/>
      <c r="C78" s="1552"/>
      <c r="D78" s="1491"/>
      <c r="E78" s="1620"/>
      <c r="F78" s="1522"/>
      <c r="G78" s="1488"/>
      <c r="H78" s="1555"/>
      <c r="I78" s="1545"/>
      <c r="J78" s="1521"/>
      <c r="K78" s="144"/>
      <c r="L78" s="1521"/>
      <c r="M78" s="318"/>
      <c r="N78" s="1167" t="s">
        <v>215</v>
      </c>
      <c r="O78" s="1168" t="s">
        <v>250</v>
      </c>
      <c r="P78" s="428"/>
      <c r="Q78" s="428"/>
      <c r="R78" s="429"/>
    </row>
    <row r="79" spans="1:21" ht="27.75" customHeight="1" x14ac:dyDescent="0.2">
      <c r="A79" s="1489"/>
      <c r="B79" s="1502"/>
      <c r="C79" s="1552"/>
      <c r="D79" s="1491"/>
      <c r="E79" s="1621"/>
      <c r="F79" s="1524"/>
      <c r="G79" s="1488"/>
      <c r="H79" s="1555"/>
      <c r="I79" s="26"/>
      <c r="J79" s="1114"/>
      <c r="K79" s="117"/>
      <c r="L79" s="1114"/>
      <c r="M79" s="122"/>
      <c r="N79" s="1169" t="s">
        <v>156</v>
      </c>
      <c r="O79" s="1054" t="s">
        <v>148</v>
      </c>
      <c r="P79" s="373"/>
      <c r="Q79" s="373"/>
      <c r="R79" s="174"/>
    </row>
    <row r="80" spans="1:21" ht="35.25" customHeight="1" x14ac:dyDescent="0.2">
      <c r="A80" s="1489"/>
      <c r="B80" s="1502"/>
      <c r="C80" s="1552"/>
      <c r="D80" s="1558" t="s">
        <v>34</v>
      </c>
      <c r="E80" s="1528" t="s">
        <v>57</v>
      </c>
      <c r="F80" s="1522"/>
      <c r="G80" s="1488"/>
      <c r="H80" s="1555"/>
      <c r="I80" s="26" t="s">
        <v>24</v>
      </c>
      <c r="J80" s="1114">
        <v>95</v>
      </c>
      <c r="K80" s="228">
        <v>95</v>
      </c>
      <c r="L80" s="192">
        <v>95</v>
      </c>
      <c r="M80" s="124">
        <v>95</v>
      </c>
      <c r="N80" s="404" t="s">
        <v>38</v>
      </c>
      <c r="O80" s="405">
        <v>10</v>
      </c>
      <c r="P80" s="406">
        <v>11</v>
      </c>
      <c r="Q80" s="406">
        <v>11</v>
      </c>
      <c r="R80" s="407">
        <v>11</v>
      </c>
    </row>
    <row r="81" spans="1:18" ht="35.25" customHeight="1" x14ac:dyDescent="0.2">
      <c r="A81" s="1489"/>
      <c r="B81" s="1502"/>
      <c r="C81" s="1552"/>
      <c r="D81" s="1558" t="s">
        <v>35</v>
      </c>
      <c r="E81" s="1528" t="s">
        <v>431</v>
      </c>
      <c r="F81" s="1522"/>
      <c r="G81" s="1499"/>
      <c r="H81" s="589"/>
      <c r="I81" s="26" t="s">
        <v>24</v>
      </c>
      <c r="J81" s="192"/>
      <c r="K81" s="228">
        <v>200</v>
      </c>
      <c r="L81" s="192"/>
      <c r="M81" s="124"/>
      <c r="N81" s="1273" t="s">
        <v>387</v>
      </c>
      <c r="O81" s="835"/>
      <c r="P81" s="405">
        <v>100</v>
      </c>
      <c r="Q81" s="405"/>
      <c r="R81" s="407"/>
    </row>
    <row r="82" spans="1:18" ht="16.5" customHeight="1" thickBot="1" x14ac:dyDescent="0.25">
      <c r="A82" s="32"/>
      <c r="B82" s="1519"/>
      <c r="C82" s="387"/>
      <c r="D82" s="390"/>
      <c r="E82" s="391"/>
      <c r="F82" s="392"/>
      <c r="G82" s="399"/>
      <c r="H82" s="389"/>
      <c r="I82" s="27" t="s">
        <v>6</v>
      </c>
      <c r="J82" s="209">
        <f>SUM(J71:J80)</f>
        <v>3017.9</v>
      </c>
      <c r="K82" s="209">
        <f>SUM(K71:K81)</f>
        <v>3218.9</v>
      </c>
      <c r="L82" s="209">
        <f t="shared" ref="L82:M82" si="0">SUM(L71:L81)</f>
        <v>3104.6</v>
      </c>
      <c r="M82" s="209">
        <f t="shared" si="0"/>
        <v>3104.6</v>
      </c>
      <c r="N82" s="388"/>
      <c r="O82" s="403"/>
      <c r="P82" s="403"/>
      <c r="Q82" s="403"/>
      <c r="R82" s="984"/>
    </row>
    <row r="83" spans="1:18" ht="25.5" customHeight="1" x14ac:dyDescent="0.2">
      <c r="A83" s="1500" t="s">
        <v>5</v>
      </c>
      <c r="B83" s="1501" t="s">
        <v>5</v>
      </c>
      <c r="C83" s="402" t="s">
        <v>26</v>
      </c>
      <c r="D83" s="87"/>
      <c r="E83" s="105" t="s">
        <v>54</v>
      </c>
      <c r="F83" s="138"/>
      <c r="G83" s="1506" t="s">
        <v>27</v>
      </c>
      <c r="H83" s="88"/>
      <c r="I83" s="72"/>
      <c r="J83" s="116"/>
      <c r="K83" s="175"/>
      <c r="L83" s="176"/>
      <c r="M83" s="176"/>
      <c r="N83" s="89"/>
      <c r="O83" s="163"/>
      <c r="P83" s="163"/>
      <c r="Q83" s="960"/>
      <c r="R83" s="968"/>
    </row>
    <row r="84" spans="1:18" ht="30" customHeight="1" x14ac:dyDescent="0.2">
      <c r="A84" s="1489"/>
      <c r="B84" s="1502"/>
      <c r="C84" s="394"/>
      <c r="D84" s="1491" t="s">
        <v>5</v>
      </c>
      <c r="E84" s="1610" t="s">
        <v>472</v>
      </c>
      <c r="F84" s="520"/>
      <c r="G84" s="1488"/>
      <c r="H84" s="588"/>
      <c r="I84" s="70"/>
      <c r="J84" s="129"/>
      <c r="K84" s="121"/>
      <c r="L84" s="1279"/>
      <c r="M84" s="1279"/>
      <c r="N84" s="1539" t="s">
        <v>441</v>
      </c>
      <c r="O84" s="1160">
        <v>80</v>
      </c>
      <c r="P84" s="246">
        <v>60</v>
      </c>
      <c r="Q84" s="958">
        <v>80</v>
      </c>
      <c r="R84" s="766">
        <v>100</v>
      </c>
    </row>
    <row r="85" spans="1:18" ht="40.5" customHeight="1" x14ac:dyDescent="0.2">
      <c r="A85" s="1489"/>
      <c r="B85" s="1502"/>
      <c r="C85" s="394"/>
      <c r="D85" s="1491"/>
      <c r="E85" s="1944"/>
      <c r="F85" s="1275"/>
      <c r="G85" s="1488"/>
      <c r="H85" s="1280" t="s">
        <v>439</v>
      </c>
      <c r="I85" s="1184" t="s">
        <v>24</v>
      </c>
      <c r="J85" s="130"/>
      <c r="K85" s="184">
        <f>2+2</f>
        <v>4</v>
      </c>
      <c r="L85" s="1185">
        <v>4</v>
      </c>
      <c r="M85" s="1185">
        <v>4</v>
      </c>
      <c r="N85" s="1281" t="s">
        <v>293</v>
      </c>
      <c r="O85" s="374">
        <v>4</v>
      </c>
      <c r="P85" s="374">
        <v>4</v>
      </c>
      <c r="Q85" s="720">
        <v>4</v>
      </c>
      <c r="R85" s="972">
        <v>4</v>
      </c>
    </row>
    <row r="86" spans="1:18" ht="17.25" customHeight="1" x14ac:dyDescent="0.2">
      <c r="A86" s="1489"/>
      <c r="B86" s="1502"/>
      <c r="C86" s="394"/>
      <c r="D86" s="1491"/>
      <c r="E86" s="1548"/>
      <c r="F86" s="1275"/>
      <c r="G86" s="1488"/>
      <c r="H86" s="2026" t="s">
        <v>82</v>
      </c>
      <c r="I86" s="28" t="s">
        <v>24</v>
      </c>
      <c r="J86" s="318">
        <v>0.5</v>
      </c>
      <c r="K86" s="318">
        <v>1</v>
      </c>
      <c r="L86" s="318">
        <v>1</v>
      </c>
      <c r="M86" s="318">
        <v>1</v>
      </c>
      <c r="N86" s="1508" t="s">
        <v>218</v>
      </c>
      <c r="O86" s="160">
        <v>40</v>
      </c>
      <c r="P86" s="160">
        <v>40</v>
      </c>
      <c r="Q86" s="705">
        <v>40</v>
      </c>
      <c r="R86" s="744">
        <v>40</v>
      </c>
    </row>
    <row r="87" spans="1:18" ht="24" customHeight="1" x14ac:dyDescent="0.2">
      <c r="A87" s="1489"/>
      <c r="B87" s="1502"/>
      <c r="C87" s="394"/>
      <c r="D87" s="1491"/>
      <c r="E87" s="1493"/>
      <c r="F87" s="1275"/>
      <c r="G87" s="1488"/>
      <c r="H87" s="2030"/>
      <c r="I87" s="71" t="s">
        <v>24</v>
      </c>
      <c r="J87" s="793"/>
      <c r="K87" s="122">
        <v>3</v>
      </c>
      <c r="L87" s="178">
        <v>3</v>
      </c>
      <c r="M87" s="178">
        <v>3</v>
      </c>
      <c r="N87" s="273" t="s">
        <v>216</v>
      </c>
      <c r="O87" s="1174">
        <v>15</v>
      </c>
      <c r="P87" s="1174">
        <v>15</v>
      </c>
      <c r="Q87" s="1174">
        <v>15</v>
      </c>
      <c r="R87" s="1175">
        <v>15</v>
      </c>
    </row>
    <row r="88" spans="1:18" ht="37.5" customHeight="1" x14ac:dyDescent="0.2">
      <c r="A88" s="1489"/>
      <c r="B88" s="1502"/>
      <c r="C88" s="394"/>
      <c r="D88" s="1491"/>
      <c r="E88" s="1007" t="s">
        <v>332</v>
      </c>
      <c r="F88" s="1008"/>
      <c r="G88" s="1009"/>
      <c r="H88" s="2026" t="s">
        <v>76</v>
      </c>
      <c r="I88" s="1010" t="s">
        <v>24</v>
      </c>
      <c r="J88" s="1011"/>
      <c r="K88" s="124">
        <f>91.9-21.1</f>
        <v>70.8</v>
      </c>
      <c r="L88" s="1012"/>
      <c r="M88" s="1012"/>
      <c r="N88" s="1013" t="s">
        <v>245</v>
      </c>
      <c r="O88" s="1014"/>
      <c r="P88" s="433">
        <v>1</v>
      </c>
      <c r="Q88" s="961"/>
      <c r="R88" s="970"/>
    </row>
    <row r="89" spans="1:18" ht="39.75" customHeight="1" x14ac:dyDescent="0.2">
      <c r="A89" s="1489"/>
      <c r="B89" s="1502"/>
      <c r="C89" s="394"/>
      <c r="D89" s="1491"/>
      <c r="E89" s="1015" t="s">
        <v>333</v>
      </c>
      <c r="F89" s="1008"/>
      <c r="G89" s="1009"/>
      <c r="H89" s="2026"/>
      <c r="I89" s="1016"/>
      <c r="J89" s="1017"/>
      <c r="K89" s="1018"/>
      <c r="L89" s="1019"/>
      <c r="M89" s="1019"/>
      <c r="N89" s="1511" t="s">
        <v>246</v>
      </c>
      <c r="O89" s="1020"/>
      <c r="P89" s="160"/>
      <c r="Q89" s="705"/>
      <c r="R89" s="744"/>
    </row>
    <row r="90" spans="1:18" ht="14.1" customHeight="1" x14ac:dyDescent="0.2">
      <c r="A90" s="1489"/>
      <c r="B90" s="1502"/>
      <c r="C90" s="394"/>
      <c r="D90" s="1491"/>
      <c r="E90" s="1493"/>
      <c r="F90" s="103"/>
      <c r="G90" s="1488"/>
      <c r="H90" s="1547"/>
      <c r="I90" s="1184" t="s">
        <v>24</v>
      </c>
      <c r="J90" s="130"/>
      <c r="K90" s="184">
        <v>57.2</v>
      </c>
      <c r="L90" s="1185"/>
      <c r="M90" s="1185"/>
      <c r="N90" s="1183" t="s">
        <v>267</v>
      </c>
      <c r="O90" s="374"/>
      <c r="P90" s="374">
        <v>1</v>
      </c>
      <c r="Q90" s="720"/>
      <c r="R90" s="972"/>
    </row>
    <row r="91" spans="1:18" ht="14.25" customHeight="1" x14ac:dyDescent="0.2">
      <c r="A91" s="1489"/>
      <c r="B91" s="1502"/>
      <c r="C91" s="394"/>
      <c r="D91" s="1491"/>
      <c r="E91" s="1493"/>
      <c r="F91" s="103"/>
      <c r="G91" s="1488"/>
      <c r="H91" s="1565"/>
      <c r="I91" s="1186" t="s">
        <v>24</v>
      </c>
      <c r="J91" s="187"/>
      <c r="K91" s="186"/>
      <c r="L91" s="1103">
        <v>200</v>
      </c>
      <c r="M91" s="1103"/>
      <c r="N91" s="594" t="s">
        <v>268</v>
      </c>
      <c r="O91" s="301"/>
      <c r="P91" s="301"/>
      <c r="Q91" s="719">
        <v>3</v>
      </c>
      <c r="R91" s="975"/>
    </row>
    <row r="92" spans="1:18" ht="13.5" customHeight="1" x14ac:dyDescent="0.2">
      <c r="A92" s="1489"/>
      <c r="B92" s="1502"/>
      <c r="C92" s="394"/>
      <c r="D92" s="1491"/>
      <c r="E92" s="1493"/>
      <c r="F92" s="103"/>
      <c r="G92" s="1488"/>
      <c r="H92" s="1565"/>
      <c r="I92" s="28"/>
      <c r="J92" s="1521"/>
      <c r="K92" s="318"/>
      <c r="L92" s="1256"/>
      <c r="M92" s="1256"/>
      <c r="N92" s="379" t="s">
        <v>269</v>
      </c>
      <c r="O92" s="160"/>
      <c r="P92" s="160"/>
      <c r="Q92" s="705"/>
      <c r="R92" s="744"/>
    </row>
    <row r="93" spans="1:18" ht="24.75" customHeight="1" x14ac:dyDescent="0.2">
      <c r="A93" s="1489"/>
      <c r="B93" s="1502"/>
      <c r="C93" s="394"/>
      <c r="D93" s="1491"/>
      <c r="E93" s="1493"/>
      <c r="F93" s="103"/>
      <c r="G93" s="1488"/>
      <c r="H93" s="1565"/>
      <c r="I93" s="76"/>
      <c r="J93" s="169"/>
      <c r="K93" s="123"/>
      <c r="L93" s="1249"/>
      <c r="M93" s="1249"/>
      <c r="N93" s="1569" t="s">
        <v>270</v>
      </c>
      <c r="O93" s="248"/>
      <c r="P93" s="248"/>
      <c r="Q93" s="718"/>
      <c r="R93" s="973"/>
    </row>
    <row r="94" spans="1:18" ht="12.75" customHeight="1" x14ac:dyDescent="0.2">
      <c r="A94" s="1489"/>
      <c r="B94" s="1502"/>
      <c r="C94" s="394"/>
      <c r="D94" s="1491"/>
      <c r="E94" s="1493"/>
      <c r="F94" s="103"/>
      <c r="G94" s="1488"/>
      <c r="H94" s="1565"/>
      <c r="I94" s="28" t="s">
        <v>24</v>
      </c>
      <c r="J94" s="1521"/>
      <c r="K94" s="318"/>
      <c r="L94" s="1256"/>
      <c r="M94" s="1256">
        <v>150</v>
      </c>
      <c r="N94" s="1517" t="s">
        <v>266</v>
      </c>
      <c r="O94" s="301"/>
      <c r="P94" s="301"/>
      <c r="Q94" s="719"/>
      <c r="R94" s="975">
        <v>2</v>
      </c>
    </row>
    <row r="95" spans="1:18" ht="12.75" customHeight="1" x14ac:dyDescent="0.2">
      <c r="A95" s="1489"/>
      <c r="B95" s="1502"/>
      <c r="C95" s="394"/>
      <c r="D95" s="1491"/>
      <c r="E95" s="1493"/>
      <c r="F95" s="103"/>
      <c r="G95" s="1488"/>
      <c r="H95" s="1565"/>
      <c r="I95" s="28" t="s">
        <v>24</v>
      </c>
      <c r="J95" s="1521">
        <v>144.6</v>
      </c>
      <c r="K95" s="318"/>
      <c r="L95" s="1256"/>
      <c r="M95" s="1256"/>
      <c r="N95" s="1508" t="s">
        <v>457</v>
      </c>
      <c r="O95" s="160"/>
      <c r="P95" s="160"/>
      <c r="Q95" s="705"/>
      <c r="R95" s="744"/>
    </row>
    <row r="96" spans="1:18" ht="9" customHeight="1" x14ac:dyDescent="0.2">
      <c r="A96" s="1489"/>
      <c r="B96" s="1502"/>
      <c r="C96" s="394"/>
      <c r="D96" s="1491"/>
      <c r="E96" s="1493"/>
      <c r="F96" s="103"/>
      <c r="G96" s="1488"/>
      <c r="H96" s="1547"/>
      <c r="I96" s="1276"/>
      <c r="J96" s="1277"/>
      <c r="K96" s="122"/>
      <c r="L96" s="178"/>
      <c r="M96" s="178"/>
      <c r="N96" s="273"/>
      <c r="O96" s="161"/>
      <c r="P96" s="161"/>
      <c r="Q96" s="962"/>
      <c r="R96" s="974"/>
    </row>
    <row r="97" spans="1:20" ht="40.5" customHeight="1" x14ac:dyDescent="0.2">
      <c r="A97" s="1489"/>
      <c r="B97" s="1502"/>
      <c r="C97" s="394"/>
      <c r="D97" s="1491"/>
      <c r="E97" s="1610" t="s">
        <v>271</v>
      </c>
      <c r="F97" s="1625" t="s">
        <v>66</v>
      </c>
      <c r="G97" s="1488"/>
      <c r="H97" s="2026"/>
      <c r="I97" s="28" t="s">
        <v>24</v>
      </c>
      <c r="J97" s="1521">
        <v>48.1</v>
      </c>
      <c r="K97" s="318"/>
      <c r="L97" s="1256"/>
      <c r="M97" s="1256"/>
      <c r="N97" s="1569" t="s">
        <v>450</v>
      </c>
      <c r="O97" s="435"/>
      <c r="P97" s="435"/>
      <c r="Q97" s="717"/>
      <c r="R97" s="971"/>
    </row>
    <row r="98" spans="1:20" ht="28.5" customHeight="1" x14ac:dyDescent="0.2">
      <c r="A98" s="1489"/>
      <c r="B98" s="1502"/>
      <c r="C98" s="394"/>
      <c r="D98" s="1491"/>
      <c r="E98" s="1611"/>
      <c r="F98" s="2022"/>
      <c r="G98" s="1488"/>
      <c r="H98" s="2026"/>
      <c r="I98" s="71" t="s">
        <v>68</v>
      </c>
      <c r="J98" s="1114">
        <v>7.1</v>
      </c>
      <c r="K98" s="122"/>
      <c r="L98" s="178"/>
      <c r="M98" s="178"/>
      <c r="N98" s="456" t="s">
        <v>264</v>
      </c>
      <c r="O98" s="1180">
        <v>273</v>
      </c>
      <c r="P98" s="161"/>
      <c r="Q98" s="962"/>
      <c r="R98" s="974"/>
    </row>
    <row r="99" spans="1:20" ht="21.75" customHeight="1" x14ac:dyDescent="0.2">
      <c r="A99" s="1489"/>
      <c r="B99" s="1502"/>
      <c r="C99" s="394"/>
      <c r="D99" s="1491"/>
      <c r="E99" s="1617" t="s">
        <v>280</v>
      </c>
      <c r="F99" s="112"/>
      <c r="G99" s="1488"/>
      <c r="H99" s="2026"/>
      <c r="I99" s="70" t="s">
        <v>24</v>
      </c>
      <c r="J99" s="129">
        <v>46</v>
      </c>
      <c r="K99" s="121"/>
      <c r="L99" s="179"/>
      <c r="M99" s="179"/>
      <c r="N99" s="1837" t="s">
        <v>449</v>
      </c>
      <c r="O99" s="246"/>
      <c r="P99" s="246"/>
      <c r="Q99" s="958"/>
      <c r="R99" s="766"/>
    </row>
    <row r="100" spans="1:20" ht="23.25" customHeight="1" x14ac:dyDescent="0.2">
      <c r="A100" s="1489"/>
      <c r="B100" s="1502"/>
      <c r="C100" s="394"/>
      <c r="D100" s="1491"/>
      <c r="E100" s="1617"/>
      <c r="F100" s="112"/>
      <c r="G100" s="1488"/>
      <c r="H100" s="2026"/>
      <c r="I100" s="1484"/>
      <c r="J100" s="1485"/>
      <c r="K100" s="1572"/>
      <c r="L100" s="1486"/>
      <c r="M100" s="1486"/>
      <c r="N100" s="1888"/>
      <c r="O100" s="248"/>
      <c r="P100" s="248"/>
      <c r="Q100" s="718"/>
      <c r="R100" s="973"/>
    </row>
    <row r="101" spans="1:20" ht="31.5" customHeight="1" x14ac:dyDescent="0.2">
      <c r="A101" s="1489"/>
      <c r="B101" s="1502"/>
      <c r="C101" s="394"/>
      <c r="D101" s="1491"/>
      <c r="E101" s="1493"/>
      <c r="F101" s="112"/>
      <c r="G101" s="1488"/>
      <c r="H101" s="1545"/>
      <c r="I101" s="1276" t="s">
        <v>58</v>
      </c>
      <c r="J101" s="1277"/>
      <c r="K101" s="1573">
        <f>19.4+16.6</f>
        <v>36</v>
      </c>
      <c r="L101" s="1278"/>
      <c r="M101" s="1278"/>
      <c r="N101" s="273" t="s">
        <v>462</v>
      </c>
      <c r="O101" s="161"/>
      <c r="P101" s="161">
        <v>2</v>
      </c>
      <c r="Q101" s="962"/>
      <c r="R101" s="974"/>
    </row>
    <row r="102" spans="1:20" ht="26.25" customHeight="1" x14ac:dyDescent="0.2">
      <c r="A102" s="1489"/>
      <c r="B102" s="1502"/>
      <c r="C102" s="394"/>
      <c r="D102" s="1491"/>
      <c r="E102" s="2004" t="s">
        <v>440</v>
      </c>
      <c r="F102" s="1176"/>
      <c r="G102" s="1566"/>
      <c r="H102" s="1976"/>
      <c r="I102" s="1159" t="s">
        <v>24</v>
      </c>
      <c r="J102" s="1144">
        <v>37.6</v>
      </c>
      <c r="K102" s="318"/>
      <c r="L102" s="1256"/>
      <c r="M102" s="1256"/>
      <c r="N102" s="1283" t="s">
        <v>217</v>
      </c>
      <c r="O102" s="1173">
        <v>100</v>
      </c>
      <c r="P102" s="248">
        <v>5</v>
      </c>
      <c r="Q102" s="718">
        <v>5</v>
      </c>
      <c r="R102" s="973">
        <v>5</v>
      </c>
    </row>
    <row r="103" spans="1:20" ht="30.75" customHeight="1" x14ac:dyDescent="0.2">
      <c r="A103" s="1489"/>
      <c r="B103" s="1502"/>
      <c r="C103" s="394"/>
      <c r="D103" s="1491"/>
      <c r="E103" s="2031"/>
      <c r="F103" s="1176"/>
      <c r="G103" s="1566"/>
      <c r="H103" s="2032"/>
      <c r="I103" s="1157"/>
      <c r="J103" s="1145"/>
      <c r="K103" s="122"/>
      <c r="L103" s="178"/>
      <c r="M103" s="178"/>
      <c r="N103" s="1247" t="s">
        <v>219</v>
      </c>
      <c r="O103" s="1172">
        <v>1</v>
      </c>
      <c r="P103" s="528"/>
      <c r="Q103" s="721"/>
      <c r="R103" s="1171"/>
    </row>
    <row r="104" spans="1:20" ht="27.75" customHeight="1" x14ac:dyDescent="0.2">
      <c r="A104" s="1489"/>
      <c r="B104" s="1502"/>
      <c r="C104" s="394"/>
      <c r="D104" s="1491"/>
      <c r="E104" s="2004" t="s">
        <v>389</v>
      </c>
      <c r="F104" s="1176"/>
      <c r="G104" s="1566"/>
      <c r="H104" s="1976"/>
      <c r="I104" s="1153" t="s">
        <v>24</v>
      </c>
      <c r="J104" s="1177">
        <v>0.6</v>
      </c>
      <c r="K104" s="1155"/>
      <c r="L104" s="1178"/>
      <c r="M104" s="1178"/>
      <c r="N104" s="1284" t="s">
        <v>221</v>
      </c>
      <c r="O104" s="1170">
        <v>4</v>
      </c>
      <c r="P104" s="435"/>
      <c r="Q104" s="717"/>
      <c r="R104" s="971"/>
    </row>
    <row r="105" spans="1:20" ht="26.25" customHeight="1" x14ac:dyDescent="0.2">
      <c r="A105" s="1489"/>
      <c r="B105" s="1502"/>
      <c r="C105" s="394"/>
      <c r="D105" s="1491"/>
      <c r="E105" s="2020"/>
      <c r="F105" s="1176"/>
      <c r="G105" s="1566"/>
      <c r="H105" s="1976"/>
      <c r="I105" s="1157" t="s">
        <v>68</v>
      </c>
      <c r="J105" s="1145">
        <v>7.2</v>
      </c>
      <c r="K105" s="1140"/>
      <c r="L105" s="1179"/>
      <c r="M105" s="1179"/>
      <c r="N105" s="456" t="s">
        <v>265</v>
      </c>
      <c r="O105" s="1180">
        <v>276</v>
      </c>
      <c r="P105" s="161"/>
      <c r="Q105" s="705"/>
      <c r="R105" s="744"/>
    </row>
    <row r="106" spans="1:20" ht="18" customHeight="1" x14ac:dyDescent="0.2">
      <c r="A106" s="1489"/>
      <c r="B106" s="1502"/>
      <c r="C106" s="394"/>
      <c r="D106" s="1491"/>
      <c r="E106" s="2004" t="s">
        <v>390</v>
      </c>
      <c r="F106" s="112"/>
      <c r="G106" s="1488"/>
      <c r="H106" s="2046"/>
      <c r="I106" s="1159" t="s">
        <v>24</v>
      </c>
      <c r="J106" s="1144">
        <v>28</v>
      </c>
      <c r="K106" s="1136"/>
      <c r="L106" s="1181"/>
      <c r="M106" s="1181"/>
      <c r="N106" s="2027" t="s">
        <v>105</v>
      </c>
      <c r="O106" s="1161">
        <v>4</v>
      </c>
      <c r="P106" s="1161"/>
      <c r="Q106" s="958"/>
      <c r="R106" s="766"/>
      <c r="T106" s="291"/>
    </row>
    <row r="107" spans="1:20" ht="10.5" customHeight="1" x14ac:dyDescent="0.2">
      <c r="A107" s="1489"/>
      <c r="B107" s="1502"/>
      <c r="C107" s="394"/>
      <c r="D107" s="1491"/>
      <c r="E107" s="2006"/>
      <c r="F107" s="112"/>
      <c r="G107" s="1488"/>
      <c r="H107" s="1956"/>
      <c r="I107" s="1157"/>
      <c r="J107" s="1145"/>
      <c r="K107" s="1140"/>
      <c r="L107" s="1182"/>
      <c r="M107" s="1182"/>
      <c r="N107" s="2028"/>
      <c r="O107" s="1180"/>
      <c r="P107" s="1180"/>
      <c r="Q107" s="962"/>
      <c r="R107" s="974"/>
    </row>
    <row r="108" spans="1:20" ht="29.25" customHeight="1" x14ac:dyDescent="0.2">
      <c r="A108" s="1489"/>
      <c r="B108" s="1502"/>
      <c r="C108" s="1552"/>
      <c r="D108" s="139" t="s">
        <v>7</v>
      </c>
      <c r="E108" s="1610" t="s">
        <v>128</v>
      </c>
      <c r="F108" s="1495"/>
      <c r="G108" s="1498"/>
      <c r="H108" s="2047" t="s">
        <v>76</v>
      </c>
      <c r="I108" s="1262" t="s">
        <v>24</v>
      </c>
      <c r="J108" s="129">
        <v>10</v>
      </c>
      <c r="K108" s="121">
        <v>10</v>
      </c>
      <c r="L108" s="179">
        <v>10</v>
      </c>
      <c r="M108" s="179">
        <v>10</v>
      </c>
      <c r="N108" s="1905" t="s">
        <v>287</v>
      </c>
      <c r="O108" s="246">
        <v>1</v>
      </c>
      <c r="P108" s="246">
        <v>1</v>
      </c>
      <c r="Q108" s="958">
        <v>1</v>
      </c>
      <c r="R108" s="766">
        <v>1</v>
      </c>
    </row>
    <row r="109" spans="1:20" ht="22.5" customHeight="1" x14ac:dyDescent="0.2">
      <c r="A109" s="1489"/>
      <c r="B109" s="1502"/>
      <c r="C109" s="394"/>
      <c r="D109" s="1559"/>
      <c r="E109" s="1611"/>
      <c r="F109" s="1497"/>
      <c r="G109" s="1499"/>
      <c r="H109" s="2030"/>
      <c r="I109" s="26"/>
      <c r="J109" s="1114"/>
      <c r="K109" s="122"/>
      <c r="L109" s="178"/>
      <c r="M109" s="178"/>
      <c r="N109" s="1906"/>
      <c r="O109" s="90"/>
      <c r="P109" s="90"/>
      <c r="Q109" s="710"/>
      <c r="R109" s="239"/>
    </row>
    <row r="110" spans="1:20" ht="15.75" customHeight="1" x14ac:dyDescent="0.2">
      <c r="A110" s="1489"/>
      <c r="B110" s="1502"/>
      <c r="C110" s="394"/>
      <c r="D110" s="1558" t="s">
        <v>26</v>
      </c>
      <c r="E110" s="1610" t="s">
        <v>89</v>
      </c>
      <c r="F110" s="1907" t="s">
        <v>66</v>
      </c>
      <c r="G110" s="1488"/>
      <c r="H110" s="1952" t="s">
        <v>82</v>
      </c>
      <c r="I110" s="1262" t="s">
        <v>24</v>
      </c>
      <c r="J110" s="445">
        <v>600</v>
      </c>
      <c r="K110" s="182">
        <f>751.6-21</f>
        <v>730.6</v>
      </c>
      <c r="L110" s="180">
        <v>730.6</v>
      </c>
      <c r="M110" s="180">
        <v>730.6</v>
      </c>
      <c r="N110" s="448" t="s">
        <v>133</v>
      </c>
      <c r="O110" s="442">
        <v>22.5</v>
      </c>
      <c r="P110" s="442">
        <v>22.5</v>
      </c>
      <c r="Q110" s="1378">
        <v>22.5</v>
      </c>
      <c r="R110" s="1379">
        <v>22.5</v>
      </c>
    </row>
    <row r="111" spans="1:20" ht="15.75" customHeight="1" x14ac:dyDescent="0.2">
      <c r="A111" s="1489"/>
      <c r="B111" s="1502"/>
      <c r="C111" s="394"/>
      <c r="D111" s="83"/>
      <c r="E111" s="1617"/>
      <c r="F111" s="1908"/>
      <c r="G111" s="1488"/>
      <c r="H111" s="1973"/>
      <c r="I111" s="1545" t="s">
        <v>90</v>
      </c>
      <c r="J111" s="445">
        <v>0.5</v>
      </c>
      <c r="K111" s="318"/>
      <c r="L111" s="1256"/>
      <c r="M111" s="1256"/>
      <c r="N111" s="450" t="s">
        <v>134</v>
      </c>
      <c r="O111" s="443">
        <v>108</v>
      </c>
      <c r="P111" s="443">
        <v>108</v>
      </c>
      <c r="Q111" s="706">
        <v>108</v>
      </c>
      <c r="R111" s="745">
        <v>108</v>
      </c>
    </row>
    <row r="112" spans="1:20" ht="15.75" customHeight="1" x14ac:dyDescent="0.2">
      <c r="A112" s="1489"/>
      <c r="B112" s="1490"/>
      <c r="C112" s="1552"/>
      <c r="D112" s="1491"/>
      <c r="E112" s="1617"/>
      <c r="F112" s="1908"/>
      <c r="G112" s="1488"/>
      <c r="H112" s="1973"/>
      <c r="I112" s="1545" t="s">
        <v>24</v>
      </c>
      <c r="J112" s="477">
        <v>2.4</v>
      </c>
      <c r="K112" s="318"/>
      <c r="L112" s="1256"/>
      <c r="M112" s="1256"/>
      <c r="N112" s="247" t="s">
        <v>132</v>
      </c>
      <c r="O112" s="451">
        <v>5</v>
      </c>
      <c r="P112" s="451">
        <v>5</v>
      </c>
      <c r="Q112" s="722">
        <v>5</v>
      </c>
      <c r="R112" s="976">
        <v>5</v>
      </c>
    </row>
    <row r="113" spans="1:19" ht="15" customHeight="1" x14ac:dyDescent="0.2">
      <c r="A113" s="1489"/>
      <c r="B113" s="1502"/>
      <c r="C113" s="394"/>
      <c r="D113" s="83"/>
      <c r="E113" s="1617"/>
      <c r="F113" s="1908"/>
      <c r="G113" s="1488"/>
      <c r="H113" s="1973"/>
      <c r="I113" s="1545" t="s">
        <v>40</v>
      </c>
      <c r="J113" s="1521">
        <v>7.7</v>
      </c>
      <c r="K113" s="318">
        <v>7.7</v>
      </c>
      <c r="L113" s="1256">
        <v>7.7</v>
      </c>
      <c r="M113" s="1256">
        <v>7.7</v>
      </c>
      <c r="N113" s="2025" t="s">
        <v>257</v>
      </c>
      <c r="O113" s="39">
        <v>1</v>
      </c>
      <c r="P113" s="39">
        <v>1</v>
      </c>
      <c r="Q113" s="188">
        <v>1</v>
      </c>
      <c r="R113" s="421">
        <v>1</v>
      </c>
    </row>
    <row r="114" spans="1:19" ht="12.75" customHeight="1" x14ac:dyDescent="0.2">
      <c r="A114" s="1489"/>
      <c r="B114" s="1502"/>
      <c r="C114" s="394"/>
      <c r="D114" s="83"/>
      <c r="E114" s="529"/>
      <c r="F114" s="1908"/>
      <c r="G114" s="1488"/>
      <c r="H114" s="1973"/>
      <c r="I114" s="354"/>
      <c r="J114" s="1114"/>
      <c r="K114" s="122"/>
      <c r="L114" s="178"/>
      <c r="M114" s="178"/>
      <c r="N114" s="1804"/>
      <c r="O114" s="294"/>
      <c r="P114" s="294"/>
      <c r="Q114" s="713"/>
      <c r="R114" s="1196"/>
    </row>
    <row r="115" spans="1:19" ht="29.25" customHeight="1" x14ac:dyDescent="0.2">
      <c r="A115" s="1489"/>
      <c r="B115" s="1502"/>
      <c r="C115" s="394"/>
      <c r="D115" s="83"/>
      <c r="E115" s="1610" t="s">
        <v>422</v>
      </c>
      <c r="F115" s="1496"/>
      <c r="G115" s="1488"/>
      <c r="H115" s="1555"/>
      <c r="I115" s="1262"/>
      <c r="J115" s="1244"/>
      <c r="K115" s="121"/>
      <c r="L115" s="179"/>
      <c r="M115" s="179"/>
      <c r="N115" s="448" t="s">
        <v>169</v>
      </c>
      <c r="O115" s="1251">
        <v>1</v>
      </c>
      <c r="P115" s="1252">
        <v>1</v>
      </c>
      <c r="Q115" s="1253">
        <v>1</v>
      </c>
      <c r="R115" s="1254">
        <v>1</v>
      </c>
    </row>
    <row r="116" spans="1:19" ht="29.25" customHeight="1" x14ac:dyDescent="0.2">
      <c r="A116" s="1489"/>
      <c r="B116" s="1502"/>
      <c r="C116" s="394"/>
      <c r="D116" s="83"/>
      <c r="E116" s="1617"/>
      <c r="F116" s="1496"/>
      <c r="G116" s="1488"/>
      <c r="H116" s="1555"/>
      <c r="I116" s="1545" t="s">
        <v>24</v>
      </c>
      <c r="J116" s="477"/>
      <c r="K116" s="318">
        <v>6.1</v>
      </c>
      <c r="L116" s="1256"/>
      <c r="M116" s="1256"/>
      <c r="N116" s="1263" t="s">
        <v>416</v>
      </c>
      <c r="O116" s="1264"/>
      <c r="P116" s="1509">
        <v>1</v>
      </c>
      <c r="Q116" s="1265"/>
      <c r="R116" s="1266"/>
    </row>
    <row r="117" spans="1:19" ht="30" customHeight="1" x14ac:dyDescent="0.2">
      <c r="A117" s="1489"/>
      <c r="B117" s="1502"/>
      <c r="C117" s="394"/>
      <c r="D117" s="83"/>
      <c r="E117" s="1944"/>
      <c r="F117" s="1496"/>
      <c r="G117" s="1488"/>
      <c r="H117" s="1555"/>
      <c r="I117" s="354" t="s">
        <v>24</v>
      </c>
      <c r="J117" s="992"/>
      <c r="K117" s="122"/>
      <c r="L117" s="178">
        <v>24.2</v>
      </c>
      <c r="M117" s="178"/>
      <c r="N117" s="1267" t="s">
        <v>394</v>
      </c>
      <c r="O117" s="1268"/>
      <c r="P117" s="506"/>
      <c r="Q117" s="506">
        <v>1</v>
      </c>
      <c r="R117" s="1269"/>
      <c r="S117" s="291"/>
    </row>
    <row r="118" spans="1:19" ht="12.75" customHeight="1" x14ac:dyDescent="0.2">
      <c r="A118" s="1489"/>
      <c r="B118" s="1502"/>
      <c r="C118" s="394"/>
      <c r="D118" s="83"/>
      <c r="E118" s="1610" t="s">
        <v>421</v>
      </c>
      <c r="F118" s="595"/>
      <c r="G118" s="1488"/>
      <c r="H118" s="1556"/>
      <c r="I118" s="1545"/>
      <c r="J118" s="1521"/>
      <c r="K118" s="318"/>
      <c r="L118" s="1256"/>
      <c r="M118" s="1256"/>
      <c r="N118" s="596" t="s">
        <v>272</v>
      </c>
      <c r="O118" s="355"/>
      <c r="P118" s="355"/>
      <c r="Q118" s="320"/>
      <c r="R118" s="743"/>
    </row>
    <row r="119" spans="1:19" ht="16.5" customHeight="1" x14ac:dyDescent="0.2">
      <c r="A119" s="1489"/>
      <c r="B119" s="1502"/>
      <c r="C119" s="394"/>
      <c r="D119" s="1491"/>
      <c r="E119" s="1944"/>
      <c r="F119" s="1496"/>
      <c r="G119" s="1488"/>
      <c r="H119" s="1555"/>
      <c r="I119" s="587" t="s">
        <v>24</v>
      </c>
      <c r="J119" s="169"/>
      <c r="K119" s="123">
        <v>24.2</v>
      </c>
      <c r="L119" s="1249"/>
      <c r="M119" s="1249"/>
      <c r="N119" s="247" t="s">
        <v>127</v>
      </c>
      <c r="O119" s="451">
        <v>3</v>
      </c>
      <c r="P119" s="1282">
        <v>2</v>
      </c>
      <c r="Q119" s="1200"/>
      <c r="R119" s="978"/>
    </row>
    <row r="120" spans="1:19" ht="15" customHeight="1" x14ac:dyDescent="0.2">
      <c r="A120" s="1489"/>
      <c r="B120" s="1502"/>
      <c r="C120" s="394"/>
      <c r="D120" s="83"/>
      <c r="E120" s="1944"/>
      <c r="F120" s="1496"/>
      <c r="G120" s="1488"/>
      <c r="H120" s="1555"/>
      <c r="I120" s="249" t="s">
        <v>24</v>
      </c>
      <c r="J120" s="1195"/>
      <c r="K120" s="184">
        <v>8.8000000000000007</v>
      </c>
      <c r="L120" s="1185">
        <v>8.8000000000000007</v>
      </c>
      <c r="M120" s="1185">
        <v>8.8000000000000007</v>
      </c>
      <c r="N120" s="38" t="s">
        <v>222</v>
      </c>
      <c r="O120" s="241">
        <v>60</v>
      </c>
      <c r="P120" s="241">
        <v>60</v>
      </c>
      <c r="Q120" s="724">
        <v>60</v>
      </c>
      <c r="R120" s="977">
        <v>60</v>
      </c>
    </row>
    <row r="121" spans="1:19" ht="16.5" customHeight="1" x14ac:dyDescent="0.2">
      <c r="A121" s="1489"/>
      <c r="B121" s="1502"/>
      <c r="C121" s="394"/>
      <c r="D121" s="83"/>
      <c r="E121" s="1944"/>
      <c r="F121" s="1496"/>
      <c r="G121" s="1488"/>
      <c r="H121" s="1555"/>
      <c r="I121" s="249" t="s">
        <v>24</v>
      </c>
      <c r="J121" s="130"/>
      <c r="K121" s="184">
        <v>3</v>
      </c>
      <c r="L121" s="1185">
        <v>3</v>
      </c>
      <c r="M121" s="1185"/>
      <c r="N121" s="761" t="s">
        <v>395</v>
      </c>
      <c r="O121" s="1509"/>
      <c r="P121" s="164">
        <v>2</v>
      </c>
      <c r="Q121" s="423">
        <v>2</v>
      </c>
      <c r="R121" s="424"/>
    </row>
    <row r="122" spans="1:19" ht="17.25" customHeight="1" x14ac:dyDescent="0.2">
      <c r="A122" s="1489"/>
      <c r="B122" s="1502"/>
      <c r="C122" s="394"/>
      <c r="D122" s="83"/>
      <c r="E122" s="1944"/>
      <c r="F122" s="1496"/>
      <c r="G122" s="1488"/>
      <c r="H122" s="1555"/>
      <c r="I122" s="469" t="s">
        <v>24</v>
      </c>
      <c r="J122" s="187"/>
      <c r="K122" s="186">
        <v>1.1000000000000001</v>
      </c>
      <c r="L122" s="1103"/>
      <c r="M122" s="1103"/>
      <c r="N122" s="519" t="s">
        <v>392</v>
      </c>
      <c r="O122" s="482"/>
      <c r="P122" s="241">
        <v>1</v>
      </c>
      <c r="Q122" s="241"/>
      <c r="R122" s="977"/>
    </row>
    <row r="123" spans="1:19" ht="27" customHeight="1" x14ac:dyDescent="0.2">
      <c r="A123" s="1489"/>
      <c r="B123" s="1490"/>
      <c r="C123" s="1552"/>
      <c r="D123" s="1491"/>
      <c r="E123" s="1944"/>
      <c r="F123" s="1496"/>
      <c r="G123" s="1488"/>
      <c r="H123" s="1555"/>
      <c r="I123" s="1545" t="s">
        <v>24</v>
      </c>
      <c r="J123" s="477"/>
      <c r="K123" s="318">
        <v>21.7</v>
      </c>
      <c r="L123" s="1256">
        <v>21.1</v>
      </c>
      <c r="M123" s="318"/>
      <c r="N123" s="519" t="s">
        <v>393</v>
      </c>
      <c r="O123" s="482"/>
      <c r="P123" s="482">
        <v>50</v>
      </c>
      <c r="Q123" s="482">
        <v>100</v>
      </c>
      <c r="R123" s="1250"/>
    </row>
    <row r="124" spans="1:19" ht="18.75" customHeight="1" x14ac:dyDescent="0.2">
      <c r="A124" s="1489"/>
      <c r="B124" s="1502"/>
      <c r="C124" s="394"/>
      <c r="D124" s="83"/>
      <c r="E124" s="1944"/>
      <c r="F124" s="1496"/>
      <c r="G124" s="1488"/>
      <c r="H124" s="1555"/>
      <c r="I124" s="587"/>
      <c r="J124" s="169"/>
      <c r="K124" s="123"/>
      <c r="L124" s="1249"/>
      <c r="M124" s="1249"/>
      <c r="N124" s="519" t="s">
        <v>397</v>
      </c>
      <c r="O124" s="482"/>
      <c r="P124" s="241">
        <v>1</v>
      </c>
      <c r="Q124" s="241"/>
      <c r="R124" s="977"/>
    </row>
    <row r="125" spans="1:19" ht="27" customHeight="1" x14ac:dyDescent="0.2">
      <c r="A125" s="1489"/>
      <c r="B125" s="1502"/>
      <c r="C125" s="394"/>
      <c r="D125" s="83"/>
      <c r="E125" s="1944"/>
      <c r="F125" s="1496"/>
      <c r="G125" s="1488"/>
      <c r="H125" s="1555"/>
      <c r="I125" s="587" t="s">
        <v>24</v>
      </c>
      <c r="J125" s="169"/>
      <c r="K125" s="123"/>
      <c r="L125" s="1249">
        <v>37.799999999999997</v>
      </c>
      <c r="M125" s="1249"/>
      <c r="N125" s="247" t="s">
        <v>396</v>
      </c>
      <c r="O125" s="444"/>
      <c r="P125" s="242"/>
      <c r="Q125" s="164">
        <v>2</v>
      </c>
      <c r="R125" s="424"/>
    </row>
    <row r="126" spans="1:19" ht="41.25" customHeight="1" x14ac:dyDescent="0.2">
      <c r="A126" s="1489"/>
      <c r="B126" s="1502"/>
      <c r="C126" s="394"/>
      <c r="D126" s="83"/>
      <c r="E126" s="1493"/>
      <c r="F126" s="1496"/>
      <c r="G126" s="1488"/>
      <c r="H126" s="1555"/>
      <c r="I126" s="249" t="s">
        <v>24</v>
      </c>
      <c r="J126" s="130"/>
      <c r="K126" s="184"/>
      <c r="L126" s="1185"/>
      <c r="M126" s="1185">
        <v>26.8</v>
      </c>
      <c r="N126" s="519" t="s">
        <v>391</v>
      </c>
      <c r="O126" s="482"/>
      <c r="P126" s="241"/>
      <c r="Q126" s="241"/>
      <c r="R126" s="977">
        <v>100</v>
      </c>
    </row>
    <row r="127" spans="1:19" ht="16.5" customHeight="1" x14ac:dyDescent="0.2">
      <c r="A127" s="1489"/>
      <c r="B127" s="1502"/>
      <c r="C127" s="394"/>
      <c r="D127" s="83"/>
      <c r="E127" s="1493"/>
      <c r="F127" s="1496"/>
      <c r="G127" s="1488"/>
      <c r="H127" s="1555"/>
      <c r="I127" s="1545" t="s">
        <v>24</v>
      </c>
      <c r="J127" s="477">
        <f>139.7+14.3</f>
        <v>154</v>
      </c>
      <c r="K127" s="318"/>
      <c r="L127" s="1256"/>
      <c r="M127" s="1256"/>
      <c r="N127" s="1193" t="s">
        <v>285</v>
      </c>
      <c r="O127" s="1192">
        <v>20</v>
      </c>
      <c r="P127" s="444"/>
      <c r="Q127" s="963"/>
      <c r="R127" s="767"/>
    </row>
    <row r="128" spans="1:19" ht="14.25" customHeight="1" x14ac:dyDescent="0.2">
      <c r="A128" s="1489"/>
      <c r="B128" s="1502"/>
      <c r="C128" s="394"/>
      <c r="D128" s="83"/>
      <c r="E128" s="1493"/>
      <c r="F128" s="1496"/>
      <c r="G128" s="1488"/>
      <c r="H128" s="1555"/>
      <c r="I128" s="1545"/>
      <c r="J128" s="477"/>
      <c r="K128" s="318"/>
      <c r="L128" s="1256"/>
      <c r="M128" s="1256"/>
      <c r="N128" s="1193" t="s">
        <v>284</v>
      </c>
      <c r="O128" s="1192">
        <v>40</v>
      </c>
      <c r="P128" s="444"/>
      <c r="Q128" s="963"/>
      <c r="R128" s="767"/>
    </row>
    <row r="129" spans="1:20" ht="24.75" customHeight="1" x14ac:dyDescent="0.2">
      <c r="A129" s="1489"/>
      <c r="B129" s="1502"/>
      <c r="C129" s="394"/>
      <c r="D129" s="83"/>
      <c r="E129" s="1493"/>
      <c r="F129" s="1496"/>
      <c r="G129" s="1488"/>
      <c r="H129" s="1555"/>
      <c r="I129" s="1545"/>
      <c r="J129" s="1521"/>
      <c r="K129" s="318"/>
      <c r="L129" s="1256"/>
      <c r="M129" s="1256"/>
      <c r="N129" s="1554" t="s">
        <v>223</v>
      </c>
      <c r="O129" s="1188">
        <v>1</v>
      </c>
      <c r="P129" s="164"/>
      <c r="Q129" s="423"/>
      <c r="R129" s="424"/>
    </row>
    <row r="130" spans="1:20" ht="15" customHeight="1" x14ac:dyDescent="0.2">
      <c r="A130" s="1489"/>
      <c r="B130" s="1502"/>
      <c r="C130" s="394"/>
      <c r="D130" s="83"/>
      <c r="E130" s="1493"/>
      <c r="F130" s="1496"/>
      <c r="G130" s="1488"/>
      <c r="H130" s="1555"/>
      <c r="I130" s="1545"/>
      <c r="J130" s="1521"/>
      <c r="K130" s="318"/>
      <c r="L130" s="1256"/>
      <c r="M130" s="1256"/>
      <c r="N130" s="1554" t="s">
        <v>224</v>
      </c>
      <c r="O130" s="1188">
        <v>1</v>
      </c>
      <c r="P130" s="164"/>
      <c r="Q130" s="423"/>
      <c r="R130" s="424"/>
    </row>
    <row r="131" spans="1:20" ht="28.5" customHeight="1" x14ac:dyDescent="0.2">
      <c r="A131" s="1489"/>
      <c r="B131" s="1502"/>
      <c r="C131" s="394"/>
      <c r="D131" s="83"/>
      <c r="E131" s="1493"/>
      <c r="F131" s="1496"/>
      <c r="G131" s="1488"/>
      <c r="H131" s="1555"/>
      <c r="I131" s="1545"/>
      <c r="J131" s="1521"/>
      <c r="K131" s="318"/>
      <c r="L131" s="1256"/>
      <c r="M131" s="1256"/>
      <c r="N131" s="1189" t="s">
        <v>327</v>
      </c>
      <c r="O131" s="1188">
        <v>7</v>
      </c>
      <c r="P131" s="95"/>
      <c r="Q131" s="1194"/>
      <c r="R131" s="424"/>
    </row>
    <row r="132" spans="1:20" ht="26.25" customHeight="1" x14ac:dyDescent="0.2">
      <c r="A132" s="1489"/>
      <c r="B132" s="1502"/>
      <c r="C132" s="394"/>
      <c r="D132" s="83"/>
      <c r="E132" s="1493"/>
      <c r="F132" s="1496"/>
      <c r="G132" s="1488"/>
      <c r="H132" s="1555"/>
      <c r="I132" s="1545"/>
      <c r="J132" s="1521"/>
      <c r="K132" s="318"/>
      <c r="L132" s="1256"/>
      <c r="M132" s="1256"/>
      <c r="N132" s="1554" t="s">
        <v>225</v>
      </c>
      <c r="O132" s="1188">
        <v>2</v>
      </c>
      <c r="P132" s="164"/>
      <c r="Q132" s="423"/>
      <c r="R132" s="424"/>
    </row>
    <row r="133" spans="1:20" ht="25.5" customHeight="1" x14ac:dyDescent="0.2">
      <c r="A133" s="1489"/>
      <c r="B133" s="1502"/>
      <c r="C133" s="394"/>
      <c r="D133" s="83"/>
      <c r="E133" s="1493"/>
      <c r="F133" s="1496"/>
      <c r="G133" s="1488"/>
      <c r="H133" s="1555"/>
      <c r="I133" s="1545"/>
      <c r="J133" s="1521"/>
      <c r="K133" s="318"/>
      <c r="L133" s="1256"/>
      <c r="M133" s="1256"/>
      <c r="N133" s="1554" t="s">
        <v>274</v>
      </c>
      <c r="O133" s="1188">
        <v>2</v>
      </c>
      <c r="P133" s="164"/>
      <c r="Q133" s="423"/>
      <c r="R133" s="424"/>
    </row>
    <row r="134" spans="1:20" ht="24.75" customHeight="1" x14ac:dyDescent="0.2">
      <c r="A134" s="1489"/>
      <c r="B134" s="1502"/>
      <c r="C134" s="394"/>
      <c r="D134" s="83"/>
      <c r="E134" s="1493"/>
      <c r="F134" s="1496"/>
      <c r="G134" s="1488"/>
      <c r="H134" s="1555"/>
      <c r="I134" s="1545"/>
      <c r="J134" s="1521"/>
      <c r="K134" s="318"/>
      <c r="L134" s="1256"/>
      <c r="M134" s="1256"/>
      <c r="N134" s="1554" t="s">
        <v>275</v>
      </c>
      <c r="O134" s="1188">
        <v>2</v>
      </c>
      <c r="P134" s="164"/>
      <c r="Q134" s="423"/>
      <c r="R134" s="424"/>
    </row>
    <row r="135" spans="1:20" ht="18" customHeight="1" x14ac:dyDescent="0.2">
      <c r="A135" s="1489"/>
      <c r="B135" s="1502"/>
      <c r="C135" s="394"/>
      <c r="D135" s="83"/>
      <c r="E135" s="1493"/>
      <c r="F135" s="1496"/>
      <c r="G135" s="1488"/>
      <c r="H135" s="1555"/>
      <c r="I135" s="1545"/>
      <c r="J135" s="1521"/>
      <c r="K135" s="318"/>
      <c r="L135" s="1256"/>
      <c r="M135" s="1256"/>
      <c r="N135" s="1554" t="s">
        <v>276</v>
      </c>
      <c r="O135" s="1188">
        <v>2</v>
      </c>
      <c r="P135" s="164"/>
      <c r="Q135" s="423"/>
      <c r="R135" s="424"/>
    </row>
    <row r="136" spans="1:20" ht="27" customHeight="1" x14ac:dyDescent="0.2">
      <c r="A136" s="1489"/>
      <c r="B136" s="1502"/>
      <c r="C136" s="394"/>
      <c r="D136" s="83"/>
      <c r="E136" s="1493"/>
      <c r="F136" s="1496"/>
      <c r="G136" s="1488"/>
      <c r="H136" s="1555"/>
      <c r="I136" s="1545"/>
      <c r="J136" s="1521"/>
      <c r="K136" s="318"/>
      <c r="L136" s="318"/>
      <c r="M136" s="318"/>
      <c r="N136" s="1554" t="s">
        <v>277</v>
      </c>
      <c r="O136" s="1188">
        <v>2</v>
      </c>
      <c r="P136" s="164"/>
      <c r="Q136" s="423"/>
      <c r="R136" s="424"/>
    </row>
    <row r="137" spans="1:20" ht="37.5" customHeight="1" x14ac:dyDescent="0.2">
      <c r="A137" s="1489"/>
      <c r="B137" s="1502"/>
      <c r="C137" s="394"/>
      <c r="D137" s="83"/>
      <c r="E137" s="1493"/>
      <c r="F137" s="1496"/>
      <c r="G137" s="1488"/>
      <c r="H137" s="1555"/>
      <c r="I137" s="26"/>
      <c r="J137" s="992"/>
      <c r="K137" s="122"/>
      <c r="L137" s="178"/>
      <c r="M137" s="178"/>
      <c r="N137" s="1197" t="s">
        <v>164</v>
      </c>
      <c r="O137" s="229"/>
      <c r="P137" s="229"/>
      <c r="Q137" s="1191"/>
      <c r="R137" s="507"/>
      <c r="T137" s="291"/>
    </row>
    <row r="138" spans="1:20" ht="12.75" customHeight="1" x14ac:dyDescent="0.2">
      <c r="A138" s="1632"/>
      <c r="B138" s="1633"/>
      <c r="C138" s="1958"/>
      <c r="D138" s="1947" t="s">
        <v>34</v>
      </c>
      <c r="E138" s="1610" t="s">
        <v>342</v>
      </c>
      <c r="F138" s="1703"/>
      <c r="G138" s="1603"/>
      <c r="H138" s="1555"/>
      <c r="I138" s="1545" t="s">
        <v>24</v>
      </c>
      <c r="J138" s="1521">
        <v>55</v>
      </c>
      <c r="K138" s="318">
        <f>24.1-1</f>
        <v>23.1</v>
      </c>
      <c r="L138" s="1256">
        <v>24.1</v>
      </c>
      <c r="M138" s="1256">
        <v>24.1</v>
      </c>
      <c r="N138" s="1534" t="s">
        <v>157</v>
      </c>
      <c r="O138" s="95">
        <v>2</v>
      </c>
      <c r="P138" s="95">
        <v>2</v>
      </c>
      <c r="Q138" s="1505">
        <v>2</v>
      </c>
      <c r="R138" s="905">
        <v>2</v>
      </c>
    </row>
    <row r="139" spans="1:20" ht="15" customHeight="1" x14ac:dyDescent="0.2">
      <c r="A139" s="1632"/>
      <c r="B139" s="1633"/>
      <c r="C139" s="1958"/>
      <c r="D139" s="1634"/>
      <c r="E139" s="1617"/>
      <c r="F139" s="1703"/>
      <c r="G139" s="1603"/>
      <c r="H139" s="1555"/>
      <c r="I139" s="1545" t="s">
        <v>40</v>
      </c>
      <c r="J139" s="1521">
        <v>5</v>
      </c>
      <c r="K139" s="318">
        <v>5</v>
      </c>
      <c r="L139" s="1256">
        <f>+J139</f>
        <v>5</v>
      </c>
      <c r="M139" s="1256">
        <f>+K139</f>
        <v>5</v>
      </c>
      <c r="N139" s="92" t="s">
        <v>134</v>
      </c>
      <c r="O139" s="165">
        <v>5</v>
      </c>
      <c r="P139" s="165">
        <v>5</v>
      </c>
      <c r="Q139" s="964">
        <v>5</v>
      </c>
      <c r="R139" s="979">
        <v>5</v>
      </c>
    </row>
    <row r="140" spans="1:20" ht="12.75" customHeight="1" x14ac:dyDescent="0.2">
      <c r="A140" s="1632"/>
      <c r="B140" s="1633"/>
      <c r="C140" s="1958"/>
      <c r="D140" s="1634"/>
      <c r="E140" s="1617"/>
      <c r="F140" s="1703"/>
      <c r="G140" s="1603"/>
      <c r="H140" s="1555"/>
      <c r="I140" s="1545" t="s">
        <v>90</v>
      </c>
      <c r="J140" s="1521">
        <v>0.8</v>
      </c>
      <c r="K140" s="318"/>
      <c r="L140" s="1256"/>
      <c r="M140" s="1256"/>
      <c r="N140" s="92"/>
      <c r="O140" s="165"/>
      <c r="P140" s="165"/>
      <c r="Q140" s="964"/>
      <c r="R140" s="979"/>
    </row>
    <row r="141" spans="1:20" ht="27" customHeight="1" x14ac:dyDescent="0.2">
      <c r="A141" s="1632"/>
      <c r="B141" s="1633"/>
      <c r="C141" s="1958"/>
      <c r="D141" s="1959"/>
      <c r="E141" s="1611"/>
      <c r="F141" s="1704"/>
      <c r="G141" s="1603"/>
      <c r="H141" s="1555"/>
      <c r="I141" s="354" t="s">
        <v>24</v>
      </c>
      <c r="J141" s="1114">
        <v>9.5</v>
      </c>
      <c r="K141" s="122"/>
      <c r="L141" s="178"/>
      <c r="M141" s="178"/>
      <c r="N141" s="1535" t="s">
        <v>242</v>
      </c>
      <c r="O141" s="90">
        <v>100</v>
      </c>
      <c r="P141" s="90"/>
      <c r="Q141" s="710"/>
      <c r="R141" s="239"/>
    </row>
    <row r="142" spans="1:20" ht="15" customHeight="1" x14ac:dyDescent="0.2">
      <c r="A142" s="1489"/>
      <c r="B142" s="1502"/>
      <c r="C142" s="1552"/>
      <c r="D142" s="1536" t="s">
        <v>35</v>
      </c>
      <c r="E142" s="1617" t="s">
        <v>63</v>
      </c>
      <c r="F142" s="1496"/>
      <c r="G142" s="1488"/>
      <c r="H142" s="1555"/>
      <c r="I142" s="1262" t="s">
        <v>40</v>
      </c>
      <c r="J142" s="129">
        <v>20</v>
      </c>
      <c r="K142" s="121">
        <v>20</v>
      </c>
      <c r="L142" s="179">
        <f>+J142</f>
        <v>20</v>
      </c>
      <c r="M142" s="179">
        <f>+K142</f>
        <v>20</v>
      </c>
      <c r="N142" s="1570" t="s">
        <v>133</v>
      </c>
      <c r="O142" s="41">
        <v>2</v>
      </c>
      <c r="P142" s="41">
        <v>2</v>
      </c>
      <c r="Q142" s="727">
        <v>2</v>
      </c>
      <c r="R142" s="240">
        <v>2</v>
      </c>
    </row>
    <row r="143" spans="1:20" ht="14.25" customHeight="1" x14ac:dyDescent="0.2">
      <c r="A143" s="1489"/>
      <c r="B143" s="1502"/>
      <c r="C143" s="394"/>
      <c r="D143" s="1491"/>
      <c r="E143" s="1617"/>
      <c r="F143" s="1496"/>
      <c r="G143" s="1488"/>
      <c r="H143" s="1555"/>
      <c r="I143" s="11" t="s">
        <v>90</v>
      </c>
      <c r="J143" s="1521">
        <v>2.2999999999999998</v>
      </c>
      <c r="K143" s="318"/>
      <c r="L143" s="1256"/>
      <c r="M143" s="1256"/>
      <c r="N143" s="1534"/>
      <c r="O143" s="95"/>
      <c r="P143" s="95"/>
      <c r="Q143" s="1505"/>
      <c r="R143" s="905"/>
    </row>
    <row r="144" spans="1:20" ht="14.25" customHeight="1" x14ac:dyDescent="0.2">
      <c r="A144" s="31"/>
      <c r="B144" s="1502"/>
      <c r="C144" s="394"/>
      <c r="D144" s="1559"/>
      <c r="E144" s="1494"/>
      <c r="F144" s="1497"/>
      <c r="G144" s="1499"/>
      <c r="H144" s="589"/>
      <c r="I144" s="26" t="s">
        <v>58</v>
      </c>
      <c r="J144" s="1114"/>
      <c r="K144" s="122"/>
      <c r="L144" s="122"/>
      <c r="M144" s="122"/>
      <c r="N144" s="1513"/>
      <c r="O144" s="90"/>
      <c r="P144" s="90"/>
      <c r="Q144" s="710"/>
      <c r="R144" s="239"/>
    </row>
    <row r="145" spans="1:18" ht="16.5" customHeight="1" thickBot="1" x14ac:dyDescent="0.25">
      <c r="A145" s="32"/>
      <c r="B145" s="1519"/>
      <c r="C145" s="387"/>
      <c r="D145" s="390"/>
      <c r="E145" s="391"/>
      <c r="F145" s="392"/>
      <c r="G145" s="399"/>
      <c r="H145" s="389"/>
      <c r="I145" s="27" t="s">
        <v>6</v>
      </c>
      <c r="J145" s="209">
        <f>SUM(J84:J144)</f>
        <v>1186.9000000000001</v>
      </c>
      <c r="K145" s="209">
        <f>SUM(K84:K144)</f>
        <v>1033.3</v>
      </c>
      <c r="L145" s="209">
        <f t="shared" ref="L145:M145" si="1">SUM(L84:L144)</f>
        <v>1100.3</v>
      </c>
      <c r="M145" s="209">
        <f t="shared" si="1"/>
        <v>991</v>
      </c>
      <c r="N145" s="388"/>
      <c r="O145" s="403"/>
      <c r="P145" s="403"/>
      <c r="Q145" s="403"/>
      <c r="R145" s="984"/>
    </row>
    <row r="146" spans="1:18" ht="18" customHeight="1" x14ac:dyDescent="0.2">
      <c r="A146" s="1710" t="s">
        <v>5</v>
      </c>
      <c r="B146" s="1712" t="s">
        <v>5</v>
      </c>
      <c r="C146" s="1957" t="s">
        <v>34</v>
      </c>
      <c r="D146" s="1962"/>
      <c r="E146" s="1872" t="s">
        <v>55</v>
      </c>
      <c r="F146" s="1903" t="s">
        <v>118</v>
      </c>
      <c r="G146" s="1868" t="s">
        <v>27</v>
      </c>
      <c r="H146" s="81"/>
      <c r="I146" s="219"/>
      <c r="J146" s="147"/>
      <c r="K146" s="143"/>
      <c r="L146" s="149"/>
      <c r="M146" s="149"/>
      <c r="N146" s="1892"/>
      <c r="O146" s="52"/>
      <c r="P146" s="52"/>
      <c r="Q146" s="1899"/>
      <c r="R146" s="1901"/>
    </row>
    <row r="147" spans="1:18" ht="11.25" customHeight="1" x14ac:dyDescent="0.2">
      <c r="A147" s="1632"/>
      <c r="B147" s="1701"/>
      <c r="C147" s="1958"/>
      <c r="D147" s="1963"/>
      <c r="E147" s="1874"/>
      <c r="F147" s="1904"/>
      <c r="G147" s="1603"/>
      <c r="H147" s="82"/>
      <c r="I147" s="354"/>
      <c r="J147" s="119"/>
      <c r="K147" s="122"/>
      <c r="L147" s="1114"/>
      <c r="M147" s="1114"/>
      <c r="N147" s="1898"/>
      <c r="O147" s="95"/>
      <c r="P147" s="95"/>
      <c r="Q147" s="1900"/>
      <c r="R147" s="1902"/>
    </row>
    <row r="148" spans="1:18" ht="15.75" customHeight="1" x14ac:dyDescent="0.2">
      <c r="A148" s="1632"/>
      <c r="B148" s="1633"/>
      <c r="C148" s="1958"/>
      <c r="D148" s="1947" t="s">
        <v>5</v>
      </c>
      <c r="E148" s="1617" t="s">
        <v>106</v>
      </c>
      <c r="F148" s="1864" t="s">
        <v>69</v>
      </c>
      <c r="G148" s="1603"/>
      <c r="H148" s="1118"/>
      <c r="I148" s="1262" t="s">
        <v>24</v>
      </c>
      <c r="J148" s="146">
        <f>1999.3-112.7</f>
        <v>1886.6</v>
      </c>
      <c r="K148" s="129">
        <f>1959+62.7</f>
        <v>2021.7</v>
      </c>
      <c r="L148" s="129">
        <v>2000</v>
      </c>
      <c r="M148" s="129">
        <v>2000</v>
      </c>
      <c r="N148" s="1534" t="s">
        <v>72</v>
      </c>
      <c r="O148" s="166">
        <v>16.2</v>
      </c>
      <c r="P148" s="166">
        <v>16.899999999999999</v>
      </c>
      <c r="Q148" s="728">
        <v>17.5</v>
      </c>
      <c r="R148" s="980">
        <v>18.2</v>
      </c>
    </row>
    <row r="149" spans="1:18" ht="15.75" customHeight="1" x14ac:dyDescent="0.2">
      <c r="A149" s="1632"/>
      <c r="B149" s="1633"/>
      <c r="C149" s="1958"/>
      <c r="D149" s="1959"/>
      <c r="E149" s="1611"/>
      <c r="F149" s="1865"/>
      <c r="G149" s="1603"/>
      <c r="H149" s="84"/>
      <c r="I149" s="354" t="s">
        <v>58</v>
      </c>
      <c r="J149" s="119">
        <v>112.7</v>
      </c>
      <c r="K149" s="122"/>
      <c r="L149" s="1114"/>
      <c r="M149" s="1114"/>
      <c r="N149" s="273" t="s">
        <v>51</v>
      </c>
      <c r="O149" s="294">
        <v>11.7</v>
      </c>
      <c r="P149" s="618">
        <v>9.4</v>
      </c>
      <c r="Q149" s="618">
        <v>9.6999999999999993</v>
      </c>
      <c r="R149" s="1196">
        <v>10.1</v>
      </c>
    </row>
    <row r="150" spans="1:18" ht="16.5" customHeight="1" x14ac:dyDescent="0.2">
      <c r="A150" s="1489"/>
      <c r="B150" s="1502"/>
      <c r="C150" s="1552"/>
      <c r="D150" s="1491" t="s">
        <v>7</v>
      </c>
      <c r="E150" s="1610" t="s">
        <v>196</v>
      </c>
      <c r="F150" s="1495"/>
      <c r="G150" s="1488"/>
      <c r="H150" s="1952" t="s">
        <v>75</v>
      </c>
      <c r="I150" s="1545" t="s">
        <v>24</v>
      </c>
      <c r="J150" s="120">
        <v>50.7</v>
      </c>
      <c r="K150" s="121">
        <v>51.7</v>
      </c>
      <c r="L150" s="121">
        <v>55.3</v>
      </c>
      <c r="M150" s="121">
        <v>59.2</v>
      </c>
      <c r="N150" s="1570" t="s">
        <v>51</v>
      </c>
      <c r="O150" s="452">
        <v>0.7</v>
      </c>
      <c r="P150" s="452">
        <v>0.4</v>
      </c>
      <c r="Q150" s="452">
        <v>0.4</v>
      </c>
      <c r="R150" s="453">
        <v>0.4</v>
      </c>
    </row>
    <row r="151" spans="1:18" ht="26.25" customHeight="1" x14ac:dyDescent="0.2">
      <c r="A151" s="1489"/>
      <c r="B151" s="1502"/>
      <c r="C151" s="1552"/>
      <c r="D151" s="1491"/>
      <c r="E151" s="1617"/>
      <c r="F151" s="1119"/>
      <c r="G151" s="1488"/>
      <c r="H151" s="1952"/>
      <c r="I151" s="1545" t="s">
        <v>24</v>
      </c>
      <c r="J151" s="120">
        <v>92.4</v>
      </c>
      <c r="K151" s="318">
        <v>167.9</v>
      </c>
      <c r="L151" s="318">
        <v>187.9</v>
      </c>
      <c r="M151" s="318">
        <v>207.9</v>
      </c>
      <c r="N151" s="55" t="s">
        <v>470</v>
      </c>
      <c r="O151" s="1122">
        <v>1042</v>
      </c>
      <c r="P151" s="1122">
        <v>1206</v>
      </c>
      <c r="Q151" s="1122">
        <v>1206</v>
      </c>
      <c r="R151" s="977">
        <v>1206</v>
      </c>
    </row>
    <row r="152" spans="1:18" ht="39" customHeight="1" x14ac:dyDescent="0.2">
      <c r="A152" s="1577"/>
      <c r="B152" s="1578"/>
      <c r="C152" s="1582"/>
      <c r="D152" s="1579"/>
      <c r="E152" s="1617"/>
      <c r="F152" s="1119"/>
      <c r="G152" s="1576"/>
      <c r="H152" s="1952"/>
      <c r="I152" s="1583"/>
      <c r="J152" s="115"/>
      <c r="K152" s="318"/>
      <c r="L152" s="120"/>
      <c r="M152" s="318"/>
      <c r="N152" s="55" t="s">
        <v>471</v>
      </c>
      <c r="O152" s="241">
        <v>22</v>
      </c>
      <c r="P152" s="1585">
        <v>22.2</v>
      </c>
      <c r="Q152" s="1586">
        <v>22.2</v>
      </c>
      <c r="R152" s="1587">
        <v>22.2</v>
      </c>
    </row>
    <row r="153" spans="1:18" ht="30" customHeight="1" x14ac:dyDescent="0.2">
      <c r="A153" s="1489"/>
      <c r="B153" s="1502"/>
      <c r="C153" s="1552"/>
      <c r="D153" s="1514"/>
      <c r="E153" s="2024"/>
      <c r="F153" s="1524"/>
      <c r="G153" s="1488"/>
      <c r="H153" s="1987"/>
      <c r="I153" s="354" t="s">
        <v>24</v>
      </c>
      <c r="J153" s="113"/>
      <c r="K153" s="122">
        <v>2.1</v>
      </c>
      <c r="L153" s="122">
        <v>2.1</v>
      </c>
      <c r="M153" s="122">
        <v>2.1</v>
      </c>
      <c r="N153" s="1123" t="s">
        <v>351</v>
      </c>
      <c r="O153" s="1124">
        <v>3</v>
      </c>
      <c r="P153" s="1125">
        <v>3</v>
      </c>
      <c r="Q153" s="90">
        <v>3</v>
      </c>
      <c r="R153" s="239">
        <v>3</v>
      </c>
    </row>
    <row r="154" spans="1:18" ht="16.5" customHeight="1" x14ac:dyDescent="0.2">
      <c r="A154" s="1489"/>
      <c r="B154" s="1502"/>
      <c r="C154" s="1552"/>
      <c r="D154" s="1560" t="s">
        <v>26</v>
      </c>
      <c r="E154" s="1610" t="s">
        <v>444</v>
      </c>
      <c r="F154" s="1522"/>
      <c r="G154" s="1488"/>
      <c r="H154" s="1563"/>
      <c r="I154" s="1545"/>
      <c r="J154" s="115"/>
      <c r="K154" s="318"/>
      <c r="L154" s="186"/>
      <c r="M154" s="187"/>
      <c r="N154" s="1507"/>
      <c r="O154" s="616"/>
      <c r="P154" s="993"/>
      <c r="Q154" s="156"/>
      <c r="R154" s="240"/>
    </row>
    <row r="155" spans="1:18" ht="12.75" customHeight="1" x14ac:dyDescent="0.2">
      <c r="A155" s="1489"/>
      <c r="B155" s="1502"/>
      <c r="C155" s="1552"/>
      <c r="D155" s="1514"/>
      <c r="E155" s="1944"/>
      <c r="F155" s="1522"/>
      <c r="G155" s="1536"/>
      <c r="H155" s="1563"/>
      <c r="I155" s="1545"/>
      <c r="J155" s="115"/>
      <c r="K155" s="318"/>
      <c r="L155" s="318"/>
      <c r="M155" s="1521"/>
      <c r="N155" s="1508"/>
      <c r="O155" s="340"/>
      <c r="P155" s="563"/>
      <c r="Q155" s="155"/>
      <c r="R155" s="905"/>
    </row>
    <row r="156" spans="1:18" ht="13.5" customHeight="1" x14ac:dyDescent="0.2">
      <c r="A156" s="1489"/>
      <c r="B156" s="1502"/>
      <c r="C156" s="1552"/>
      <c r="D156" s="2021" t="s">
        <v>405</v>
      </c>
      <c r="E156" s="1492"/>
      <c r="F156" s="1523"/>
      <c r="G156" s="1536"/>
      <c r="H156" s="1563"/>
      <c r="I156" s="1262" t="s">
        <v>24</v>
      </c>
      <c r="J156" s="114"/>
      <c r="K156" s="121">
        <v>3.4</v>
      </c>
      <c r="L156" s="129"/>
      <c r="M156" s="121"/>
      <c r="N156" s="1507" t="s">
        <v>418</v>
      </c>
      <c r="O156" s="616">
        <v>3</v>
      </c>
      <c r="P156" s="993">
        <v>7</v>
      </c>
      <c r="Q156" s="156"/>
      <c r="R156" s="240"/>
    </row>
    <row r="157" spans="1:18" ht="13.5" customHeight="1" x14ac:dyDescent="0.2">
      <c r="A157" s="1489"/>
      <c r="B157" s="1502"/>
      <c r="C157" s="1552"/>
      <c r="D157" s="1896"/>
      <c r="E157" s="1493"/>
      <c r="F157" s="1522"/>
      <c r="G157" s="1536"/>
      <c r="H157" s="1563"/>
      <c r="I157" s="1545" t="s">
        <v>58</v>
      </c>
      <c r="J157" s="115"/>
      <c r="K157" s="318">
        <v>4.7</v>
      </c>
      <c r="L157" s="1521"/>
      <c r="M157" s="1521"/>
      <c r="N157" s="1508"/>
      <c r="O157" s="340"/>
      <c r="P157" s="563"/>
      <c r="Q157" s="155"/>
      <c r="R157" s="905"/>
    </row>
    <row r="158" spans="1:18" ht="27" customHeight="1" x14ac:dyDescent="0.2">
      <c r="A158" s="1489"/>
      <c r="B158" s="1502"/>
      <c r="C158" s="1552"/>
      <c r="D158" s="1896"/>
      <c r="E158" s="1232" t="s">
        <v>399</v>
      </c>
      <c r="F158" s="1522"/>
      <c r="G158" s="1536"/>
      <c r="H158" s="1563"/>
      <c r="I158" s="1545" t="s">
        <v>24</v>
      </c>
      <c r="J158" s="115"/>
      <c r="K158" s="318">
        <v>119.2</v>
      </c>
      <c r="L158" s="1521"/>
      <c r="M158" s="1521"/>
      <c r="N158" s="1508" t="s">
        <v>403</v>
      </c>
      <c r="O158" s="340"/>
      <c r="P158" s="563">
        <v>100</v>
      </c>
      <c r="Q158" s="155"/>
      <c r="R158" s="905"/>
    </row>
    <row r="159" spans="1:18" ht="24.75" customHeight="1" x14ac:dyDescent="0.2">
      <c r="A159" s="1489"/>
      <c r="B159" s="1502"/>
      <c r="C159" s="1552"/>
      <c r="D159" s="1896"/>
      <c r="E159" s="1232" t="s">
        <v>400</v>
      </c>
      <c r="F159" s="1522"/>
      <c r="G159" s="1536"/>
      <c r="H159" s="1563"/>
      <c r="I159" s="1545"/>
      <c r="J159" s="120"/>
      <c r="K159" s="318"/>
      <c r="L159" s="1521"/>
      <c r="M159" s="1521"/>
      <c r="N159" s="1508"/>
      <c r="O159" s="340"/>
      <c r="P159" s="563"/>
      <c r="Q159" s="563"/>
      <c r="R159" s="905"/>
    </row>
    <row r="160" spans="1:18" ht="24.75" customHeight="1" x14ac:dyDescent="0.2">
      <c r="A160" s="1489"/>
      <c r="B160" s="1502"/>
      <c r="C160" s="1552"/>
      <c r="D160" s="1896"/>
      <c r="E160" s="1232" t="s">
        <v>417</v>
      </c>
      <c r="F160" s="1522"/>
      <c r="G160" s="1536"/>
      <c r="H160" s="1563"/>
      <c r="I160" s="1545"/>
      <c r="J160" s="115"/>
      <c r="K160" s="318"/>
      <c r="L160" s="1521"/>
      <c r="M160" s="318"/>
      <c r="N160" s="1549"/>
      <c r="O160" s="1205"/>
      <c r="P160" s="563"/>
      <c r="Q160" s="155"/>
      <c r="R160" s="905"/>
    </row>
    <row r="161" spans="1:21" ht="12" customHeight="1" x14ac:dyDescent="0.2">
      <c r="A161" s="1489"/>
      <c r="B161" s="1502"/>
      <c r="C161" s="1552"/>
      <c r="D161" s="2023"/>
      <c r="E161" s="1494" t="s">
        <v>406</v>
      </c>
      <c r="F161" s="1524"/>
      <c r="G161" s="1536"/>
      <c r="H161" s="1563"/>
      <c r="I161" s="354"/>
      <c r="J161" s="113"/>
      <c r="K161" s="122"/>
      <c r="L161" s="1114"/>
      <c r="M161" s="1114"/>
      <c r="N161" s="456"/>
      <c r="O161" s="1234"/>
      <c r="P161" s="564"/>
      <c r="Q161" s="157"/>
      <c r="R161" s="239"/>
    </row>
    <row r="162" spans="1:21" ht="15" customHeight="1" x14ac:dyDescent="0.2">
      <c r="A162" s="1489"/>
      <c r="B162" s="1502"/>
      <c r="C162" s="1552"/>
      <c r="D162" s="2021" t="s">
        <v>427</v>
      </c>
      <c r="E162" s="1257"/>
      <c r="F162" s="1523"/>
      <c r="G162" s="1536"/>
      <c r="H162" s="1563"/>
      <c r="I162" s="1262" t="s">
        <v>24</v>
      </c>
      <c r="J162" s="114"/>
      <c r="K162" s="121"/>
      <c r="L162" s="129">
        <f>2+186.3+58.2-130</f>
        <v>116.5</v>
      </c>
      <c r="M162" s="129">
        <v>130</v>
      </c>
      <c r="N162" s="1507" t="s">
        <v>418</v>
      </c>
      <c r="O162" s="616"/>
      <c r="P162" s="993"/>
      <c r="Q162" s="993">
        <v>2</v>
      </c>
      <c r="R162" s="240"/>
    </row>
    <row r="163" spans="1:21" ht="13.5" customHeight="1" x14ac:dyDescent="0.2">
      <c r="A163" s="1489"/>
      <c r="B163" s="1502"/>
      <c r="C163" s="1552"/>
      <c r="D163" s="1896"/>
      <c r="E163" s="1255" t="s">
        <v>398</v>
      </c>
      <c r="F163" s="1522"/>
      <c r="G163" s="1536"/>
      <c r="H163" s="1563"/>
      <c r="I163" s="1545"/>
      <c r="J163" s="115"/>
      <c r="K163" s="318"/>
      <c r="L163" s="1521"/>
      <c r="M163" s="1521"/>
      <c r="N163" s="1508" t="s">
        <v>403</v>
      </c>
      <c r="O163" s="340"/>
      <c r="P163" s="563"/>
      <c r="Q163" s="563">
        <v>50</v>
      </c>
      <c r="R163" s="606">
        <v>100</v>
      </c>
    </row>
    <row r="164" spans="1:21" ht="25.5" customHeight="1" x14ac:dyDescent="0.2">
      <c r="A164" s="1489"/>
      <c r="B164" s="1502"/>
      <c r="C164" s="1552"/>
      <c r="D164" s="2022"/>
      <c r="E164" s="1232" t="s">
        <v>401</v>
      </c>
      <c r="F164" s="1522"/>
      <c r="G164" s="1536"/>
      <c r="H164" s="1563"/>
      <c r="I164" s="1545"/>
      <c r="J164" s="115"/>
      <c r="K164" s="318"/>
      <c r="L164" s="1521"/>
      <c r="M164" s="1521"/>
      <c r="N164" s="1508"/>
      <c r="O164" s="340"/>
      <c r="P164" s="563"/>
      <c r="Q164" s="563"/>
      <c r="R164" s="905"/>
    </row>
    <row r="165" spans="1:21" ht="24" customHeight="1" x14ac:dyDescent="0.2">
      <c r="A165" s="1489"/>
      <c r="B165" s="1502"/>
      <c r="C165" s="1552"/>
      <c r="D165" s="2022"/>
      <c r="E165" s="1232" t="s">
        <v>402</v>
      </c>
      <c r="F165" s="1522"/>
      <c r="G165" s="1536"/>
      <c r="H165" s="1563"/>
      <c r="I165" s="1545"/>
      <c r="J165" s="115"/>
      <c r="K165" s="318"/>
      <c r="L165" s="1521"/>
      <c r="M165" s="1521"/>
      <c r="N165" s="1508"/>
      <c r="O165" s="340"/>
      <c r="P165" s="563"/>
      <c r="Q165" s="155"/>
      <c r="R165" s="905"/>
      <c r="T165" s="291"/>
    </row>
    <row r="166" spans="1:21" ht="15.75" customHeight="1" x14ac:dyDescent="0.2">
      <c r="A166" s="1489"/>
      <c r="B166" s="1502"/>
      <c r="C166" s="1552"/>
      <c r="D166" s="1574"/>
      <c r="E166" s="1494" t="s">
        <v>426</v>
      </c>
      <c r="F166" s="1524"/>
      <c r="G166" s="1536"/>
      <c r="H166" s="1563"/>
      <c r="I166" s="354"/>
      <c r="J166" s="113"/>
      <c r="K166" s="122"/>
      <c r="L166" s="1114"/>
      <c r="M166" s="1114"/>
      <c r="N166" s="273"/>
      <c r="O166" s="1124"/>
      <c r="P166" s="564"/>
      <c r="Q166" s="157"/>
      <c r="R166" s="239"/>
    </row>
    <row r="167" spans="1:21" ht="15.75" customHeight="1" x14ac:dyDescent="0.2">
      <c r="A167" s="1489"/>
      <c r="B167" s="1502"/>
      <c r="C167" s="1552"/>
      <c r="D167" s="1896" t="s">
        <v>419</v>
      </c>
      <c r="E167" s="1526"/>
      <c r="F167" s="1522"/>
      <c r="G167" s="1536"/>
      <c r="H167" s="1563"/>
      <c r="I167" s="469" t="s">
        <v>68</v>
      </c>
      <c r="J167" s="416">
        <v>65.599999999999994</v>
      </c>
      <c r="K167" s="318"/>
      <c r="L167" s="318"/>
      <c r="M167" s="318"/>
      <c r="N167" s="2044" t="s">
        <v>404</v>
      </c>
      <c r="O167" s="1487">
        <v>3</v>
      </c>
      <c r="P167" s="627"/>
      <c r="Q167" s="735"/>
      <c r="R167" s="46"/>
    </row>
    <row r="168" spans="1:21" ht="18.75" customHeight="1" x14ac:dyDescent="0.2">
      <c r="A168" s="1489"/>
      <c r="B168" s="1502"/>
      <c r="C168" s="1552"/>
      <c r="D168" s="1896"/>
      <c r="E168" s="1526"/>
      <c r="F168" s="1522"/>
      <c r="G168" s="1536"/>
      <c r="H168" s="1563"/>
      <c r="I168" s="1545"/>
      <c r="J168" s="120"/>
      <c r="K168" s="318"/>
      <c r="L168" s="318"/>
      <c r="M168" s="318"/>
      <c r="N168" s="2049"/>
      <c r="O168" s="1205"/>
      <c r="P168" s="340"/>
      <c r="Q168" s="316"/>
      <c r="R168" s="1543"/>
    </row>
    <row r="169" spans="1:21" ht="54.75" customHeight="1" x14ac:dyDescent="0.2">
      <c r="A169" s="1489"/>
      <c r="B169" s="1502"/>
      <c r="C169" s="1552"/>
      <c r="D169" s="1960"/>
      <c r="E169" s="1527"/>
      <c r="F169" s="1524"/>
      <c r="G169" s="1229"/>
      <c r="H169" s="1550"/>
      <c r="I169" s="354" t="s">
        <v>24</v>
      </c>
      <c r="J169" s="178">
        <v>19.5</v>
      </c>
      <c r="K169" s="122"/>
      <c r="L169" s="122"/>
      <c r="M169" s="122"/>
      <c r="N169" s="1233" t="s">
        <v>354</v>
      </c>
      <c r="O169" s="1234" t="s">
        <v>364</v>
      </c>
      <c r="P169" s="1235"/>
      <c r="Q169" s="1202"/>
      <c r="R169" s="509"/>
      <c r="T169" s="291"/>
      <c r="U169" s="291"/>
    </row>
    <row r="170" spans="1:21" ht="18" customHeight="1" x14ac:dyDescent="0.2">
      <c r="A170" s="1489"/>
      <c r="B170" s="1502"/>
      <c r="C170" s="1552"/>
      <c r="D170" s="1514"/>
      <c r="E170" s="2005" t="s">
        <v>115</v>
      </c>
      <c r="F170" s="1203"/>
      <c r="G170" s="1566"/>
      <c r="H170" s="1551"/>
      <c r="I170" s="1557" t="s">
        <v>58</v>
      </c>
      <c r="J170" s="1181">
        <v>12.1</v>
      </c>
      <c r="K170" s="1136"/>
      <c r="L170" s="1144"/>
      <c r="M170" s="1144"/>
      <c r="N170" s="2035" t="s">
        <v>170</v>
      </c>
      <c r="O170" s="1137">
        <v>100</v>
      </c>
      <c r="P170" s="563"/>
      <c r="Q170" s="155"/>
      <c r="R170" s="905"/>
    </row>
    <row r="171" spans="1:21" ht="18.75" customHeight="1" x14ac:dyDescent="0.2">
      <c r="A171" s="1489"/>
      <c r="B171" s="1502"/>
      <c r="C171" s="1552"/>
      <c r="D171" s="1561"/>
      <c r="E171" s="2006"/>
      <c r="F171" s="1204"/>
      <c r="G171" s="1567"/>
      <c r="H171" s="1568"/>
      <c r="I171" s="1138"/>
      <c r="J171" s="1182"/>
      <c r="K171" s="1140"/>
      <c r="L171" s="1145"/>
      <c r="M171" s="1145"/>
      <c r="N171" s="2045"/>
      <c r="O171" s="1141"/>
      <c r="P171" s="564"/>
      <c r="Q171" s="90"/>
      <c r="R171" s="905"/>
    </row>
    <row r="172" spans="1:21" ht="14.25" customHeight="1" thickBot="1" x14ac:dyDescent="0.25">
      <c r="A172" s="32"/>
      <c r="B172" s="1519"/>
      <c r="C172" s="387"/>
      <c r="D172" s="390"/>
      <c r="E172" s="391"/>
      <c r="F172" s="398"/>
      <c r="G172" s="399"/>
      <c r="H172" s="389"/>
      <c r="I172" s="27" t="s">
        <v>6</v>
      </c>
      <c r="J172" s="490">
        <f>SUM(J148:J171)</f>
        <v>2239.6</v>
      </c>
      <c r="K172" s="209">
        <f>SUM(K148:K171)</f>
        <v>2370.6999999999998</v>
      </c>
      <c r="L172" s="209">
        <f>SUM(L148:L171)</f>
        <v>2361.8000000000002</v>
      </c>
      <c r="M172" s="209">
        <f>SUM(M148:M171)</f>
        <v>2399.1999999999998</v>
      </c>
      <c r="N172" s="388"/>
      <c r="O172" s="403"/>
      <c r="P172" s="403"/>
      <c r="Q172" s="403"/>
      <c r="R172" s="984"/>
    </row>
    <row r="173" spans="1:21" ht="18.75" customHeight="1" x14ac:dyDescent="0.2">
      <c r="A173" s="1710" t="s">
        <v>5</v>
      </c>
      <c r="B173" s="1712" t="s">
        <v>5</v>
      </c>
      <c r="C173" s="1714" t="s">
        <v>35</v>
      </c>
      <c r="D173" s="2017"/>
      <c r="E173" s="1716" t="s">
        <v>434</v>
      </c>
      <c r="F173" s="1718"/>
      <c r="G173" s="1721" t="s">
        <v>50</v>
      </c>
      <c r="H173" s="1948" t="s">
        <v>77</v>
      </c>
      <c r="I173" s="572" t="s">
        <v>24</v>
      </c>
      <c r="J173" s="143">
        <v>271.8</v>
      </c>
      <c r="K173" s="143">
        <v>152.30000000000001</v>
      </c>
      <c r="L173" s="149">
        <v>152.30000000000001</v>
      </c>
      <c r="M173" s="149">
        <v>152.30000000000001</v>
      </c>
      <c r="N173" s="1541" t="s">
        <v>135</v>
      </c>
      <c r="O173" s="52">
        <v>117</v>
      </c>
      <c r="P173" s="52">
        <v>147</v>
      </c>
      <c r="Q173" s="1504">
        <v>147</v>
      </c>
      <c r="R173" s="981">
        <v>147</v>
      </c>
    </row>
    <row r="174" spans="1:21" ht="16.5" customHeight="1" x14ac:dyDescent="0.2">
      <c r="A174" s="1632"/>
      <c r="B174" s="1701"/>
      <c r="C174" s="1634"/>
      <c r="D174" s="2018"/>
      <c r="E174" s="1617"/>
      <c r="F174" s="1719"/>
      <c r="G174" s="1722"/>
      <c r="H174" s="1949"/>
      <c r="I174" s="567" t="s">
        <v>58</v>
      </c>
      <c r="J174" s="122">
        <v>110</v>
      </c>
      <c r="K174" s="122">
        <v>135.19999999999999</v>
      </c>
      <c r="L174" s="122"/>
      <c r="M174" s="122"/>
      <c r="N174" s="1575"/>
      <c r="O174" s="95"/>
      <c r="P174" s="95"/>
      <c r="Q174" s="1505"/>
      <c r="R174" s="905"/>
    </row>
    <row r="175" spans="1:21" ht="16.5" customHeight="1" thickBot="1" x14ac:dyDescent="0.25">
      <c r="A175" s="1711"/>
      <c r="B175" s="1713"/>
      <c r="C175" s="1715"/>
      <c r="D175" s="2019"/>
      <c r="E175" s="1717"/>
      <c r="F175" s="1720"/>
      <c r="G175" s="1723"/>
      <c r="H175" s="1950"/>
      <c r="I175" s="42" t="s">
        <v>6</v>
      </c>
      <c r="J175" s="190">
        <f>SUM(J173:J174)</f>
        <v>381.8</v>
      </c>
      <c r="K175" s="190">
        <f t="shared" ref="K175:L175" si="2">SUM(K173:K174)</f>
        <v>287.5</v>
      </c>
      <c r="L175" s="190">
        <f t="shared" si="2"/>
        <v>152.30000000000001</v>
      </c>
      <c r="M175" s="209">
        <f t="shared" ref="M175" si="3">SUM(M173:M173)</f>
        <v>152.30000000000001</v>
      </c>
      <c r="N175" s="274"/>
      <c r="O175" s="51"/>
      <c r="P175" s="51"/>
      <c r="Q175" s="712"/>
      <c r="R175" s="556"/>
    </row>
    <row r="176" spans="1:21" ht="15.75" customHeight="1" x14ac:dyDescent="0.2">
      <c r="A176" s="1710" t="s">
        <v>5</v>
      </c>
      <c r="B176" s="1712" t="s">
        <v>5</v>
      </c>
      <c r="C176" s="1714" t="s">
        <v>28</v>
      </c>
      <c r="D176" s="2017"/>
      <c r="E176" s="1716" t="s">
        <v>432</v>
      </c>
      <c r="F176" s="1718"/>
      <c r="G176" s="1721" t="s">
        <v>50</v>
      </c>
      <c r="H176" s="1948" t="s">
        <v>255</v>
      </c>
      <c r="I176" s="572" t="s">
        <v>24</v>
      </c>
      <c r="J176" s="143">
        <v>26.1</v>
      </c>
      <c r="K176" s="143">
        <v>16.8</v>
      </c>
      <c r="L176" s="143">
        <v>16.8</v>
      </c>
      <c r="M176" s="143">
        <v>16.8</v>
      </c>
      <c r="N176" s="1892" t="s">
        <v>433</v>
      </c>
      <c r="O176" s="52">
        <v>2</v>
      </c>
      <c r="P176" s="52">
        <v>2</v>
      </c>
      <c r="Q176" s="1505">
        <v>2</v>
      </c>
      <c r="R176" s="905">
        <v>2</v>
      </c>
    </row>
    <row r="177" spans="1:18" ht="20.25" customHeight="1" x14ac:dyDescent="0.2">
      <c r="A177" s="1632"/>
      <c r="B177" s="1701"/>
      <c r="C177" s="1634"/>
      <c r="D177" s="2018"/>
      <c r="E177" s="1617"/>
      <c r="F177" s="1719"/>
      <c r="G177" s="1722"/>
      <c r="H177" s="1949"/>
      <c r="I177" s="567"/>
      <c r="J177" s="122"/>
      <c r="K177" s="122"/>
      <c r="L177" s="122"/>
      <c r="M177" s="122"/>
      <c r="N177" s="2029"/>
      <c r="O177" s="95"/>
      <c r="P177" s="95"/>
      <c r="Q177" s="1505"/>
      <c r="R177" s="905"/>
    </row>
    <row r="178" spans="1:18" ht="16.5" customHeight="1" thickBot="1" x14ac:dyDescent="0.25">
      <c r="A178" s="1711"/>
      <c r="B178" s="1713"/>
      <c r="C178" s="1715"/>
      <c r="D178" s="2019"/>
      <c r="E178" s="1717"/>
      <c r="F178" s="1720"/>
      <c r="G178" s="1723"/>
      <c r="H178" s="1950"/>
      <c r="I178" s="42" t="s">
        <v>6</v>
      </c>
      <c r="J178" s="190">
        <f>J176</f>
        <v>26.1</v>
      </c>
      <c r="K178" s="190">
        <f>SUM(K176:K177)</f>
        <v>16.8</v>
      </c>
      <c r="L178" s="209">
        <f>SUM(L176:L177)</f>
        <v>16.8</v>
      </c>
      <c r="M178" s="209">
        <f>SUM(M176:M177)</f>
        <v>16.8</v>
      </c>
      <c r="N178" s="274"/>
      <c r="O178" s="51"/>
      <c r="P178" s="51"/>
      <c r="Q178" s="712"/>
      <c r="R178" s="556"/>
    </row>
    <row r="179" spans="1:18" ht="20.25" customHeight="1" x14ac:dyDescent="0.2">
      <c r="A179" s="1500" t="s">
        <v>5</v>
      </c>
      <c r="B179" s="1501" t="s">
        <v>5</v>
      </c>
      <c r="C179" s="1571" t="s">
        <v>36</v>
      </c>
      <c r="D179" s="1503"/>
      <c r="E179" s="1732" t="s">
        <v>165</v>
      </c>
      <c r="F179" s="275" t="s">
        <v>47</v>
      </c>
      <c r="G179" s="1506" t="s">
        <v>46</v>
      </c>
      <c r="H179" s="1971" t="s">
        <v>78</v>
      </c>
      <c r="I179" s="79"/>
      <c r="J179" s="149"/>
      <c r="K179" s="143"/>
      <c r="L179" s="143"/>
      <c r="M179" s="143"/>
      <c r="N179" s="1893"/>
      <c r="O179" s="141"/>
      <c r="P179" s="141"/>
      <c r="Q179" s="729"/>
      <c r="R179" s="237"/>
    </row>
    <row r="180" spans="1:18" ht="21.75" customHeight="1" x14ac:dyDescent="0.2">
      <c r="A180" s="1489"/>
      <c r="B180" s="1502"/>
      <c r="C180" s="1552"/>
      <c r="D180" s="1491"/>
      <c r="E180" s="1733"/>
      <c r="F180" s="1496"/>
      <c r="G180" s="1488"/>
      <c r="H180" s="1972"/>
      <c r="I180" s="80"/>
      <c r="J180" s="1521"/>
      <c r="K180" s="318"/>
      <c r="L180" s="318"/>
      <c r="M180" s="318"/>
      <c r="N180" s="1894"/>
      <c r="O180" s="142"/>
      <c r="P180" s="142"/>
      <c r="Q180" s="375"/>
      <c r="R180" s="238"/>
    </row>
    <row r="181" spans="1:18" ht="16.5" customHeight="1" x14ac:dyDescent="0.2">
      <c r="A181" s="1489"/>
      <c r="B181" s="1502"/>
      <c r="C181" s="1552"/>
      <c r="D181" s="266" t="s">
        <v>5</v>
      </c>
      <c r="E181" s="1610" t="s">
        <v>190</v>
      </c>
      <c r="F181" s="1736" t="s">
        <v>99</v>
      </c>
      <c r="G181" s="1603"/>
      <c r="H181" s="1964"/>
      <c r="I181" s="1262" t="s">
        <v>24</v>
      </c>
      <c r="J181" s="129">
        <v>444.7</v>
      </c>
      <c r="K181" s="121"/>
      <c r="L181" s="121">
        <v>1000.1</v>
      </c>
      <c r="M181" s="121">
        <v>1546.1</v>
      </c>
      <c r="N181" s="1539" t="s">
        <v>98</v>
      </c>
      <c r="O181" s="1142">
        <v>1</v>
      </c>
      <c r="P181" s="41">
        <v>1</v>
      </c>
      <c r="Q181" s="156"/>
      <c r="R181" s="240"/>
    </row>
    <row r="182" spans="1:18" ht="13.5" customHeight="1" x14ac:dyDescent="0.2">
      <c r="A182" s="1489"/>
      <c r="B182" s="1502"/>
      <c r="C182" s="1552"/>
      <c r="D182" s="267"/>
      <c r="E182" s="1617"/>
      <c r="F182" s="1737"/>
      <c r="G182" s="1603"/>
      <c r="H182" s="1965"/>
      <c r="I182" s="1545" t="s">
        <v>58</v>
      </c>
      <c r="J182" s="1521"/>
      <c r="K182" s="318">
        <v>70.3</v>
      </c>
      <c r="L182" s="318"/>
      <c r="M182" s="318"/>
      <c r="N182" s="1838" t="s">
        <v>136</v>
      </c>
      <c r="O182" s="95"/>
      <c r="P182" s="95"/>
      <c r="Q182" s="155">
        <v>30</v>
      </c>
      <c r="R182" s="905">
        <v>60</v>
      </c>
    </row>
    <row r="183" spans="1:18" ht="12.75" customHeight="1" x14ac:dyDescent="0.2">
      <c r="A183" s="1489"/>
      <c r="B183" s="1502"/>
      <c r="C183" s="1552"/>
      <c r="D183" s="267"/>
      <c r="E183" s="1617"/>
      <c r="F183" s="1737"/>
      <c r="G183" s="1603"/>
      <c r="H183" s="2048"/>
      <c r="I183" s="1545" t="s">
        <v>247</v>
      </c>
      <c r="J183" s="1521">
        <v>21.8</v>
      </c>
      <c r="K183" s="318"/>
      <c r="L183" s="318"/>
      <c r="M183" s="318">
        <v>54.3</v>
      </c>
      <c r="N183" s="1891"/>
      <c r="O183" s="95"/>
      <c r="P183" s="95"/>
      <c r="Q183" s="155"/>
      <c r="R183" s="905"/>
    </row>
    <row r="184" spans="1:18" ht="14.25" customHeight="1" x14ac:dyDescent="0.2">
      <c r="A184" s="1489"/>
      <c r="B184" s="1502"/>
      <c r="C184" s="1552"/>
      <c r="D184" s="1148"/>
      <c r="E184" s="1611"/>
      <c r="F184" s="1738"/>
      <c r="G184" s="1603"/>
      <c r="H184" s="2048"/>
      <c r="I184" s="354" t="s">
        <v>48</v>
      </c>
      <c r="J184" s="1114">
        <v>246.2</v>
      </c>
      <c r="K184" s="122"/>
      <c r="L184" s="122"/>
      <c r="M184" s="122">
        <v>615.4</v>
      </c>
      <c r="N184" s="1540"/>
      <c r="O184" s="90"/>
      <c r="P184" s="90"/>
      <c r="Q184" s="157"/>
      <c r="R184" s="239"/>
    </row>
    <row r="185" spans="1:18" ht="14.25" customHeight="1" x14ac:dyDescent="0.2">
      <c r="A185" s="1489"/>
      <c r="B185" s="1502"/>
      <c r="C185" s="1552"/>
      <c r="D185" s="1951" t="s">
        <v>7</v>
      </c>
      <c r="E185" s="1610" t="s">
        <v>258</v>
      </c>
      <c r="F185" s="1627" t="s">
        <v>65</v>
      </c>
      <c r="G185" s="1603"/>
      <c r="H185" s="1946"/>
      <c r="I185" s="1262" t="s">
        <v>24</v>
      </c>
      <c r="J185" s="353">
        <v>67.599999999999994</v>
      </c>
      <c r="K185" s="121">
        <v>364.5</v>
      </c>
      <c r="L185" s="121">
        <v>965.4</v>
      </c>
      <c r="M185" s="121">
        <v>529.29999999999995</v>
      </c>
      <c r="N185" s="1539" t="s">
        <v>98</v>
      </c>
      <c r="O185" s="41">
        <v>1</v>
      </c>
      <c r="P185" s="41">
        <v>1</v>
      </c>
      <c r="Q185" s="156"/>
      <c r="R185" s="240"/>
    </row>
    <row r="186" spans="1:18" ht="13.5" customHeight="1" x14ac:dyDescent="0.2">
      <c r="A186" s="1489"/>
      <c r="B186" s="1502"/>
      <c r="C186" s="1552"/>
      <c r="D186" s="1750"/>
      <c r="E186" s="1617"/>
      <c r="F186" s="1628"/>
      <c r="G186" s="1603"/>
      <c r="H186" s="1946"/>
      <c r="I186" s="1545" t="s">
        <v>58</v>
      </c>
      <c r="J186" s="1521">
        <v>50.5</v>
      </c>
      <c r="K186" s="1597">
        <f>322.5+20.3</f>
        <v>342.8</v>
      </c>
      <c r="L186" s="318"/>
      <c r="M186" s="318"/>
      <c r="N186" s="1614" t="s">
        <v>137</v>
      </c>
      <c r="O186" s="95"/>
      <c r="P186" s="95">
        <v>30</v>
      </c>
      <c r="Q186" s="155">
        <v>50</v>
      </c>
      <c r="R186" s="905">
        <v>100</v>
      </c>
    </row>
    <row r="187" spans="1:18" ht="13.5" customHeight="1" x14ac:dyDescent="0.2">
      <c r="A187" s="1489"/>
      <c r="B187" s="1502"/>
      <c r="C187" s="1552"/>
      <c r="D187" s="1750"/>
      <c r="E187" s="1617"/>
      <c r="F187" s="1628"/>
      <c r="G187" s="1603"/>
      <c r="H187" s="1946"/>
      <c r="I187" s="1545" t="s">
        <v>428</v>
      </c>
      <c r="J187" s="170"/>
      <c r="K187" s="1597">
        <f>85.6-0.2</f>
        <v>85.4</v>
      </c>
      <c r="L187" s="318">
        <v>153.6</v>
      </c>
      <c r="M187" s="318">
        <v>68.2</v>
      </c>
      <c r="N187" s="1614"/>
      <c r="O187" s="95"/>
      <c r="P187" s="95"/>
      <c r="Q187" s="155"/>
      <c r="R187" s="905"/>
    </row>
    <row r="188" spans="1:18" ht="15" customHeight="1" x14ac:dyDescent="0.2">
      <c r="A188" s="1489"/>
      <c r="B188" s="1502"/>
      <c r="C188" s="1552"/>
      <c r="D188" s="1750"/>
      <c r="E188" s="1617"/>
      <c r="F188" s="1628"/>
      <c r="G188" s="1603"/>
      <c r="H188" s="1946"/>
      <c r="I188" s="1545" t="s">
        <v>429</v>
      </c>
      <c r="J188" s="698"/>
      <c r="K188" s="1600">
        <f>969.9-1.6</f>
        <v>968.3</v>
      </c>
      <c r="L188" s="318">
        <v>1740.3</v>
      </c>
      <c r="M188" s="318">
        <v>772.5</v>
      </c>
      <c r="N188" s="1891"/>
      <c r="O188" s="95"/>
      <c r="P188" s="95"/>
      <c r="Q188" s="155"/>
      <c r="R188" s="905"/>
    </row>
    <row r="189" spans="1:18" ht="15.75" customHeight="1" x14ac:dyDescent="0.2">
      <c r="A189" s="1489"/>
      <c r="B189" s="1502"/>
      <c r="C189" s="1552"/>
      <c r="D189" s="1951" t="s">
        <v>26</v>
      </c>
      <c r="E189" s="1610" t="s">
        <v>465</v>
      </c>
      <c r="F189" s="1727" t="s">
        <v>446</v>
      </c>
      <c r="G189" s="1603"/>
      <c r="H189" s="1961"/>
      <c r="I189" s="1262" t="s">
        <v>24</v>
      </c>
      <c r="J189" s="170">
        <v>148.5</v>
      </c>
      <c r="K189" s="318">
        <v>355.7</v>
      </c>
      <c r="L189" s="121">
        <v>563.29999999999995</v>
      </c>
      <c r="M189" s="121">
        <v>597.29999999999995</v>
      </c>
      <c r="N189" s="1539" t="s">
        <v>98</v>
      </c>
      <c r="O189" s="41">
        <v>1</v>
      </c>
      <c r="P189" s="41"/>
      <c r="Q189" s="156"/>
      <c r="R189" s="240"/>
    </row>
    <row r="190" spans="1:18" ht="16.5" customHeight="1" x14ac:dyDescent="0.2">
      <c r="A190" s="1489"/>
      <c r="B190" s="1502"/>
      <c r="C190" s="1552"/>
      <c r="D190" s="1750"/>
      <c r="E190" s="1617"/>
      <c r="F190" s="1728"/>
      <c r="G190" s="1603"/>
      <c r="H190" s="1961"/>
      <c r="I190" s="1545" t="s">
        <v>429</v>
      </c>
      <c r="J190" s="170"/>
      <c r="K190" s="318">
        <v>370.8</v>
      </c>
      <c r="L190" s="318">
        <v>432.6</v>
      </c>
      <c r="M190" s="318">
        <v>432.6</v>
      </c>
      <c r="N190" s="1530" t="s">
        <v>138</v>
      </c>
      <c r="O190" s="95">
        <v>15</v>
      </c>
      <c r="P190" s="95">
        <v>30</v>
      </c>
      <c r="Q190" s="155">
        <v>60</v>
      </c>
      <c r="R190" s="905">
        <v>100</v>
      </c>
    </row>
    <row r="191" spans="1:18" ht="18" customHeight="1" x14ac:dyDescent="0.2">
      <c r="A191" s="1489"/>
      <c r="B191" s="1502"/>
      <c r="C191" s="1552"/>
      <c r="D191" s="1750"/>
      <c r="E191" s="1617"/>
      <c r="F191" s="1728"/>
      <c r="G191" s="1603"/>
      <c r="H191" s="1961"/>
      <c r="I191" s="1545" t="s">
        <v>58</v>
      </c>
      <c r="J191" s="170"/>
      <c r="K191" s="318">
        <v>133.30000000000001</v>
      </c>
      <c r="L191" s="318"/>
      <c r="M191" s="318"/>
      <c r="N191" s="1530"/>
      <c r="O191" s="95"/>
      <c r="P191" s="95"/>
      <c r="Q191" s="155"/>
      <c r="R191" s="905"/>
    </row>
    <row r="192" spans="1:18" ht="13.5" customHeight="1" x14ac:dyDescent="0.2">
      <c r="A192" s="1489"/>
      <c r="B192" s="1502"/>
      <c r="C192" s="1552"/>
      <c r="D192" s="1750"/>
      <c r="E192" s="1617"/>
      <c r="F192" s="1728"/>
      <c r="G192" s="1603"/>
      <c r="H192" s="1961"/>
      <c r="I192" s="1545" t="s">
        <v>428</v>
      </c>
      <c r="J192" s="1521"/>
      <c r="K192" s="318">
        <v>32.700000000000003</v>
      </c>
      <c r="L192" s="318">
        <v>38.200000000000003</v>
      </c>
      <c r="M192" s="318">
        <v>38.200000000000003</v>
      </c>
      <c r="N192" s="1554"/>
      <c r="O192" s="95"/>
      <c r="P192" s="95"/>
      <c r="Q192" s="155"/>
      <c r="R192" s="905"/>
    </row>
    <row r="193" spans="1:18" ht="13.5" customHeight="1" x14ac:dyDescent="0.2">
      <c r="A193" s="1489"/>
      <c r="B193" s="1502"/>
      <c r="C193" s="1552"/>
      <c r="D193" s="1750"/>
      <c r="E193" s="1617"/>
      <c r="F193" s="1728"/>
      <c r="G193" s="1603"/>
      <c r="H193" s="1961"/>
      <c r="I193" s="1545" t="s">
        <v>247</v>
      </c>
      <c r="J193" s="1521">
        <v>10.7</v>
      </c>
      <c r="K193" s="318"/>
      <c r="L193" s="318"/>
      <c r="M193" s="318"/>
      <c r="N193" s="1554"/>
      <c r="O193" s="95"/>
      <c r="P193" s="95"/>
      <c r="Q193" s="155"/>
      <c r="R193" s="905"/>
    </row>
    <row r="194" spans="1:18" ht="16.5" customHeight="1" x14ac:dyDescent="0.2">
      <c r="A194" s="1489"/>
      <c r="B194" s="1502"/>
      <c r="C194" s="1552"/>
      <c r="D194" s="1967"/>
      <c r="E194" s="1611"/>
      <c r="F194" s="1729"/>
      <c r="G194" s="1603"/>
      <c r="H194" s="1961"/>
      <c r="I194" s="26" t="s">
        <v>48</v>
      </c>
      <c r="J194" s="1114">
        <v>120.6</v>
      </c>
      <c r="K194" s="122"/>
      <c r="L194" s="122"/>
      <c r="M194" s="122"/>
      <c r="N194" s="360"/>
      <c r="O194" s="90"/>
      <c r="P194" s="90"/>
      <c r="Q194" s="157"/>
      <c r="R194" s="239"/>
    </row>
    <row r="195" spans="1:18" ht="15" customHeight="1" x14ac:dyDescent="0.2">
      <c r="A195" s="1489"/>
      <c r="B195" s="1502"/>
      <c r="C195" s="1552"/>
      <c r="D195" s="1491" t="s">
        <v>34</v>
      </c>
      <c r="E195" s="1748" t="s">
        <v>324</v>
      </c>
      <c r="F195" s="1728" t="s">
        <v>448</v>
      </c>
      <c r="G195" s="1488"/>
      <c r="H195" s="1563"/>
      <c r="I195" s="193" t="s">
        <v>58</v>
      </c>
      <c r="J195" s="1521"/>
      <c r="K195" s="193">
        <v>129.6</v>
      </c>
      <c r="L195" s="193"/>
      <c r="M195" s="193"/>
      <c r="N195" s="1530" t="s">
        <v>98</v>
      </c>
      <c r="O195" s="1137">
        <v>1</v>
      </c>
      <c r="P195" s="155">
        <v>1</v>
      </c>
      <c r="Q195" s="155"/>
      <c r="R195" s="905"/>
    </row>
    <row r="196" spans="1:18" ht="13.5" customHeight="1" x14ac:dyDescent="0.2">
      <c r="A196" s="1489"/>
      <c r="B196" s="1502"/>
      <c r="C196" s="1552"/>
      <c r="D196" s="1491"/>
      <c r="E196" s="1748"/>
      <c r="F196" s="1728"/>
      <c r="G196" s="1488"/>
      <c r="H196" s="1562"/>
      <c r="I196" s="193" t="s">
        <v>24</v>
      </c>
      <c r="J196" s="1521">
        <v>129.69999999999999</v>
      </c>
      <c r="K196" s="193"/>
      <c r="L196" s="193">
        <v>62.3</v>
      </c>
      <c r="M196" s="193">
        <v>145.4</v>
      </c>
      <c r="N196" s="1614" t="s">
        <v>188</v>
      </c>
      <c r="O196" s="95"/>
      <c r="P196" s="155"/>
      <c r="Q196" s="155"/>
      <c r="R196" s="905"/>
    </row>
    <row r="197" spans="1:18" ht="14.25" customHeight="1" x14ac:dyDescent="0.2">
      <c r="A197" s="1489"/>
      <c r="B197" s="1502"/>
      <c r="C197" s="1552"/>
      <c r="D197" s="1491"/>
      <c r="E197" s="1749"/>
      <c r="F197" s="1728"/>
      <c r="G197" s="1603"/>
      <c r="H197" s="1961"/>
      <c r="I197" s="193" t="s">
        <v>48</v>
      </c>
      <c r="J197" s="1521"/>
      <c r="K197" s="193"/>
      <c r="L197" s="193">
        <v>706.1</v>
      </c>
      <c r="M197" s="193">
        <v>1647.5</v>
      </c>
      <c r="N197" s="1891"/>
      <c r="O197" s="95"/>
      <c r="P197" s="155"/>
      <c r="Q197" s="155">
        <v>50</v>
      </c>
      <c r="R197" s="905">
        <v>100</v>
      </c>
    </row>
    <row r="198" spans="1:18" ht="15" customHeight="1" x14ac:dyDescent="0.2">
      <c r="A198" s="1489"/>
      <c r="B198" s="1502"/>
      <c r="C198" s="1552"/>
      <c r="D198" s="1559"/>
      <c r="E198" s="1749"/>
      <c r="F198" s="1607"/>
      <c r="G198" s="1603"/>
      <c r="H198" s="1961"/>
      <c r="I198" s="194" t="s">
        <v>247</v>
      </c>
      <c r="J198" s="1114"/>
      <c r="K198" s="122"/>
      <c r="L198" s="122">
        <v>62.3</v>
      </c>
      <c r="M198" s="122">
        <v>145.4</v>
      </c>
      <c r="N198" s="1906"/>
      <c r="O198" s="235"/>
      <c r="P198" s="236"/>
      <c r="Q198" s="157"/>
      <c r="R198" s="239"/>
    </row>
    <row r="199" spans="1:18" ht="18.75" customHeight="1" x14ac:dyDescent="0.2">
      <c r="A199" s="1489"/>
      <c r="B199" s="1502"/>
      <c r="C199" s="1552"/>
      <c r="D199" s="1491" t="s">
        <v>35</v>
      </c>
      <c r="E199" s="1610" t="s">
        <v>189</v>
      </c>
      <c r="F199" s="1727" t="s">
        <v>99</v>
      </c>
      <c r="G199" s="1603"/>
      <c r="H199" s="1961"/>
      <c r="I199" s="193" t="s">
        <v>24</v>
      </c>
      <c r="J199" s="1521">
        <v>45.2</v>
      </c>
      <c r="K199" s="193">
        <v>52.3</v>
      </c>
      <c r="L199" s="193">
        <v>82</v>
      </c>
      <c r="M199" s="193"/>
      <c r="N199" s="1530" t="s">
        <v>98</v>
      </c>
      <c r="O199" s="95">
        <v>1</v>
      </c>
      <c r="P199" s="155">
        <v>1</v>
      </c>
      <c r="Q199" s="155"/>
      <c r="R199" s="905"/>
    </row>
    <row r="200" spans="1:18" ht="21" customHeight="1" x14ac:dyDescent="0.2">
      <c r="A200" s="1489"/>
      <c r="B200" s="1502"/>
      <c r="C200" s="1552"/>
      <c r="D200" s="1491"/>
      <c r="E200" s="1617"/>
      <c r="F200" s="1728"/>
      <c r="G200" s="1603"/>
      <c r="H200" s="1961"/>
      <c r="I200" s="193" t="s">
        <v>429</v>
      </c>
      <c r="J200" s="1521"/>
      <c r="K200" s="193">
        <v>522.79999999999995</v>
      </c>
      <c r="L200" s="193">
        <v>779.5</v>
      </c>
      <c r="M200" s="193"/>
      <c r="N200" s="1614" t="s">
        <v>502</v>
      </c>
      <c r="O200" s="95"/>
      <c r="P200" s="155">
        <v>40</v>
      </c>
      <c r="Q200" s="155">
        <v>100</v>
      </c>
      <c r="R200" s="905"/>
    </row>
    <row r="201" spans="1:18" ht="21" customHeight="1" x14ac:dyDescent="0.2">
      <c r="A201" s="1589"/>
      <c r="B201" s="1591"/>
      <c r="C201" s="1593"/>
      <c r="D201" s="1590"/>
      <c r="E201" s="1617"/>
      <c r="F201" s="1728"/>
      <c r="G201" s="1588"/>
      <c r="H201" s="1594"/>
      <c r="I201" s="193" t="s">
        <v>58</v>
      </c>
      <c r="J201" s="1592"/>
      <c r="K201" s="193">
        <v>28.2</v>
      </c>
      <c r="L201" s="193"/>
      <c r="M201" s="193"/>
      <c r="N201" s="1614"/>
      <c r="O201" s="95"/>
      <c r="P201" s="155"/>
      <c r="Q201" s="155"/>
      <c r="R201" s="905"/>
    </row>
    <row r="202" spans="1:18" ht="17.25" customHeight="1" x14ac:dyDescent="0.2">
      <c r="A202" s="1489"/>
      <c r="B202" s="1502"/>
      <c r="C202" s="1552"/>
      <c r="D202" s="1559"/>
      <c r="E202" s="1611"/>
      <c r="F202" s="1728"/>
      <c r="G202" s="1603"/>
      <c r="H202" s="1961"/>
      <c r="I202" s="194" t="s">
        <v>428</v>
      </c>
      <c r="J202" s="1114"/>
      <c r="K202" s="122">
        <v>46.1</v>
      </c>
      <c r="L202" s="122">
        <v>68.8</v>
      </c>
      <c r="M202" s="122"/>
      <c r="N202" s="1906"/>
      <c r="O202" s="235"/>
      <c r="P202" s="157"/>
      <c r="Q202" s="157"/>
      <c r="R202" s="239"/>
    </row>
    <row r="203" spans="1:18" ht="13.5" customHeight="1" x14ac:dyDescent="0.2">
      <c r="A203" s="1489"/>
      <c r="B203" s="1502"/>
      <c r="C203" s="1552"/>
      <c r="D203" s="1536" t="s">
        <v>28</v>
      </c>
      <c r="E203" s="1741" t="s">
        <v>191</v>
      </c>
      <c r="F203" s="1727" t="s">
        <v>99</v>
      </c>
      <c r="G203" s="1603"/>
      <c r="H203" s="1961"/>
      <c r="I203" s="193" t="s">
        <v>24</v>
      </c>
      <c r="J203" s="1521">
        <v>127.9</v>
      </c>
      <c r="K203" s="318">
        <v>66.8</v>
      </c>
      <c r="L203" s="121">
        <v>320.8</v>
      </c>
      <c r="M203" s="121">
        <v>129.80000000000001</v>
      </c>
      <c r="N203" s="1530" t="s">
        <v>98</v>
      </c>
      <c r="O203" s="221"/>
      <c r="P203" s="196">
        <v>1</v>
      </c>
      <c r="Q203" s="155"/>
      <c r="R203" s="905"/>
    </row>
    <row r="204" spans="1:18" ht="14.25" customHeight="1" x14ac:dyDescent="0.2">
      <c r="A204" s="1489"/>
      <c r="B204" s="1502"/>
      <c r="C204" s="1552"/>
      <c r="D204" s="1536"/>
      <c r="E204" s="1745"/>
      <c r="F204" s="1728"/>
      <c r="G204" s="1603"/>
      <c r="H204" s="1961"/>
      <c r="I204" s="193" t="s">
        <v>58</v>
      </c>
      <c r="J204" s="1521"/>
      <c r="K204" s="318">
        <v>107.3</v>
      </c>
      <c r="L204" s="1256"/>
      <c r="M204" s="1256"/>
      <c r="N204" s="1530"/>
      <c r="O204" s="221"/>
      <c r="P204" s="196"/>
      <c r="Q204" s="155"/>
      <c r="R204" s="905"/>
    </row>
    <row r="205" spans="1:18" ht="18" customHeight="1" x14ac:dyDescent="0.2">
      <c r="A205" s="1489"/>
      <c r="B205" s="1502"/>
      <c r="C205" s="1552"/>
      <c r="D205" s="1536"/>
      <c r="E205" s="1746"/>
      <c r="F205" s="1728"/>
      <c r="G205" s="1603"/>
      <c r="H205" s="1961"/>
      <c r="I205" s="193" t="s">
        <v>48</v>
      </c>
      <c r="J205" s="1521"/>
      <c r="K205" s="318">
        <v>737.4</v>
      </c>
      <c r="L205" s="158">
        <v>1474.9</v>
      </c>
      <c r="M205" s="158">
        <v>245.8</v>
      </c>
      <c r="N205" s="1614" t="s">
        <v>236</v>
      </c>
      <c r="O205" s="95"/>
      <c r="P205" s="155">
        <v>40</v>
      </c>
      <c r="Q205" s="155">
        <v>90</v>
      </c>
      <c r="R205" s="905">
        <v>100</v>
      </c>
    </row>
    <row r="206" spans="1:18" ht="14.25" customHeight="1" x14ac:dyDescent="0.2">
      <c r="A206" s="1489"/>
      <c r="B206" s="1502"/>
      <c r="C206" s="1552"/>
      <c r="D206" s="268"/>
      <c r="E206" s="1742"/>
      <c r="F206" s="1729"/>
      <c r="G206" s="1536"/>
      <c r="H206" s="1563"/>
      <c r="I206" s="194" t="s">
        <v>247</v>
      </c>
      <c r="J206" s="1114"/>
      <c r="K206" s="122">
        <v>65.099999999999994</v>
      </c>
      <c r="L206" s="122">
        <v>130.1</v>
      </c>
      <c r="M206" s="122">
        <v>21.7</v>
      </c>
      <c r="N206" s="1906"/>
      <c r="O206" s="90"/>
      <c r="P206" s="157"/>
      <c r="Q206" s="157"/>
      <c r="R206" s="239"/>
    </row>
    <row r="207" spans="1:18" ht="16.5" customHeight="1" x14ac:dyDescent="0.2">
      <c r="A207" s="1489"/>
      <c r="B207" s="1502"/>
      <c r="C207" s="1552"/>
      <c r="D207" s="1536" t="s">
        <v>36</v>
      </c>
      <c r="E207" s="1890" t="s">
        <v>304</v>
      </c>
      <c r="F207" s="1531"/>
      <c r="G207" s="561"/>
      <c r="H207" s="1563"/>
      <c r="I207" s="193" t="s">
        <v>24</v>
      </c>
      <c r="J207" s="1521">
        <v>2.8</v>
      </c>
      <c r="K207" s="318"/>
      <c r="L207" s="515">
        <v>70.3</v>
      </c>
      <c r="M207" s="515">
        <v>70.3</v>
      </c>
      <c r="N207" s="1286" t="s">
        <v>248</v>
      </c>
      <c r="O207" s="1146">
        <v>1</v>
      </c>
      <c r="P207" s="473"/>
      <c r="Q207" s="707"/>
      <c r="R207" s="746"/>
    </row>
    <row r="208" spans="1:18" ht="14.25" customHeight="1" x14ac:dyDescent="0.2">
      <c r="A208" s="1489"/>
      <c r="B208" s="1502"/>
      <c r="C208" s="1552"/>
      <c r="D208" s="1536"/>
      <c r="E208" s="1944"/>
      <c r="F208" s="1532"/>
      <c r="G208" s="1488"/>
      <c r="H208" s="1563"/>
      <c r="I208" s="193" t="s">
        <v>247</v>
      </c>
      <c r="J208" s="1521"/>
      <c r="K208" s="318"/>
      <c r="L208" s="318">
        <v>70.3</v>
      </c>
      <c r="M208" s="1545">
        <v>70.3</v>
      </c>
      <c r="N208" s="1544" t="s">
        <v>98</v>
      </c>
      <c r="O208" s="474"/>
      <c r="P208" s="475"/>
      <c r="Q208" s="707" t="s">
        <v>249</v>
      </c>
      <c r="R208" s="746"/>
    </row>
    <row r="209" spans="1:18" ht="27.75" customHeight="1" x14ac:dyDescent="0.2">
      <c r="A209" s="1489"/>
      <c r="B209" s="1502"/>
      <c r="C209" s="1552"/>
      <c r="D209" s="268"/>
      <c r="E209" s="1945"/>
      <c r="F209" s="1533"/>
      <c r="G209" s="1488"/>
      <c r="H209" s="1563"/>
      <c r="I209" s="122" t="s">
        <v>48</v>
      </c>
      <c r="J209" s="1114"/>
      <c r="K209" s="122"/>
      <c r="L209" s="122">
        <v>796.7</v>
      </c>
      <c r="M209" s="71">
        <v>796.7</v>
      </c>
      <c r="N209" s="1123" t="s">
        <v>253</v>
      </c>
      <c r="O209" s="476"/>
      <c r="P209" s="476"/>
      <c r="Q209" s="965">
        <v>70</v>
      </c>
      <c r="R209" s="982">
        <v>100</v>
      </c>
    </row>
    <row r="210" spans="1:18" ht="17.25" customHeight="1" x14ac:dyDescent="0.2">
      <c r="A210" s="1489"/>
      <c r="B210" s="1502"/>
      <c r="C210" s="1552"/>
      <c r="D210" s="1536" t="s">
        <v>29</v>
      </c>
      <c r="E210" s="1741" t="s">
        <v>143</v>
      </c>
      <c r="F210" s="1727"/>
      <c r="G210" s="82"/>
      <c r="H210" s="1563"/>
      <c r="I210" s="1456" t="s">
        <v>24</v>
      </c>
      <c r="J210" s="121">
        <f>10</f>
        <v>10</v>
      </c>
      <c r="K210" s="318"/>
      <c r="L210" s="318"/>
      <c r="M210" s="318"/>
      <c r="N210" s="1970" t="s">
        <v>144</v>
      </c>
      <c r="O210" s="230">
        <v>1</v>
      </c>
      <c r="P210" s="197">
        <v>1</v>
      </c>
      <c r="Q210" s="156"/>
      <c r="R210" s="240"/>
    </row>
    <row r="211" spans="1:18" ht="18.75" customHeight="1" x14ac:dyDescent="0.2">
      <c r="A211" s="1489"/>
      <c r="B211" s="1502"/>
      <c r="C211" s="1552"/>
      <c r="D211" s="1536"/>
      <c r="E211" s="1746"/>
      <c r="F211" s="1728"/>
      <c r="G211" s="82"/>
      <c r="H211" s="1563"/>
      <c r="I211" s="193" t="s">
        <v>58</v>
      </c>
      <c r="J211" s="318"/>
      <c r="K211" s="318">
        <v>5</v>
      </c>
      <c r="L211" s="158"/>
      <c r="M211" s="158"/>
      <c r="N211" s="1943"/>
      <c r="O211" s="221"/>
      <c r="P211" s="196"/>
      <c r="Q211" s="155"/>
      <c r="R211" s="905"/>
    </row>
    <row r="212" spans="1:18" ht="9" customHeight="1" x14ac:dyDescent="0.2">
      <c r="A212" s="1489"/>
      <c r="B212" s="1502"/>
      <c r="C212" s="1552"/>
      <c r="D212" s="268"/>
      <c r="E212" s="1742"/>
      <c r="F212" s="1729"/>
      <c r="G212" s="1229"/>
      <c r="H212" s="1550"/>
      <c r="I212" s="1458"/>
      <c r="J212" s="122"/>
      <c r="K212" s="122"/>
      <c r="L212" s="122"/>
      <c r="M212" s="122"/>
      <c r="N212" s="1898"/>
      <c r="O212" s="90"/>
      <c r="P212" s="157"/>
      <c r="Q212" s="157"/>
      <c r="R212" s="239"/>
    </row>
    <row r="213" spans="1:18" ht="15.75" customHeight="1" thickBot="1" x14ac:dyDescent="0.25">
      <c r="A213" s="32"/>
      <c r="B213" s="1519"/>
      <c r="C213" s="387"/>
      <c r="D213" s="390"/>
      <c r="E213" s="400"/>
      <c r="F213" s="398"/>
      <c r="G213" s="399"/>
      <c r="H213" s="389"/>
      <c r="I213" s="27" t="s">
        <v>6</v>
      </c>
      <c r="J213" s="209">
        <f>SUM(J181:J211)</f>
        <v>1426.2</v>
      </c>
      <c r="K213" s="209">
        <f t="shared" ref="K213:M213" si="4">SUM(K181:K211)</f>
        <v>4484.3999999999996</v>
      </c>
      <c r="L213" s="209">
        <f t="shared" si="4"/>
        <v>9517.6</v>
      </c>
      <c r="M213" s="209">
        <f t="shared" si="4"/>
        <v>7926.8</v>
      </c>
      <c r="N213" s="558"/>
      <c r="O213" s="403"/>
      <c r="P213" s="403"/>
      <c r="Q213" s="403"/>
      <c r="R213" s="984"/>
    </row>
    <row r="214" spans="1:18" ht="20.25" customHeight="1" x14ac:dyDescent="0.2">
      <c r="A214" s="1500" t="s">
        <v>5</v>
      </c>
      <c r="B214" s="1501" t="s">
        <v>5</v>
      </c>
      <c r="C214" s="1571" t="s">
        <v>29</v>
      </c>
      <c r="D214" s="1503"/>
      <c r="E214" s="1732" t="s">
        <v>380</v>
      </c>
      <c r="F214" s="275" t="s">
        <v>47</v>
      </c>
      <c r="G214" s="1506" t="s">
        <v>46</v>
      </c>
      <c r="H214" s="1971" t="s">
        <v>78</v>
      </c>
      <c r="I214" s="79"/>
      <c r="J214" s="149"/>
      <c r="K214" s="143"/>
      <c r="L214" s="143"/>
      <c r="M214" s="143"/>
      <c r="N214" s="1893"/>
      <c r="O214" s="141"/>
      <c r="P214" s="141"/>
      <c r="Q214" s="729"/>
      <c r="R214" s="237"/>
    </row>
    <row r="215" spans="1:18" ht="19.5" customHeight="1" x14ac:dyDescent="0.2">
      <c r="A215" s="1489"/>
      <c r="B215" s="1502"/>
      <c r="C215" s="1552"/>
      <c r="D215" s="1491"/>
      <c r="E215" s="1733"/>
      <c r="F215" s="1496"/>
      <c r="G215" s="1488"/>
      <c r="H215" s="1972"/>
      <c r="I215" s="80"/>
      <c r="J215" s="1521"/>
      <c r="K215" s="318"/>
      <c r="L215" s="318"/>
      <c r="M215" s="318"/>
      <c r="N215" s="1894"/>
      <c r="O215" s="142"/>
      <c r="P215" s="142"/>
      <c r="Q215" s="375"/>
      <c r="R215" s="238"/>
    </row>
    <row r="216" spans="1:18" ht="16.5" customHeight="1" x14ac:dyDescent="0.2">
      <c r="A216" s="1489"/>
      <c r="B216" s="1502"/>
      <c r="C216" s="1552"/>
      <c r="D216" s="1560" t="s">
        <v>5</v>
      </c>
      <c r="E216" s="1610" t="s">
        <v>372</v>
      </c>
      <c r="F216" s="1736" t="s">
        <v>371</v>
      </c>
      <c r="G216" s="1603"/>
      <c r="H216" s="1964"/>
      <c r="I216" s="1262" t="s">
        <v>24</v>
      </c>
      <c r="J216" s="129"/>
      <c r="K216" s="121">
        <v>10</v>
      </c>
      <c r="L216" s="121">
        <v>84</v>
      </c>
      <c r="M216" s="121"/>
      <c r="N216" s="1539" t="s">
        <v>98</v>
      </c>
      <c r="O216" s="41"/>
      <c r="P216" s="41">
        <v>1</v>
      </c>
      <c r="Q216" s="156"/>
      <c r="R216" s="240"/>
    </row>
    <row r="217" spans="1:18" ht="12.75" customHeight="1" x14ac:dyDescent="0.2">
      <c r="A217" s="1489"/>
      <c r="B217" s="1502"/>
      <c r="C217" s="1552"/>
      <c r="D217" s="267"/>
      <c r="E217" s="1617"/>
      <c r="F217" s="1737"/>
      <c r="G217" s="1603"/>
      <c r="H217" s="1965"/>
      <c r="I217" s="1545"/>
      <c r="J217" s="1521"/>
      <c r="K217" s="318"/>
      <c r="L217" s="318"/>
      <c r="M217" s="318"/>
      <c r="N217" s="1508" t="s">
        <v>373</v>
      </c>
      <c r="O217" s="95"/>
      <c r="P217" s="95"/>
      <c r="Q217" s="155">
        <v>1</v>
      </c>
      <c r="R217" s="905"/>
    </row>
    <row r="218" spans="1:18" ht="12.75" customHeight="1" x14ac:dyDescent="0.2">
      <c r="A218" s="1489"/>
      <c r="B218" s="1502"/>
      <c r="C218" s="1552"/>
      <c r="D218" s="1148"/>
      <c r="E218" s="1611"/>
      <c r="F218" s="1738"/>
      <c r="G218" s="1699"/>
      <c r="H218" s="1965"/>
      <c r="I218" s="354"/>
      <c r="J218" s="1114"/>
      <c r="K218" s="122"/>
      <c r="L218" s="122"/>
      <c r="M218" s="122"/>
      <c r="N218" s="1540"/>
      <c r="O218" s="90"/>
      <c r="P218" s="90"/>
      <c r="Q218" s="157"/>
      <c r="R218" s="239"/>
    </row>
    <row r="219" spans="1:18" ht="22.5" hidden="1" customHeight="1" x14ac:dyDescent="0.2">
      <c r="A219" s="1489"/>
      <c r="B219" s="1502"/>
      <c r="C219" s="1552"/>
      <c r="D219" s="1750" t="s">
        <v>7</v>
      </c>
      <c r="E219" s="1968" t="s">
        <v>374</v>
      </c>
      <c r="F219" s="1628"/>
      <c r="G219" s="1603"/>
      <c r="H219" s="1946"/>
      <c r="I219" s="1545" t="s">
        <v>24</v>
      </c>
      <c r="J219" s="170"/>
      <c r="K219" s="318"/>
      <c r="L219" s="318"/>
      <c r="M219" s="318"/>
      <c r="N219" s="1530"/>
      <c r="O219" s="95"/>
      <c r="P219" s="41"/>
      <c r="Q219" s="41"/>
      <c r="R219" s="240"/>
    </row>
    <row r="220" spans="1:18" ht="15.75" hidden="1" customHeight="1" x14ac:dyDescent="0.2">
      <c r="A220" s="1489"/>
      <c r="B220" s="1502"/>
      <c r="C220" s="1552"/>
      <c r="D220" s="1967"/>
      <c r="E220" s="1969"/>
      <c r="F220" s="1629"/>
      <c r="G220" s="1699"/>
      <c r="H220" s="1964"/>
      <c r="I220" s="354"/>
      <c r="J220" s="698"/>
      <c r="K220" s="122"/>
      <c r="L220" s="122"/>
      <c r="M220" s="122"/>
      <c r="N220" s="360"/>
      <c r="O220" s="90"/>
      <c r="P220" s="90"/>
      <c r="Q220" s="90"/>
      <c r="R220" s="905"/>
    </row>
    <row r="221" spans="1:18" ht="15.75" customHeight="1" thickBot="1" x14ac:dyDescent="0.25">
      <c r="A221" s="32"/>
      <c r="B221" s="1519"/>
      <c r="C221" s="387"/>
      <c r="D221" s="996"/>
      <c r="E221" s="400"/>
      <c r="F221" s="398"/>
      <c r="G221" s="399"/>
      <c r="H221" s="389"/>
      <c r="I221" s="27" t="s">
        <v>6</v>
      </c>
      <c r="J221" s="209">
        <f>SUM(J216:J220)</f>
        <v>0</v>
      </c>
      <c r="K221" s="209">
        <f>SUM(K216:K220)</f>
        <v>10</v>
      </c>
      <c r="L221" s="209">
        <f t="shared" ref="L221:M221" si="5">SUM(L216:L220)</f>
        <v>84</v>
      </c>
      <c r="M221" s="209">
        <f t="shared" si="5"/>
        <v>0</v>
      </c>
      <c r="N221" s="558"/>
      <c r="O221" s="403"/>
      <c r="P221" s="403"/>
      <c r="Q221" s="403"/>
      <c r="R221" s="984"/>
    </row>
    <row r="222" spans="1:18" ht="14.25" customHeight="1" thickBot="1" x14ac:dyDescent="0.25">
      <c r="A222" s="33" t="s">
        <v>5</v>
      </c>
      <c r="B222" s="85" t="s">
        <v>5</v>
      </c>
      <c r="C222" s="1754" t="s">
        <v>8</v>
      </c>
      <c r="D222" s="1755"/>
      <c r="E222" s="1755"/>
      <c r="F222" s="1755"/>
      <c r="G222" s="1755"/>
      <c r="H222" s="1755"/>
      <c r="I222" s="1756"/>
      <c r="J222" s="492">
        <f>SUM(J213,J175,J172,J145,J82,J69,J178,J221)</f>
        <v>10805.8</v>
      </c>
      <c r="K222" s="492">
        <f>SUM(K213,K175,K172,K145,K82,K69,K178,K221)</f>
        <v>13070</v>
      </c>
      <c r="L222" s="492">
        <f>SUM(L213,L175,L172,L145,L82,L69,L178,L221)</f>
        <v>17661.900000000001</v>
      </c>
      <c r="M222" s="492">
        <f>SUM(M213,M175,M172,M145,M82,M69,M178,M221)</f>
        <v>16113.2</v>
      </c>
      <c r="N222" s="325"/>
      <c r="O222" s="325"/>
      <c r="P222" s="325"/>
      <c r="Q222" s="325"/>
      <c r="R222" s="277"/>
    </row>
    <row r="223" spans="1:18" ht="17.25" customHeight="1" thickBot="1" x14ac:dyDescent="0.25">
      <c r="A223" s="33" t="s">
        <v>5</v>
      </c>
      <c r="B223" s="85" t="s">
        <v>7</v>
      </c>
      <c r="C223" s="1757" t="s">
        <v>42</v>
      </c>
      <c r="D223" s="1758"/>
      <c r="E223" s="1758"/>
      <c r="F223" s="1758"/>
      <c r="G223" s="1758"/>
      <c r="H223" s="1758"/>
      <c r="I223" s="1758"/>
      <c r="J223" s="1759"/>
      <c r="K223" s="1758"/>
      <c r="L223" s="1758"/>
      <c r="M223" s="1758"/>
      <c r="N223" s="1758"/>
      <c r="O223" s="1758"/>
      <c r="P223" s="1758"/>
      <c r="Q223" s="1758"/>
      <c r="R223" s="1760"/>
    </row>
    <row r="224" spans="1:18" ht="27.75" customHeight="1" x14ac:dyDescent="0.2">
      <c r="A224" s="96" t="s">
        <v>5</v>
      </c>
      <c r="B224" s="133" t="s">
        <v>7</v>
      </c>
      <c r="C224" s="402" t="s">
        <v>5</v>
      </c>
      <c r="D224" s="264"/>
      <c r="E224" s="265" t="s">
        <v>83</v>
      </c>
      <c r="F224" s="134"/>
      <c r="G224" s="63">
        <v>6</v>
      </c>
      <c r="H224" s="1955" t="s">
        <v>81</v>
      </c>
      <c r="I224" s="59"/>
      <c r="J224" s="148"/>
      <c r="K224" s="212"/>
      <c r="L224" s="212"/>
      <c r="M224" s="1213"/>
      <c r="N224" s="1214"/>
      <c r="O224" s="200"/>
      <c r="P224" s="195"/>
      <c r="Q224" s="195"/>
      <c r="R224" s="106"/>
    </row>
    <row r="225" spans="1:18" ht="18" customHeight="1" x14ac:dyDescent="0.2">
      <c r="A225" s="97"/>
      <c r="B225" s="284"/>
      <c r="C225" s="394"/>
      <c r="D225" s="139" t="s">
        <v>5</v>
      </c>
      <c r="E225" s="1763" t="s">
        <v>52</v>
      </c>
      <c r="F225" s="1496"/>
      <c r="G225" s="64"/>
      <c r="H225" s="1956"/>
      <c r="I225" s="65" t="s">
        <v>24</v>
      </c>
      <c r="J225" s="1218">
        <v>35.5</v>
      </c>
      <c r="K225" s="1305">
        <v>39</v>
      </c>
      <c r="L225" s="1305">
        <v>39</v>
      </c>
      <c r="M225" s="1219">
        <v>39</v>
      </c>
      <c r="N225" s="425" t="s">
        <v>139</v>
      </c>
      <c r="O225" s="602">
        <v>350</v>
      </c>
      <c r="P225" s="603">
        <v>350</v>
      </c>
      <c r="Q225" s="993">
        <v>350</v>
      </c>
      <c r="R225" s="604">
        <v>350</v>
      </c>
    </row>
    <row r="226" spans="1:18" ht="28.5" customHeight="1" x14ac:dyDescent="0.2">
      <c r="A226" s="97"/>
      <c r="B226" s="284"/>
      <c r="C226" s="394"/>
      <c r="D226" s="68"/>
      <c r="E226" s="1763"/>
      <c r="F226" s="1496"/>
      <c r="G226" s="64"/>
      <c r="H226" s="1956"/>
      <c r="I226" s="66" t="s">
        <v>58</v>
      </c>
      <c r="J226" s="120"/>
      <c r="K226" s="318"/>
      <c r="L226" s="318"/>
      <c r="M226" s="1521"/>
      <c r="N226" s="1544" t="s">
        <v>140</v>
      </c>
      <c r="O226" s="203">
        <v>300</v>
      </c>
      <c r="P226" s="605">
        <v>300</v>
      </c>
      <c r="Q226" s="563">
        <v>300</v>
      </c>
      <c r="R226" s="606">
        <v>300</v>
      </c>
    </row>
    <row r="227" spans="1:18" ht="33" customHeight="1" x14ac:dyDescent="0.2">
      <c r="A227" s="97"/>
      <c r="B227" s="284"/>
      <c r="C227" s="1552"/>
      <c r="D227" s="140"/>
      <c r="E227" s="1752"/>
      <c r="F227" s="1497"/>
      <c r="G227" s="64"/>
      <c r="H227" s="1956"/>
      <c r="I227" s="67"/>
      <c r="J227" s="119"/>
      <c r="K227" s="122"/>
      <c r="L227" s="122"/>
      <c r="M227" s="1114"/>
      <c r="N227" s="1123" t="s">
        <v>88</v>
      </c>
      <c r="O227" s="599">
        <v>36</v>
      </c>
      <c r="P227" s="600">
        <v>36</v>
      </c>
      <c r="Q227" s="564">
        <v>36</v>
      </c>
      <c r="R227" s="601">
        <v>36</v>
      </c>
    </row>
    <row r="228" spans="1:18" ht="14.25" customHeight="1" x14ac:dyDescent="0.2">
      <c r="A228" s="97"/>
      <c r="B228" s="284"/>
      <c r="C228" s="394"/>
      <c r="D228" s="1536" t="s">
        <v>7</v>
      </c>
      <c r="E228" s="1751" t="s">
        <v>252</v>
      </c>
      <c r="F228" s="1496"/>
      <c r="G228" s="64"/>
      <c r="H228" s="1546"/>
      <c r="I228" s="65" t="s">
        <v>24</v>
      </c>
      <c r="J228" s="146">
        <v>530.79999999999995</v>
      </c>
      <c r="K228" s="121">
        <v>202</v>
      </c>
      <c r="L228" s="121">
        <v>202</v>
      </c>
      <c r="M228" s="129">
        <v>202</v>
      </c>
      <c r="N228" s="1837" t="s">
        <v>113</v>
      </c>
      <c r="O228" s="458">
        <v>18</v>
      </c>
      <c r="P228" s="458">
        <v>18</v>
      </c>
      <c r="Q228" s="772">
        <v>18</v>
      </c>
      <c r="R228" s="459">
        <v>18</v>
      </c>
    </row>
    <row r="229" spans="1:18" ht="13.5" customHeight="1" x14ac:dyDescent="0.2">
      <c r="A229" s="97"/>
      <c r="B229" s="284"/>
      <c r="C229" s="394"/>
      <c r="D229" s="68"/>
      <c r="E229" s="1816"/>
      <c r="F229" s="1496"/>
      <c r="G229" s="64"/>
      <c r="H229" s="1546"/>
      <c r="I229" s="66" t="s">
        <v>58</v>
      </c>
      <c r="J229" s="120"/>
      <c r="K229" s="318">
        <f>11.8+13.8+10</f>
        <v>35.6</v>
      </c>
      <c r="L229" s="318"/>
      <c r="M229" s="1521"/>
      <c r="N229" s="1985"/>
      <c r="O229" s="460"/>
      <c r="P229" s="460"/>
      <c r="Q229" s="460"/>
      <c r="R229" s="461"/>
    </row>
    <row r="230" spans="1:18" ht="27.75" customHeight="1" x14ac:dyDescent="0.2">
      <c r="A230" s="97"/>
      <c r="B230" s="284"/>
      <c r="C230" s="394"/>
      <c r="D230" s="68"/>
      <c r="E230" s="1816"/>
      <c r="F230" s="1496"/>
      <c r="G230" s="64"/>
      <c r="H230" s="1546"/>
      <c r="I230" s="1206" t="s">
        <v>24</v>
      </c>
      <c r="J230" s="1073"/>
      <c r="K230" s="184">
        <v>20.3</v>
      </c>
      <c r="L230" s="184">
        <v>4</v>
      </c>
      <c r="M230" s="130">
        <v>4</v>
      </c>
      <c r="N230" s="108" t="s">
        <v>108</v>
      </c>
      <c r="O230" s="205">
        <v>32</v>
      </c>
      <c r="P230" s="376">
        <v>25</v>
      </c>
      <c r="Q230" s="773">
        <v>5</v>
      </c>
      <c r="R230" s="378">
        <v>5</v>
      </c>
    </row>
    <row r="231" spans="1:18" ht="18.75" customHeight="1" x14ac:dyDescent="0.2">
      <c r="A231" s="97"/>
      <c r="B231" s="284"/>
      <c r="C231" s="394"/>
      <c r="D231" s="68"/>
      <c r="E231" s="1816"/>
      <c r="F231" s="103"/>
      <c r="G231" s="93"/>
      <c r="H231" s="1546"/>
      <c r="I231" s="1206" t="s">
        <v>24</v>
      </c>
      <c r="J231" s="1073"/>
      <c r="K231" s="184">
        <v>15</v>
      </c>
      <c r="L231" s="184">
        <v>15</v>
      </c>
      <c r="M231" s="130">
        <v>15</v>
      </c>
      <c r="N231" s="1230" t="s">
        <v>44</v>
      </c>
      <c r="O231" s="306">
        <v>57</v>
      </c>
      <c r="P231" s="496">
        <v>57</v>
      </c>
      <c r="Q231" s="496">
        <v>57</v>
      </c>
      <c r="R231" s="497">
        <v>57</v>
      </c>
    </row>
    <row r="232" spans="1:18" ht="25.5" customHeight="1" x14ac:dyDescent="0.2">
      <c r="A232" s="97"/>
      <c r="B232" s="284"/>
      <c r="C232" s="394"/>
      <c r="D232" s="68"/>
      <c r="E232" s="1816"/>
      <c r="F232" s="103"/>
      <c r="G232" s="93"/>
      <c r="H232" s="1546"/>
      <c r="I232" s="1216" t="s">
        <v>24</v>
      </c>
      <c r="J232" s="1099"/>
      <c r="K232" s="186">
        <v>3.8</v>
      </c>
      <c r="L232" s="186"/>
      <c r="M232" s="187"/>
      <c r="N232" s="1230" t="s">
        <v>107</v>
      </c>
      <c r="O232" s="306">
        <v>1</v>
      </c>
      <c r="P232" s="537">
        <v>1</v>
      </c>
      <c r="Q232" s="496"/>
      <c r="R232" s="497"/>
    </row>
    <row r="233" spans="1:18" ht="28.5" customHeight="1" x14ac:dyDescent="0.2">
      <c r="A233" s="97"/>
      <c r="B233" s="284"/>
      <c r="C233" s="394"/>
      <c r="D233" s="68"/>
      <c r="E233" s="1510"/>
      <c r="F233" s="103"/>
      <c r="G233" s="93"/>
      <c r="H233" s="1546"/>
      <c r="I233" s="1206" t="s">
        <v>24</v>
      </c>
      <c r="J233" s="1073"/>
      <c r="K233" s="184">
        <v>110</v>
      </c>
      <c r="L233" s="184">
        <v>110</v>
      </c>
      <c r="M233" s="130">
        <v>110</v>
      </c>
      <c r="N233" s="1217" t="s">
        <v>407</v>
      </c>
      <c r="O233" s="1207">
        <v>7.3</v>
      </c>
      <c r="P233" s="1208">
        <v>7.5</v>
      </c>
      <c r="Q233" s="1209">
        <v>7.5</v>
      </c>
      <c r="R233" s="1210">
        <v>7.5</v>
      </c>
    </row>
    <row r="234" spans="1:18" ht="42.75" customHeight="1" x14ac:dyDescent="0.2">
      <c r="A234" s="97"/>
      <c r="B234" s="284"/>
      <c r="C234" s="394"/>
      <c r="D234" s="68"/>
      <c r="E234" s="1510"/>
      <c r="F234" s="103"/>
      <c r="G234" s="93"/>
      <c r="H234" s="1546"/>
      <c r="I234" s="1184" t="s">
        <v>24</v>
      </c>
      <c r="J234" s="1073"/>
      <c r="K234" s="184">
        <v>35.200000000000003</v>
      </c>
      <c r="L234" s="184"/>
      <c r="M234" s="130"/>
      <c r="N234" s="1217" t="s">
        <v>231</v>
      </c>
      <c r="O234" s="205">
        <v>50</v>
      </c>
      <c r="P234" s="376">
        <v>100</v>
      </c>
      <c r="Q234" s="773"/>
      <c r="R234" s="378"/>
    </row>
    <row r="235" spans="1:18" ht="21" customHeight="1" x14ac:dyDescent="0.2">
      <c r="A235" s="97"/>
      <c r="B235" s="284"/>
      <c r="C235" s="394"/>
      <c r="D235" s="68"/>
      <c r="E235" s="1510"/>
      <c r="F235" s="103"/>
      <c r="G235" s="93"/>
      <c r="H235" s="1546"/>
      <c r="I235" s="1206" t="s">
        <v>24</v>
      </c>
      <c r="J235" s="1073"/>
      <c r="K235" s="184"/>
      <c r="L235" s="184">
        <v>7.5</v>
      </c>
      <c r="M235" s="130"/>
      <c r="N235" s="1231" t="s">
        <v>228</v>
      </c>
      <c r="O235" s="205">
        <v>150</v>
      </c>
      <c r="P235" s="376"/>
      <c r="Q235" s="773">
        <v>80</v>
      </c>
      <c r="R235" s="378"/>
    </row>
    <row r="236" spans="1:18" ht="29.25" customHeight="1" x14ac:dyDescent="0.2">
      <c r="A236" s="97"/>
      <c r="B236" s="284"/>
      <c r="C236" s="394"/>
      <c r="D236" s="68"/>
      <c r="E236" s="1510"/>
      <c r="F236" s="103"/>
      <c r="G236" s="93"/>
      <c r="H236" s="1546"/>
      <c r="I236" s="1206" t="s">
        <v>24</v>
      </c>
      <c r="J236" s="1073"/>
      <c r="K236" s="184">
        <v>140</v>
      </c>
      <c r="L236" s="184">
        <v>140</v>
      </c>
      <c r="M236" s="130"/>
      <c r="N236" s="1217" t="s">
        <v>408</v>
      </c>
      <c r="O236" s="205">
        <v>10</v>
      </c>
      <c r="P236" s="376">
        <v>50</v>
      </c>
      <c r="Q236" s="773">
        <v>100</v>
      </c>
      <c r="R236" s="378"/>
    </row>
    <row r="237" spans="1:18" ht="30.75" customHeight="1" x14ac:dyDescent="0.2">
      <c r="A237" s="97"/>
      <c r="B237" s="284"/>
      <c r="C237" s="394"/>
      <c r="D237" s="68"/>
      <c r="E237" s="1510"/>
      <c r="F237" s="103"/>
      <c r="G237" s="93"/>
      <c r="H237" s="1546"/>
      <c r="I237" s="1206" t="s">
        <v>24</v>
      </c>
      <c r="J237" s="1185"/>
      <c r="K237" s="184"/>
      <c r="L237" s="1271">
        <v>80</v>
      </c>
      <c r="M237" s="1271"/>
      <c r="N237" s="1217" t="s">
        <v>409</v>
      </c>
      <c r="O237" s="205">
        <v>10</v>
      </c>
      <c r="P237" s="376">
        <v>10</v>
      </c>
      <c r="Q237" s="1272">
        <v>100</v>
      </c>
      <c r="R237" s="1270"/>
    </row>
    <row r="238" spans="1:18" ht="27" customHeight="1" x14ac:dyDescent="0.2">
      <c r="A238" s="97"/>
      <c r="B238" s="284"/>
      <c r="C238" s="394"/>
      <c r="D238" s="68"/>
      <c r="E238" s="1510"/>
      <c r="F238" s="103"/>
      <c r="G238" s="93"/>
      <c r="H238" s="1546"/>
      <c r="I238" s="66"/>
      <c r="J238" s="126"/>
      <c r="K238" s="182"/>
      <c r="L238" s="182"/>
      <c r="M238" s="607"/>
      <c r="N238" s="1215" t="s">
        <v>229</v>
      </c>
      <c r="O238" s="1211">
        <v>1700</v>
      </c>
      <c r="P238" s="377"/>
      <c r="Q238" s="774"/>
      <c r="R238" s="107"/>
    </row>
    <row r="239" spans="1:18" ht="54" customHeight="1" x14ac:dyDescent="0.2">
      <c r="A239" s="97"/>
      <c r="B239" s="284"/>
      <c r="C239" s="394"/>
      <c r="D239" s="140"/>
      <c r="E239" s="401"/>
      <c r="F239" s="104"/>
      <c r="G239" s="997"/>
      <c r="H239" s="77"/>
      <c r="I239" s="67"/>
      <c r="J239" s="127"/>
      <c r="K239" s="211"/>
      <c r="L239" s="211"/>
      <c r="M239" s="609"/>
      <c r="N239" s="1245" t="s">
        <v>230</v>
      </c>
      <c r="O239" s="1246">
        <v>100</v>
      </c>
      <c r="P239" s="408"/>
      <c r="Q239" s="994"/>
      <c r="R239" s="498"/>
    </row>
    <row r="240" spans="1:18" ht="15.75" customHeight="1" thickBot="1" x14ac:dyDescent="0.25">
      <c r="A240" s="32"/>
      <c r="B240" s="1519"/>
      <c r="C240" s="387"/>
      <c r="D240" s="996"/>
      <c r="E240" s="400"/>
      <c r="F240" s="398"/>
      <c r="G240" s="399"/>
      <c r="H240" s="389"/>
      <c r="I240" s="27" t="s">
        <v>6</v>
      </c>
      <c r="J240" s="209">
        <f>SUM(J225:J237)</f>
        <v>566.29999999999995</v>
      </c>
      <c r="K240" s="209">
        <f>SUM(K225:K237)</f>
        <v>600.9</v>
      </c>
      <c r="L240" s="209">
        <f t="shared" ref="L240:M240" si="6">SUM(L225:L237)</f>
        <v>597.5</v>
      </c>
      <c r="M240" s="209">
        <f t="shared" si="6"/>
        <v>370</v>
      </c>
      <c r="N240" s="388"/>
      <c r="O240" s="403"/>
      <c r="P240" s="403"/>
      <c r="Q240" s="403"/>
      <c r="R240" s="1212"/>
    </row>
    <row r="241" spans="1:20" ht="14.25" customHeight="1" thickBot="1" x14ac:dyDescent="0.25">
      <c r="A241" s="34" t="s">
        <v>5</v>
      </c>
      <c r="B241" s="8" t="s">
        <v>7</v>
      </c>
      <c r="C241" s="1755" t="s">
        <v>8</v>
      </c>
      <c r="D241" s="1755"/>
      <c r="E241" s="1755"/>
      <c r="F241" s="1755"/>
      <c r="G241" s="1755"/>
      <c r="H241" s="1755"/>
      <c r="I241" s="1755"/>
      <c r="J241" s="125">
        <f t="shared" ref="J241:M241" si="7">J240</f>
        <v>566.29999999999995</v>
      </c>
      <c r="K241" s="128">
        <f t="shared" si="7"/>
        <v>600.9</v>
      </c>
      <c r="L241" s="125">
        <f t="shared" ref="L241" si="8">L240</f>
        <v>597.5</v>
      </c>
      <c r="M241" s="125">
        <f t="shared" si="7"/>
        <v>370</v>
      </c>
      <c r="N241" s="325"/>
      <c r="O241" s="325"/>
      <c r="P241" s="325"/>
      <c r="Q241" s="325"/>
      <c r="R241" s="277"/>
    </row>
    <row r="242" spans="1:20" ht="17.25" customHeight="1" thickBot="1" x14ac:dyDescent="0.25">
      <c r="A242" s="33" t="s">
        <v>5</v>
      </c>
      <c r="B242" s="8" t="s">
        <v>26</v>
      </c>
      <c r="C242" s="1765" t="s">
        <v>153</v>
      </c>
      <c r="D242" s="1766"/>
      <c r="E242" s="1766"/>
      <c r="F242" s="1766"/>
      <c r="G242" s="1766"/>
      <c r="H242" s="1766"/>
      <c r="I242" s="1766"/>
      <c r="J242" s="1966"/>
      <c r="K242" s="1966"/>
      <c r="L242" s="1966"/>
      <c r="M242" s="1966"/>
      <c r="N242" s="1966"/>
      <c r="O242" s="1966"/>
      <c r="P242" s="1966"/>
      <c r="Q242" s="1966"/>
      <c r="R242" s="279"/>
    </row>
    <row r="243" spans="1:20" ht="27.75" customHeight="1" x14ac:dyDescent="0.2">
      <c r="A243" s="335" t="s">
        <v>5</v>
      </c>
      <c r="B243" s="326" t="s">
        <v>26</v>
      </c>
      <c r="C243" s="1564" t="s">
        <v>5</v>
      </c>
      <c r="D243" s="500"/>
      <c r="E243" s="501" t="s">
        <v>103</v>
      </c>
      <c r="F243" s="349"/>
      <c r="G243" s="1128">
        <v>6</v>
      </c>
      <c r="H243" s="1130"/>
      <c r="I243" s="502"/>
      <c r="J243" s="504"/>
      <c r="K243" s="503"/>
      <c r="L243" s="504"/>
      <c r="M243" s="998"/>
      <c r="N243" s="273"/>
      <c r="O243" s="505"/>
      <c r="P243" s="505"/>
      <c r="Q243" s="540"/>
      <c r="R243" s="541"/>
    </row>
    <row r="244" spans="1:20" ht="14.25" customHeight="1" x14ac:dyDescent="0.2">
      <c r="A244" s="335"/>
      <c r="B244" s="326"/>
      <c r="C244" s="1564"/>
      <c r="D244" s="60" t="s">
        <v>5</v>
      </c>
      <c r="E244" s="1977" t="s">
        <v>425</v>
      </c>
      <c r="F244" s="255" t="s">
        <v>47</v>
      </c>
      <c r="G244" s="1128"/>
      <c r="H244" s="1986" t="s">
        <v>102</v>
      </c>
      <c r="I244" s="1545" t="s">
        <v>24</v>
      </c>
      <c r="J244" s="217">
        <v>851.8</v>
      </c>
      <c r="K244" s="144">
        <f>1400-300</f>
        <v>1100</v>
      </c>
      <c r="L244" s="129">
        <f>1480.5-200</f>
        <v>1280.5</v>
      </c>
      <c r="M244" s="121">
        <f>1500-200</f>
        <v>1300</v>
      </c>
      <c r="N244" s="252"/>
      <c r="O244" s="253"/>
      <c r="P244" s="3"/>
      <c r="Q244" s="995"/>
      <c r="R244" s="254"/>
    </row>
    <row r="245" spans="1:20" ht="14.25" customHeight="1" x14ac:dyDescent="0.2">
      <c r="A245" s="335"/>
      <c r="B245" s="326"/>
      <c r="C245" s="1564"/>
      <c r="D245" s="60"/>
      <c r="E245" s="1978"/>
      <c r="F245" s="255"/>
      <c r="G245" s="1128"/>
      <c r="H245" s="1987"/>
      <c r="I245" s="1545" t="s">
        <v>58</v>
      </c>
      <c r="J245" s="1521">
        <v>556.70000000000005</v>
      </c>
      <c r="K245" s="144">
        <v>100</v>
      </c>
      <c r="L245" s="1521"/>
      <c r="M245" s="318"/>
      <c r="N245" s="379"/>
      <c r="O245" s="243"/>
      <c r="P245" s="591"/>
      <c r="Q245" s="797"/>
      <c r="R245" s="381"/>
    </row>
    <row r="246" spans="1:20" ht="11.25" customHeight="1" x14ac:dyDescent="0.2">
      <c r="A246" s="335"/>
      <c r="B246" s="326"/>
      <c r="C246" s="1564"/>
      <c r="D246" s="60"/>
      <c r="E246" s="1978"/>
      <c r="F246" s="255"/>
      <c r="G246" s="1128"/>
      <c r="H246" s="1987"/>
      <c r="I246" s="1545" t="s">
        <v>58</v>
      </c>
      <c r="J246" s="1521"/>
      <c r="K246" s="144">
        <v>196.7</v>
      </c>
      <c r="L246" s="1521"/>
      <c r="M246" s="318"/>
      <c r="N246" s="379"/>
      <c r="O246" s="243"/>
      <c r="P246" s="591"/>
      <c r="Q246" s="797"/>
      <c r="R246" s="381"/>
    </row>
    <row r="247" spans="1:20" ht="15" customHeight="1" x14ac:dyDescent="0.2">
      <c r="A247" s="335"/>
      <c r="B247" s="326"/>
      <c r="C247" s="1564"/>
      <c r="D247" s="60"/>
      <c r="E247" s="350" t="s">
        <v>158</v>
      </c>
      <c r="F247" s="255"/>
      <c r="G247" s="1128"/>
      <c r="H247" s="1987"/>
      <c r="I247" s="1545"/>
      <c r="J247" s="1520"/>
      <c r="K247" s="465"/>
      <c r="L247" s="1520"/>
      <c r="M247" s="1342"/>
      <c r="N247" s="462" t="s">
        <v>410</v>
      </c>
      <c r="O247" s="463">
        <v>10</v>
      </c>
      <c r="P247" s="467">
        <v>10</v>
      </c>
      <c r="Q247" s="798">
        <v>10</v>
      </c>
      <c r="R247" s="468">
        <v>10</v>
      </c>
    </row>
    <row r="248" spans="1:20" ht="13.5" customHeight="1" x14ac:dyDescent="0.2">
      <c r="A248" s="335"/>
      <c r="B248" s="326"/>
      <c r="C248" s="1564"/>
      <c r="D248" s="60"/>
      <c r="E248" s="1770" t="s">
        <v>447</v>
      </c>
      <c r="F248" s="255"/>
      <c r="G248" s="1128"/>
      <c r="H248" s="1556"/>
      <c r="I248" s="1545"/>
      <c r="J248" s="1521"/>
      <c r="K248" s="144"/>
      <c r="L248" s="1521"/>
      <c r="M248" s="318"/>
      <c r="N248" s="1772" t="s">
        <v>343</v>
      </c>
      <c r="O248" s="513">
        <v>247</v>
      </c>
      <c r="P248" s="510">
        <f>398+182</f>
        <v>580</v>
      </c>
      <c r="Q248" s="799">
        <v>585</v>
      </c>
      <c r="R248" s="511">
        <v>596</v>
      </c>
    </row>
    <row r="249" spans="1:20" ht="13.5" customHeight="1" x14ac:dyDescent="0.2">
      <c r="A249" s="335"/>
      <c r="B249" s="326"/>
      <c r="C249" s="1564"/>
      <c r="D249" s="60"/>
      <c r="E249" s="1982"/>
      <c r="F249" s="255"/>
      <c r="G249" s="1128"/>
      <c r="H249" s="1556"/>
      <c r="I249" s="1545"/>
      <c r="J249" s="1521"/>
      <c r="K249" s="144"/>
      <c r="L249" s="1521"/>
      <c r="M249" s="318"/>
      <c r="N249" s="1888"/>
      <c r="O249" s="514"/>
      <c r="P249" s="1048"/>
      <c r="Q249" s="1049"/>
      <c r="R249" s="1050"/>
    </row>
    <row r="250" spans="1:20" ht="26.25" customHeight="1" x14ac:dyDescent="0.2">
      <c r="A250" s="335"/>
      <c r="B250" s="326"/>
      <c r="C250" s="1564"/>
      <c r="D250" s="60"/>
      <c r="E250" s="380" t="s">
        <v>424</v>
      </c>
      <c r="F250" s="255"/>
      <c r="G250" s="1128"/>
      <c r="H250" s="1126"/>
      <c r="I250" s="1545"/>
      <c r="J250" s="1520"/>
      <c r="K250" s="465"/>
      <c r="L250" s="1520"/>
      <c r="M250" s="1342"/>
      <c r="N250" s="55" t="s">
        <v>184</v>
      </c>
      <c r="O250" s="430">
        <v>23.4</v>
      </c>
      <c r="P250" s="1076">
        <v>5.8</v>
      </c>
      <c r="Q250" s="798">
        <v>7</v>
      </c>
      <c r="R250" s="468">
        <v>7</v>
      </c>
      <c r="T250" s="291"/>
    </row>
    <row r="251" spans="1:20" ht="24.75" customHeight="1" x14ac:dyDescent="0.2">
      <c r="A251" s="1632"/>
      <c r="B251" s="1633"/>
      <c r="C251" s="1992"/>
      <c r="D251" s="1979" t="s">
        <v>7</v>
      </c>
      <c r="E251" s="1983" t="s">
        <v>159</v>
      </c>
      <c r="F251" s="1881"/>
      <c r="G251" s="1128"/>
      <c r="H251" s="1981" t="s">
        <v>273</v>
      </c>
      <c r="I251" s="1262" t="s">
        <v>24</v>
      </c>
      <c r="J251" s="129">
        <v>2.1</v>
      </c>
      <c r="K251" s="129">
        <v>2.1</v>
      </c>
      <c r="L251" s="129"/>
      <c r="M251" s="121"/>
      <c r="N251" s="1570" t="s">
        <v>179</v>
      </c>
      <c r="O251" s="207">
        <v>1</v>
      </c>
      <c r="P251" s="207">
        <v>1</v>
      </c>
      <c r="Q251" s="711"/>
      <c r="R251" s="244"/>
    </row>
    <row r="252" spans="1:20" ht="26.25" customHeight="1" x14ac:dyDescent="0.2">
      <c r="A252" s="1632"/>
      <c r="B252" s="1633"/>
      <c r="C252" s="1992"/>
      <c r="D252" s="1980"/>
      <c r="E252" s="1984"/>
      <c r="F252" s="1882"/>
      <c r="G252" s="1129"/>
      <c r="H252" s="1964"/>
      <c r="I252" s="354"/>
      <c r="J252" s="1114"/>
      <c r="K252" s="1114"/>
      <c r="L252" s="1114"/>
      <c r="M252" s="122"/>
      <c r="N252" s="1535"/>
      <c r="O252" s="208"/>
      <c r="P252" s="208"/>
      <c r="Q252" s="611"/>
      <c r="R252" s="263"/>
    </row>
    <row r="253" spans="1:20" ht="12.75" customHeight="1" x14ac:dyDescent="0.2">
      <c r="A253" s="1632"/>
      <c r="B253" s="1633"/>
      <c r="C253" s="1992"/>
      <c r="D253" s="1979" t="s">
        <v>26</v>
      </c>
      <c r="E253" s="1983" t="s">
        <v>309</v>
      </c>
      <c r="F253" s="1881"/>
      <c r="G253" s="1128"/>
      <c r="H253" s="1981" t="s">
        <v>273</v>
      </c>
      <c r="I253" s="1262" t="s">
        <v>24</v>
      </c>
      <c r="J253" s="129"/>
      <c r="K253" s="129">
        <v>22.7</v>
      </c>
      <c r="L253" s="129"/>
      <c r="M253" s="121"/>
      <c r="N253" s="1534" t="s">
        <v>411</v>
      </c>
      <c r="O253" s="83"/>
      <c r="P253" s="206">
        <v>1</v>
      </c>
      <c r="Q253" s="711"/>
      <c r="R253" s="244"/>
    </row>
    <row r="254" spans="1:20" ht="15.75" customHeight="1" x14ac:dyDescent="0.2">
      <c r="A254" s="1632"/>
      <c r="B254" s="1633"/>
      <c r="C254" s="1992"/>
      <c r="D254" s="1993"/>
      <c r="E254" s="1994"/>
      <c r="F254" s="1753"/>
      <c r="G254" s="1128"/>
      <c r="H254" s="1946"/>
      <c r="I254" s="1545" t="s">
        <v>24</v>
      </c>
      <c r="J254" s="1521"/>
      <c r="K254" s="1521">
        <v>2.2000000000000002</v>
      </c>
      <c r="L254" s="1521"/>
      <c r="M254" s="318"/>
      <c r="N254" s="1534" t="s">
        <v>412</v>
      </c>
      <c r="O254" s="206"/>
      <c r="P254" s="206">
        <v>1</v>
      </c>
      <c r="Q254" s="512"/>
      <c r="R254" s="313"/>
    </row>
    <row r="255" spans="1:20" ht="29.25" customHeight="1" x14ac:dyDescent="0.2">
      <c r="A255" s="1632"/>
      <c r="B255" s="1633"/>
      <c r="C255" s="1992"/>
      <c r="D255" s="1980"/>
      <c r="E255" s="1984"/>
      <c r="F255" s="1882"/>
      <c r="G255" s="1129"/>
      <c r="H255" s="1964"/>
      <c r="I255" s="354" t="s">
        <v>24</v>
      </c>
      <c r="J255" s="1114">
        <v>0</v>
      </c>
      <c r="K255" s="1114"/>
      <c r="L255" s="1114"/>
      <c r="M255" s="122"/>
      <c r="N255" s="1535" t="s">
        <v>325</v>
      </c>
      <c r="O255" s="940" t="s">
        <v>50</v>
      </c>
      <c r="P255" s="208"/>
      <c r="Q255" s="611"/>
      <c r="R255" s="263"/>
    </row>
    <row r="256" spans="1:20" ht="18.75" customHeight="1" x14ac:dyDescent="0.2">
      <c r="A256" s="1489"/>
      <c r="B256" s="1490"/>
      <c r="C256" s="394"/>
      <c r="D256" s="1558" t="s">
        <v>34</v>
      </c>
      <c r="E256" s="1610" t="s">
        <v>466</v>
      </c>
      <c r="F256" s="1523"/>
      <c r="G256" s="1498"/>
      <c r="H256" s="1981" t="s">
        <v>273</v>
      </c>
      <c r="I256" s="1262" t="s">
        <v>24</v>
      </c>
      <c r="J256" s="146">
        <v>171.5</v>
      </c>
      <c r="K256" s="121">
        <v>9</v>
      </c>
      <c r="L256" s="129">
        <v>9</v>
      </c>
      <c r="M256" s="121">
        <v>9</v>
      </c>
      <c r="N256" s="1507" t="s">
        <v>414</v>
      </c>
      <c r="O256" s="1220">
        <v>5</v>
      </c>
      <c r="P256" s="1220">
        <v>3</v>
      </c>
      <c r="Q256" s="1287">
        <v>3</v>
      </c>
      <c r="R256" s="1288">
        <v>3</v>
      </c>
      <c r="S256" s="10"/>
      <c r="T256" s="10"/>
    </row>
    <row r="257" spans="1:21" ht="24" customHeight="1" x14ac:dyDescent="0.2">
      <c r="A257" s="1489"/>
      <c r="B257" s="1490"/>
      <c r="C257" s="394"/>
      <c r="D257" s="1491"/>
      <c r="E257" s="1617"/>
      <c r="F257" s="1522"/>
      <c r="G257" s="1488"/>
      <c r="H257" s="1946"/>
      <c r="I257" s="1545" t="s">
        <v>24</v>
      </c>
      <c r="J257" s="186">
        <v>9</v>
      </c>
      <c r="K257" s="186">
        <v>96</v>
      </c>
      <c r="L257" s="1099">
        <v>96</v>
      </c>
      <c r="M257" s="186">
        <v>96</v>
      </c>
      <c r="N257" s="1517" t="s">
        <v>232</v>
      </c>
      <c r="O257" s="164">
        <v>5</v>
      </c>
      <c r="P257" s="164">
        <v>3</v>
      </c>
      <c r="Q257" s="423">
        <v>3</v>
      </c>
      <c r="R257" s="424">
        <v>3</v>
      </c>
      <c r="S257" s="10"/>
      <c r="T257" s="10"/>
    </row>
    <row r="258" spans="1:21" ht="13.5" customHeight="1" x14ac:dyDescent="0.2">
      <c r="A258" s="31"/>
      <c r="B258" s="1502"/>
      <c r="C258" s="394"/>
      <c r="D258" s="1491"/>
      <c r="E258" s="1617"/>
      <c r="F258" s="1496"/>
      <c r="G258" s="1488"/>
      <c r="H258" s="1946"/>
      <c r="I258" s="1545" t="s">
        <v>58</v>
      </c>
      <c r="J258" s="318"/>
      <c r="K258" s="123">
        <v>35.1</v>
      </c>
      <c r="L258" s="1043"/>
      <c r="M258" s="123"/>
      <c r="N258" s="1569"/>
      <c r="O258" s="164"/>
      <c r="P258" s="164"/>
      <c r="Q258" s="423"/>
      <c r="R258" s="424"/>
      <c r="S258" s="10"/>
      <c r="T258" s="10"/>
    </row>
    <row r="259" spans="1:21" ht="26.25" customHeight="1" x14ac:dyDescent="0.2">
      <c r="A259" s="31"/>
      <c r="B259" s="1502"/>
      <c r="C259" s="394"/>
      <c r="D259" s="1491"/>
      <c r="E259" s="1617"/>
      <c r="F259" s="1496"/>
      <c r="G259" s="1488"/>
      <c r="H259" s="1995"/>
      <c r="I259" s="1545" t="s">
        <v>24</v>
      </c>
      <c r="J259" s="1521"/>
      <c r="K259" s="184">
        <v>15</v>
      </c>
      <c r="L259" s="1073">
        <v>30</v>
      </c>
      <c r="M259" s="184">
        <v>45</v>
      </c>
      <c r="N259" s="55" t="s">
        <v>233</v>
      </c>
      <c r="O259" s="241">
        <v>5</v>
      </c>
      <c r="P259" s="241">
        <v>8</v>
      </c>
      <c r="Q259" s="724">
        <v>11</v>
      </c>
      <c r="R259" s="977">
        <v>14</v>
      </c>
      <c r="S259" s="10"/>
      <c r="T259" s="10"/>
    </row>
    <row r="260" spans="1:21" ht="17.25" customHeight="1" x14ac:dyDescent="0.2">
      <c r="A260" s="31"/>
      <c r="B260" s="1502"/>
      <c r="C260" s="394"/>
      <c r="D260" s="1491"/>
      <c r="E260" s="1617"/>
      <c r="F260" s="1496"/>
      <c r="G260" s="1488"/>
      <c r="H260" s="1555"/>
      <c r="I260" s="1545" t="s">
        <v>24</v>
      </c>
      <c r="J260" s="318"/>
      <c r="K260" s="130">
        <v>5</v>
      </c>
      <c r="L260" s="130">
        <v>5</v>
      </c>
      <c r="M260" s="184">
        <v>5</v>
      </c>
      <c r="N260" s="245" t="s">
        <v>413</v>
      </c>
      <c r="O260" s="220">
        <v>100</v>
      </c>
      <c r="P260" s="220">
        <v>100</v>
      </c>
      <c r="Q260" s="467">
        <v>100</v>
      </c>
      <c r="R260" s="468">
        <v>100</v>
      </c>
      <c r="S260" s="10"/>
      <c r="T260" s="10"/>
    </row>
    <row r="261" spans="1:21" ht="38.25" customHeight="1" x14ac:dyDescent="0.2">
      <c r="A261" s="31"/>
      <c r="B261" s="1502"/>
      <c r="C261" s="457"/>
      <c r="D261" s="1514"/>
      <c r="E261" s="1816"/>
      <c r="F261" s="137"/>
      <c r="G261" s="334"/>
      <c r="H261" s="1433"/>
      <c r="I261" s="587" t="s">
        <v>24</v>
      </c>
      <c r="J261" s="123"/>
      <c r="K261" s="130">
        <v>40</v>
      </c>
      <c r="L261" s="184">
        <v>40</v>
      </c>
      <c r="M261" s="184">
        <v>40</v>
      </c>
      <c r="N261" s="245" t="s">
        <v>415</v>
      </c>
      <c r="O261" s="220"/>
      <c r="P261" s="220">
        <v>5</v>
      </c>
      <c r="Q261" s="467">
        <v>5</v>
      </c>
      <c r="R261" s="468">
        <v>5</v>
      </c>
      <c r="S261" s="10"/>
      <c r="T261" s="10"/>
      <c r="U261" s="291"/>
    </row>
    <row r="262" spans="1:21" s="61" customFormat="1" ht="50.25" customHeight="1" x14ac:dyDescent="0.2">
      <c r="A262" s="484"/>
      <c r="B262" s="485"/>
      <c r="C262" s="486"/>
      <c r="D262" s="1491"/>
      <c r="E262" s="999"/>
      <c r="F262" s="1000"/>
      <c r="G262" s="1001"/>
      <c r="H262" s="1131" t="s">
        <v>377</v>
      </c>
      <c r="I262" s="624"/>
      <c r="J262" s="625"/>
      <c r="K262" s="1248"/>
      <c r="L262" s="178"/>
      <c r="M262" s="122"/>
      <c r="N262" s="273" t="s">
        <v>378</v>
      </c>
      <c r="O262" s="611"/>
      <c r="P262" s="208"/>
      <c r="Q262" s="198">
        <v>1</v>
      </c>
      <c r="R262" s="263"/>
    </row>
    <row r="263" spans="1:21" ht="15.75" customHeight="1" thickBot="1" x14ac:dyDescent="0.25">
      <c r="A263" s="32"/>
      <c r="B263" s="1519"/>
      <c r="C263" s="387"/>
      <c r="D263" s="390"/>
      <c r="E263" s="400"/>
      <c r="F263" s="398"/>
      <c r="G263" s="399"/>
      <c r="H263" s="389"/>
      <c r="I263" s="27" t="s">
        <v>6</v>
      </c>
      <c r="J263" s="209">
        <f>SUM(J244:J262)</f>
        <v>1591.1</v>
      </c>
      <c r="K263" s="209">
        <f>SUM(K244:K262)</f>
        <v>1623.8</v>
      </c>
      <c r="L263" s="209">
        <f>SUM(L244:L262)</f>
        <v>1460.5</v>
      </c>
      <c r="M263" s="190">
        <f>SUM(M244:M262)</f>
        <v>1495</v>
      </c>
      <c r="N263" s="388"/>
      <c r="O263" s="403"/>
      <c r="P263" s="403"/>
      <c r="Q263" s="403"/>
      <c r="R263" s="984"/>
    </row>
    <row r="264" spans="1:21" ht="33" customHeight="1" x14ac:dyDescent="0.2">
      <c r="A264" s="35" t="s">
        <v>5</v>
      </c>
      <c r="B264" s="280" t="s">
        <v>26</v>
      </c>
      <c r="C264" s="397" t="s">
        <v>7</v>
      </c>
      <c r="D264" s="281"/>
      <c r="E264" s="1516" t="s">
        <v>192</v>
      </c>
      <c r="F264" s="135"/>
      <c r="G264" s="1506" t="s">
        <v>50</v>
      </c>
      <c r="H264" s="1991" t="s">
        <v>77</v>
      </c>
      <c r="I264" s="219" t="s">
        <v>24</v>
      </c>
      <c r="J264" s="149"/>
      <c r="K264" s="149"/>
      <c r="L264" s="143"/>
      <c r="M264" s="143"/>
      <c r="N264" s="1541"/>
      <c r="O264" s="309"/>
      <c r="P264" s="282"/>
      <c r="Q264" s="802"/>
      <c r="R264" s="805"/>
    </row>
    <row r="265" spans="1:21" ht="53.25" customHeight="1" x14ac:dyDescent="0.2">
      <c r="A265" s="335"/>
      <c r="B265" s="326"/>
      <c r="C265" s="1564"/>
      <c r="D265" s="1240" t="s">
        <v>5</v>
      </c>
      <c r="E265" s="351" t="s">
        <v>186</v>
      </c>
      <c r="F265" s="1241"/>
      <c r="G265" s="1488"/>
      <c r="H265" s="1973"/>
      <c r="I265" s="1057" t="s">
        <v>24</v>
      </c>
      <c r="J265" s="192">
        <v>3.6</v>
      </c>
      <c r="K265" s="192">
        <v>4</v>
      </c>
      <c r="L265" s="124">
        <v>4</v>
      </c>
      <c r="M265" s="124">
        <v>4</v>
      </c>
      <c r="N265" s="546" t="s">
        <v>171</v>
      </c>
      <c r="O265" s="488">
        <v>1</v>
      </c>
      <c r="P265" s="1242"/>
      <c r="Q265" s="803"/>
      <c r="R265" s="1243">
        <v>1</v>
      </c>
    </row>
    <row r="266" spans="1:21" ht="53.25" customHeight="1" x14ac:dyDescent="0.2">
      <c r="A266" s="335"/>
      <c r="B266" s="326"/>
      <c r="C266" s="1564"/>
      <c r="D266" s="1514" t="s">
        <v>7</v>
      </c>
      <c r="E266" s="1511" t="s">
        <v>187</v>
      </c>
      <c r="F266" s="137"/>
      <c r="G266" s="1488"/>
      <c r="H266" s="1555"/>
      <c r="I266" s="1545" t="s">
        <v>24</v>
      </c>
      <c r="J266" s="1521">
        <v>3.6</v>
      </c>
      <c r="K266" s="1521">
        <v>3.6</v>
      </c>
      <c r="L266" s="318"/>
      <c r="M266" s="318"/>
      <c r="N266" s="1534" t="s">
        <v>171</v>
      </c>
      <c r="O266" s="206"/>
      <c r="P266" s="1228">
        <v>1</v>
      </c>
      <c r="Q266" s="804"/>
      <c r="R266" s="764"/>
    </row>
    <row r="267" spans="1:21" ht="53.25" customHeight="1" x14ac:dyDescent="0.2">
      <c r="A267" s="335"/>
      <c r="B267" s="326"/>
      <c r="C267" s="1564"/>
      <c r="D267" s="1240" t="s">
        <v>26</v>
      </c>
      <c r="E267" s="351" t="s">
        <v>436</v>
      </c>
      <c r="F267" s="1241"/>
      <c r="G267" s="1488"/>
      <c r="H267" s="1555"/>
      <c r="I267" s="1057" t="s">
        <v>24</v>
      </c>
      <c r="J267" s="192"/>
      <c r="K267" s="192">
        <v>3</v>
      </c>
      <c r="L267" s="124"/>
      <c r="M267" s="124"/>
      <c r="N267" s="546" t="s">
        <v>171</v>
      </c>
      <c r="O267" s="488"/>
      <c r="P267" s="1242">
        <v>1</v>
      </c>
      <c r="Q267" s="803"/>
      <c r="R267" s="1243"/>
    </row>
    <row r="268" spans="1:21" ht="57" customHeight="1" x14ac:dyDescent="0.2">
      <c r="A268" s="335"/>
      <c r="B268" s="326"/>
      <c r="C268" s="1564"/>
      <c r="D268" s="1514" t="s">
        <v>34</v>
      </c>
      <c r="E268" s="1511" t="s">
        <v>420</v>
      </c>
      <c r="F268" s="137"/>
      <c r="G268" s="1488"/>
      <c r="H268" s="1555"/>
      <c r="I268" s="1545" t="s">
        <v>24</v>
      </c>
      <c r="J268" s="1521"/>
      <c r="K268" s="1521">
        <v>3.2</v>
      </c>
      <c r="L268" s="318">
        <v>3.2</v>
      </c>
      <c r="M268" s="318">
        <v>3.2</v>
      </c>
      <c r="N268" s="1534" t="s">
        <v>171</v>
      </c>
      <c r="O268" s="206"/>
      <c r="P268" s="1228"/>
      <c r="Q268" s="804"/>
      <c r="R268" s="764">
        <v>1</v>
      </c>
    </row>
    <row r="269" spans="1:21" ht="51" x14ac:dyDescent="0.2">
      <c r="A269" s="335"/>
      <c r="B269" s="326"/>
      <c r="C269" s="1564"/>
      <c r="D269" s="1240" t="s">
        <v>35</v>
      </c>
      <c r="E269" s="351" t="s">
        <v>220</v>
      </c>
      <c r="F269" s="1241"/>
      <c r="G269" s="1488"/>
      <c r="H269" s="1555"/>
      <c r="I269" s="1057" t="s">
        <v>24</v>
      </c>
      <c r="J269" s="192">
        <v>3.5</v>
      </c>
      <c r="K269" s="192">
        <v>4</v>
      </c>
      <c r="L269" s="124">
        <v>4</v>
      </c>
      <c r="M269" s="124">
        <v>4</v>
      </c>
      <c r="N269" s="546" t="s">
        <v>171</v>
      </c>
      <c r="O269" s="488">
        <v>1</v>
      </c>
      <c r="P269" s="1242"/>
      <c r="Q269" s="803"/>
      <c r="R269" s="1243">
        <v>1</v>
      </c>
    </row>
    <row r="270" spans="1:21" ht="52.5" customHeight="1" x14ac:dyDescent="0.2">
      <c r="A270" s="335"/>
      <c r="B270" s="326"/>
      <c r="C270" s="1564"/>
      <c r="D270" s="1514" t="s">
        <v>28</v>
      </c>
      <c r="E270" s="1515" t="s">
        <v>438</v>
      </c>
      <c r="F270" s="1002"/>
      <c r="G270" s="1499"/>
      <c r="H270" s="589"/>
      <c r="I270" s="354" t="s">
        <v>24</v>
      </c>
      <c r="J270" s="1114"/>
      <c r="K270" s="1114">
        <v>17.5</v>
      </c>
      <c r="L270" s="122"/>
      <c r="M270" s="122"/>
      <c r="N270" s="546" t="s">
        <v>171</v>
      </c>
      <c r="O270" s="208"/>
      <c r="P270" s="1227">
        <v>1</v>
      </c>
      <c r="Q270" s="739"/>
      <c r="R270" s="78"/>
    </row>
    <row r="271" spans="1:21" ht="16.5" customHeight="1" thickBot="1" x14ac:dyDescent="0.25">
      <c r="A271" s="1518"/>
      <c r="B271" s="327"/>
      <c r="C271" s="387"/>
      <c r="D271" s="390"/>
      <c r="E271" s="400"/>
      <c r="F271" s="398"/>
      <c r="G271" s="399"/>
      <c r="H271" s="389"/>
      <c r="I271" s="27" t="s">
        <v>6</v>
      </c>
      <c r="J271" s="209">
        <f>SUM(J265:J270)</f>
        <v>10.7</v>
      </c>
      <c r="K271" s="209">
        <f>SUM(K265:K270)</f>
        <v>35.299999999999997</v>
      </c>
      <c r="L271" s="209">
        <f>SUM(L265:L270)</f>
        <v>11.2</v>
      </c>
      <c r="M271" s="209">
        <f t="shared" ref="M271" si="9">SUM(M265:M270)</f>
        <v>11.2</v>
      </c>
      <c r="N271" s="388"/>
      <c r="O271" s="403"/>
      <c r="P271" s="403"/>
      <c r="Q271" s="403"/>
      <c r="R271" s="984"/>
    </row>
    <row r="272" spans="1:21" ht="13.5" thickBot="1" x14ac:dyDescent="0.25">
      <c r="A272" s="33" t="s">
        <v>5</v>
      </c>
      <c r="B272" s="8" t="s">
        <v>26</v>
      </c>
      <c r="C272" s="1754" t="s">
        <v>8</v>
      </c>
      <c r="D272" s="1755"/>
      <c r="E272" s="1755"/>
      <c r="F272" s="1755"/>
      <c r="G272" s="1755"/>
      <c r="H272" s="1755"/>
      <c r="I272" s="1756"/>
      <c r="J272" s="128">
        <f>J271+J263</f>
        <v>1601.8</v>
      </c>
      <c r="K272" s="128">
        <f>K271+K263</f>
        <v>1659.1</v>
      </c>
      <c r="L272" s="128">
        <f>L271+L263</f>
        <v>1471.7</v>
      </c>
      <c r="M272" s="128">
        <f>M271+M263</f>
        <v>1506.2</v>
      </c>
      <c r="N272" s="325"/>
      <c r="O272" s="325"/>
      <c r="P272" s="325"/>
      <c r="Q272" s="325"/>
      <c r="R272" s="277"/>
    </row>
    <row r="273" spans="1:49" ht="15.75" customHeight="1" thickBot="1" x14ac:dyDescent="0.25">
      <c r="A273" s="33" t="s">
        <v>5</v>
      </c>
      <c r="B273" s="8" t="s">
        <v>34</v>
      </c>
      <c r="C273" s="1765" t="s">
        <v>43</v>
      </c>
      <c r="D273" s="1766"/>
      <c r="E273" s="1766"/>
      <c r="F273" s="1766"/>
      <c r="G273" s="1766"/>
      <c r="H273" s="1766"/>
      <c r="I273" s="1766"/>
      <c r="J273" s="1512"/>
      <c r="K273" s="1512"/>
      <c r="L273" s="1512"/>
      <c r="M273" s="1512"/>
      <c r="N273" s="216"/>
      <c r="O273" s="328"/>
      <c r="P273" s="328"/>
      <c r="Q273" s="328"/>
      <c r="R273" s="279"/>
    </row>
    <row r="274" spans="1:49" s="61" customFormat="1" ht="19.5" customHeight="1" x14ac:dyDescent="0.2">
      <c r="A274" s="1817" t="s">
        <v>5</v>
      </c>
      <c r="B274" s="1819" t="s">
        <v>34</v>
      </c>
      <c r="C274" s="1821" t="s">
        <v>5</v>
      </c>
      <c r="D274" s="1996"/>
      <c r="E274" s="1823" t="s">
        <v>260</v>
      </c>
      <c r="F274" s="1825" t="s">
        <v>47</v>
      </c>
      <c r="G274" s="1506" t="s">
        <v>27</v>
      </c>
      <c r="H274" s="1991" t="s">
        <v>80</v>
      </c>
      <c r="I274" s="256" t="s">
        <v>24</v>
      </c>
      <c r="J274" s="258">
        <v>200</v>
      </c>
      <c r="K274" s="258">
        <v>100</v>
      </c>
      <c r="L274" s="258">
        <v>200</v>
      </c>
      <c r="M274" s="258">
        <v>200</v>
      </c>
      <c r="N274" s="1223" t="s">
        <v>259</v>
      </c>
      <c r="O274" s="1225">
        <v>1155</v>
      </c>
      <c r="P274" s="1226">
        <v>537</v>
      </c>
      <c r="Q274" s="1226">
        <v>670</v>
      </c>
      <c r="R274" s="1026">
        <v>670</v>
      </c>
    </row>
    <row r="275" spans="1:49" s="61" customFormat="1" ht="15" customHeight="1" x14ac:dyDescent="0.2">
      <c r="A275" s="1818"/>
      <c r="B275" s="1820"/>
      <c r="C275" s="1822"/>
      <c r="D275" s="1997"/>
      <c r="E275" s="1824"/>
      <c r="F275" s="1826"/>
      <c r="G275" s="1488"/>
      <c r="H275" s="1952"/>
      <c r="I275" s="1258" t="s">
        <v>58</v>
      </c>
      <c r="J275" s="1259"/>
      <c r="K275" s="1259">
        <v>100</v>
      </c>
      <c r="L275" s="1259"/>
      <c r="M275" s="1259"/>
      <c r="N275" s="1260" t="s">
        <v>259</v>
      </c>
      <c r="O275" s="340"/>
      <c r="P275" s="1261">
        <v>785</v>
      </c>
      <c r="Q275" s="1261"/>
      <c r="R275" s="763"/>
    </row>
    <row r="276" spans="1:49" s="61" customFormat="1" ht="50.25" customHeight="1" x14ac:dyDescent="0.2">
      <c r="A276" s="1818"/>
      <c r="B276" s="1820"/>
      <c r="C276" s="1822"/>
      <c r="D276" s="1997"/>
      <c r="E276" s="1824"/>
      <c r="F276" s="1826"/>
      <c r="G276" s="1525"/>
      <c r="H276" s="1952"/>
      <c r="I276" s="547" t="s">
        <v>58</v>
      </c>
      <c r="J276" s="548">
        <v>115.8</v>
      </c>
      <c r="K276" s="548">
        <v>123.9</v>
      </c>
      <c r="L276" s="548"/>
      <c r="M276" s="548"/>
      <c r="N276" s="1224" t="s">
        <v>437</v>
      </c>
      <c r="O276" s="1205">
        <v>1</v>
      </c>
      <c r="P276" s="1221"/>
      <c r="Q276" s="1221"/>
      <c r="R276" s="1222"/>
    </row>
    <row r="277" spans="1:49" s="61" customFormat="1" ht="18.75" customHeight="1" thickBot="1" x14ac:dyDescent="0.25">
      <c r="A277" s="436"/>
      <c r="B277" s="437"/>
      <c r="C277" s="441"/>
      <c r="D277" s="438"/>
      <c r="E277" s="439"/>
      <c r="F277" s="440"/>
      <c r="G277" s="369"/>
      <c r="H277" s="276"/>
      <c r="I277" s="62" t="s">
        <v>6</v>
      </c>
      <c r="J277" s="218">
        <f>SUM(J274:J276)</f>
        <v>315.8</v>
      </c>
      <c r="K277" s="218">
        <f>SUM(K274:K276)</f>
        <v>323.89999999999998</v>
      </c>
      <c r="L277" s="218">
        <f t="shared" ref="L277:M277" si="10">SUM(L274:L276)</f>
        <v>200</v>
      </c>
      <c r="M277" s="218">
        <f t="shared" si="10"/>
        <v>200</v>
      </c>
      <c r="N277" s="287"/>
      <c r="O277" s="259"/>
      <c r="P277" s="260"/>
      <c r="Q277" s="260"/>
      <c r="R277" s="261"/>
    </row>
    <row r="278" spans="1:49" ht="12.75" customHeight="1" x14ac:dyDescent="0.2">
      <c r="A278" s="1489" t="s">
        <v>5</v>
      </c>
      <c r="B278" s="1490" t="s">
        <v>34</v>
      </c>
      <c r="C278" s="1536" t="s">
        <v>7</v>
      </c>
      <c r="D278" s="1491"/>
      <c r="E278" s="1763" t="s">
        <v>141</v>
      </c>
      <c r="F278" s="137" t="s">
        <v>47</v>
      </c>
      <c r="G278" s="1488" t="s">
        <v>46</v>
      </c>
      <c r="H278" s="1952" t="s">
        <v>79</v>
      </c>
      <c r="I278" s="570" t="s">
        <v>24</v>
      </c>
      <c r="J278" s="318">
        <v>145</v>
      </c>
      <c r="K278" s="318"/>
      <c r="L278" s="227"/>
      <c r="M278" s="227"/>
      <c r="N278" s="308" t="s">
        <v>98</v>
      </c>
      <c r="O278" s="309"/>
      <c r="P278" s="310" t="s">
        <v>50</v>
      </c>
      <c r="Q278" s="806"/>
      <c r="R278" s="311"/>
    </row>
    <row r="279" spans="1:49" ht="18" customHeight="1" x14ac:dyDescent="0.2">
      <c r="A279" s="31"/>
      <c r="B279" s="1490"/>
      <c r="C279" s="82"/>
      <c r="D279" s="1536"/>
      <c r="E279" s="1763"/>
      <c r="F279" s="137"/>
      <c r="G279" s="1488"/>
      <c r="H279" s="1952"/>
      <c r="I279" s="567" t="s">
        <v>58</v>
      </c>
      <c r="J279" s="122"/>
      <c r="K279" s="122">
        <v>46.8</v>
      </c>
      <c r="L279" s="122"/>
      <c r="M279" s="122"/>
      <c r="N279" s="1508" t="s">
        <v>451</v>
      </c>
      <c r="O279" s="206"/>
      <c r="P279" s="312"/>
      <c r="Q279" s="196"/>
      <c r="R279" s="313"/>
    </row>
    <row r="280" spans="1:49" s="61" customFormat="1" ht="16.5" customHeight="1" thickBot="1" x14ac:dyDescent="0.25">
      <c r="A280" s="32"/>
      <c r="B280" s="73"/>
      <c r="C280" s="272"/>
      <c r="D280" s="40"/>
      <c r="E280" s="1827"/>
      <c r="F280" s="136"/>
      <c r="G280" s="614"/>
      <c r="H280" s="1988"/>
      <c r="I280" s="62" t="s">
        <v>6</v>
      </c>
      <c r="J280" s="218">
        <f>SUM(J278:J279)</f>
        <v>145</v>
      </c>
      <c r="K280" s="218">
        <f>SUM(K278:K279)</f>
        <v>46.8</v>
      </c>
      <c r="L280" s="218">
        <f t="shared" ref="L280" si="11">SUM(L278:L279)</f>
        <v>0</v>
      </c>
      <c r="M280" s="218">
        <f>M278</f>
        <v>0</v>
      </c>
      <c r="N280" s="287"/>
      <c r="O280" s="222"/>
      <c r="P280" s="314"/>
      <c r="Q280" s="807"/>
      <c r="R280" s="223"/>
    </row>
    <row r="281" spans="1:49" ht="17.25" customHeight="1" x14ac:dyDescent="0.2">
      <c r="A281" s="1489" t="s">
        <v>5</v>
      </c>
      <c r="B281" s="1490" t="s">
        <v>34</v>
      </c>
      <c r="C281" s="1536" t="s">
        <v>26</v>
      </c>
      <c r="D281" s="1491"/>
      <c r="E281" s="1763" t="s">
        <v>461</v>
      </c>
      <c r="F281" s="137" t="s">
        <v>47</v>
      </c>
      <c r="G281" s="1488" t="s">
        <v>46</v>
      </c>
      <c r="H281" s="1952" t="s">
        <v>430</v>
      </c>
      <c r="I281" s="570" t="s">
        <v>24</v>
      </c>
      <c r="J281" s="318"/>
      <c r="K281" s="318">
        <v>20</v>
      </c>
      <c r="L281" s="227"/>
      <c r="M281" s="227"/>
      <c r="N281" s="308" t="s">
        <v>369</v>
      </c>
      <c r="O281" s="309"/>
      <c r="P281" s="310" t="s">
        <v>370</v>
      </c>
      <c r="Q281" s="806"/>
      <c r="R281" s="311"/>
    </row>
    <row r="282" spans="1:49" ht="27" customHeight="1" x14ac:dyDescent="0.2">
      <c r="A282" s="31"/>
      <c r="B282" s="1490"/>
      <c r="C282" s="82"/>
      <c r="D282" s="1536"/>
      <c r="E282" s="1763"/>
      <c r="F282" s="137"/>
      <c r="G282" s="1488"/>
      <c r="H282" s="1952"/>
      <c r="I282" s="567"/>
      <c r="J282" s="122"/>
      <c r="K282" s="122"/>
      <c r="L282" s="122"/>
      <c r="M282" s="122"/>
      <c r="N282" s="1508"/>
      <c r="O282" s="206"/>
      <c r="P282" s="312"/>
      <c r="Q282" s="196"/>
      <c r="R282" s="313"/>
    </row>
    <row r="283" spans="1:49" s="61" customFormat="1" ht="17.25" customHeight="1" thickBot="1" x14ac:dyDescent="0.25">
      <c r="A283" s="32"/>
      <c r="B283" s="73"/>
      <c r="C283" s="272"/>
      <c r="D283" s="40"/>
      <c r="E283" s="1827"/>
      <c r="F283" s="136"/>
      <c r="G283" s="614"/>
      <c r="H283" s="1988"/>
      <c r="I283" s="62" t="s">
        <v>6</v>
      </c>
      <c r="J283" s="218">
        <f>SUM(J281:J282)</f>
        <v>0</v>
      </c>
      <c r="K283" s="218">
        <f>SUM(K281:K282)</f>
        <v>20</v>
      </c>
      <c r="L283" s="218">
        <f t="shared" ref="L283" si="12">SUM(L281:L282)</f>
        <v>0</v>
      </c>
      <c r="M283" s="218">
        <f>M281</f>
        <v>0</v>
      </c>
      <c r="N283" s="287"/>
      <c r="O283" s="222"/>
      <c r="P283" s="314"/>
      <c r="Q283" s="807"/>
      <c r="R283" s="223"/>
    </row>
    <row r="284" spans="1:49" ht="13.5" thickBot="1" x14ac:dyDescent="0.25">
      <c r="A284" s="590" t="s">
        <v>5</v>
      </c>
      <c r="B284" s="327" t="s">
        <v>34</v>
      </c>
      <c r="C284" s="1828" t="s">
        <v>8</v>
      </c>
      <c r="D284" s="1829"/>
      <c r="E284" s="1829"/>
      <c r="F284" s="1829"/>
      <c r="G284" s="1829"/>
      <c r="H284" s="1829"/>
      <c r="I284" s="1829"/>
      <c r="J284" s="128">
        <f>J280+J277+J283</f>
        <v>460.8</v>
      </c>
      <c r="K284" s="128">
        <f>K280+K277+K283</f>
        <v>390.7</v>
      </c>
      <c r="L284" s="128">
        <f t="shared" ref="L284:M284" si="13">L280+L277+L283</f>
        <v>200</v>
      </c>
      <c r="M284" s="128">
        <f t="shared" si="13"/>
        <v>200</v>
      </c>
      <c r="N284" s="325"/>
      <c r="O284" s="325"/>
      <c r="P284" s="325"/>
      <c r="Q284" s="325"/>
      <c r="R284" s="983"/>
    </row>
    <row r="285" spans="1:49" ht="14.25" customHeight="1" thickBot="1" x14ac:dyDescent="0.25">
      <c r="A285" s="34" t="s">
        <v>5</v>
      </c>
      <c r="B285" s="1831" t="s">
        <v>9</v>
      </c>
      <c r="C285" s="1832"/>
      <c r="D285" s="1832"/>
      <c r="E285" s="1832"/>
      <c r="F285" s="1832"/>
      <c r="G285" s="1832"/>
      <c r="H285" s="1832"/>
      <c r="I285" s="1832"/>
      <c r="J285" s="384">
        <f>J284+J272+J241+J222</f>
        <v>13434.7</v>
      </c>
      <c r="K285" s="384">
        <f>K284+K272+K241+K222</f>
        <v>15720.7</v>
      </c>
      <c r="L285" s="384">
        <f>L284+L272+L241+L222</f>
        <v>19931.099999999999</v>
      </c>
      <c r="M285" s="384">
        <f>M284+M272+M241+M222</f>
        <v>18189.400000000001</v>
      </c>
      <c r="N285" s="1811"/>
      <c r="O285" s="1812"/>
      <c r="P285" s="1812"/>
      <c r="Q285" s="1812"/>
      <c r="R285" s="1813"/>
    </row>
    <row r="286" spans="1:49" ht="14.25" customHeight="1" thickBot="1" x14ac:dyDescent="0.25">
      <c r="A286" s="25" t="s">
        <v>36</v>
      </c>
      <c r="B286" s="1834" t="s">
        <v>56</v>
      </c>
      <c r="C286" s="1835"/>
      <c r="D286" s="1835"/>
      <c r="E286" s="1835"/>
      <c r="F286" s="1835"/>
      <c r="G286" s="1835"/>
      <c r="H286" s="1835"/>
      <c r="I286" s="1835"/>
      <c r="J286" s="385">
        <f t="shared" ref="J286:M286" si="14">SUM(J285)</f>
        <v>13434.7</v>
      </c>
      <c r="K286" s="132">
        <f t="shared" si="14"/>
        <v>15720.7</v>
      </c>
      <c r="L286" s="385">
        <f t="shared" ref="L286" si="15">SUM(L285)</f>
        <v>19931.099999999999</v>
      </c>
      <c r="M286" s="385">
        <f t="shared" si="14"/>
        <v>18189.400000000001</v>
      </c>
      <c r="N286" s="1814"/>
      <c r="O286" s="1814"/>
      <c r="P286" s="1814"/>
      <c r="Q286" s="1814"/>
      <c r="R286" s="1815"/>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row>
    <row r="287" spans="1:49" s="13" customFormat="1" ht="17.25" customHeight="1" x14ac:dyDescent="0.2">
      <c r="A287" s="1989" t="s">
        <v>423</v>
      </c>
      <c r="B287" s="1990"/>
      <c r="C287" s="1990"/>
      <c r="D287" s="1990"/>
      <c r="E287" s="1990"/>
      <c r="F287" s="1990"/>
      <c r="G287" s="1990"/>
      <c r="H287" s="1990"/>
      <c r="I287" s="1990"/>
      <c r="J287" s="1990"/>
      <c r="K287" s="1990"/>
      <c r="L287" s="1990"/>
      <c r="M287" s="1990"/>
      <c r="N287" s="1053"/>
      <c r="O287" s="1053"/>
      <c r="P287" s="1053"/>
      <c r="Q287" s="1053"/>
      <c r="R287" s="1053"/>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row>
    <row r="288" spans="1:49" s="12" customFormat="1" ht="9.75" customHeight="1" x14ac:dyDescent="0.2">
      <c r="A288" s="1053"/>
      <c r="B288" s="526"/>
      <c r="C288" s="526"/>
      <c r="D288" s="526"/>
      <c r="E288" s="526"/>
      <c r="F288" s="526"/>
      <c r="G288" s="526"/>
      <c r="H288" s="526"/>
      <c r="I288" s="526"/>
      <c r="J288" s="526"/>
      <c r="K288" s="526"/>
      <c r="L288" s="526"/>
      <c r="M288" s="526"/>
      <c r="N288" s="526"/>
      <c r="O288" s="1053"/>
      <c r="P288" s="1053"/>
      <c r="Q288" s="1053"/>
      <c r="R288" s="1053"/>
    </row>
    <row r="289" spans="1:49" s="12" customFormat="1" ht="17.25" customHeight="1" x14ac:dyDescent="0.2">
      <c r="A289" s="359"/>
      <c r="B289" s="366"/>
      <c r="C289" s="366"/>
      <c r="D289" s="366"/>
      <c r="E289" s="366"/>
      <c r="F289" s="366"/>
      <c r="G289" s="366"/>
      <c r="H289" s="366"/>
      <c r="I289" s="366"/>
      <c r="J289" s="386"/>
      <c r="K289" s="366"/>
      <c r="L289" s="950"/>
      <c r="M289" s="366"/>
      <c r="N289" s="366"/>
      <c r="O289" s="359"/>
      <c r="P289" s="359"/>
      <c r="Q289" s="949"/>
      <c r="R289" s="359"/>
    </row>
    <row r="290" spans="1:49" s="13" customFormat="1" ht="14.25" customHeight="1" thickBot="1" x14ac:dyDescent="0.25">
      <c r="A290" s="1794" t="s">
        <v>13</v>
      </c>
      <c r="B290" s="1794"/>
      <c r="C290" s="1794"/>
      <c r="D290" s="1794"/>
      <c r="E290" s="1794"/>
      <c r="F290" s="1794"/>
      <c r="G290" s="1794"/>
      <c r="H290" s="1794"/>
      <c r="I290" s="1794"/>
      <c r="J290" s="283"/>
      <c r="K290" s="283"/>
      <c r="L290" s="945"/>
      <c r="M290" s="283"/>
      <c r="N290" s="20"/>
      <c r="O290" s="20"/>
      <c r="P290" s="20"/>
      <c r="Q290" s="20"/>
      <c r="R290" s="20"/>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row>
    <row r="291" spans="1:49" ht="57" customHeight="1" thickBot="1" x14ac:dyDescent="0.25">
      <c r="A291" s="1795" t="s">
        <v>10</v>
      </c>
      <c r="B291" s="1796"/>
      <c r="C291" s="1796"/>
      <c r="D291" s="1796"/>
      <c r="E291" s="1796"/>
      <c r="F291" s="1796"/>
      <c r="G291" s="1796"/>
      <c r="H291" s="1796"/>
      <c r="I291" s="1797"/>
      <c r="J291" s="952" t="s">
        <v>316</v>
      </c>
      <c r="K291" s="952" t="s">
        <v>346</v>
      </c>
      <c r="L291" s="288" t="s">
        <v>193</v>
      </c>
      <c r="M291" s="288" t="s">
        <v>328</v>
      </c>
      <c r="N291" s="2"/>
      <c r="O291" s="2"/>
      <c r="P291" s="2"/>
      <c r="Q291" s="2"/>
      <c r="R291" s="2"/>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row>
    <row r="292" spans="1:49" ht="14.25" customHeight="1" x14ac:dyDescent="0.2">
      <c r="A292" s="1798" t="s">
        <v>14</v>
      </c>
      <c r="B292" s="1799"/>
      <c r="C292" s="1799"/>
      <c r="D292" s="1799"/>
      <c r="E292" s="1799"/>
      <c r="F292" s="1799"/>
      <c r="G292" s="1799"/>
      <c r="H292" s="1799"/>
      <c r="I292" s="1800"/>
      <c r="J292" s="955">
        <f>J293+J302+J303+J304+J301</f>
        <v>13025.4</v>
      </c>
      <c r="K292" s="557">
        <f>K293+K302+K303+K304+K301</f>
        <v>14918.2</v>
      </c>
      <c r="L292" s="557">
        <f>L293+L302+L303+L304+L301</f>
        <v>16690.7</v>
      </c>
      <c r="M292" s="557">
        <f>M293+M302+M303+M304+M301</f>
        <v>14592.3</v>
      </c>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row>
    <row r="293" spans="1:49" ht="14.25" customHeight="1" x14ac:dyDescent="0.2">
      <c r="A293" s="1801" t="s">
        <v>92</v>
      </c>
      <c r="B293" s="1802"/>
      <c r="C293" s="1802"/>
      <c r="D293" s="1802"/>
      <c r="E293" s="1802"/>
      <c r="F293" s="1802"/>
      <c r="G293" s="1802"/>
      <c r="H293" s="1802"/>
      <c r="I293" s="1803"/>
      <c r="J293" s="953">
        <f>SUM(J294:J300)</f>
        <v>11089.5</v>
      </c>
      <c r="K293" s="109">
        <f>SUM(K294:K300)</f>
        <v>12387.5</v>
      </c>
      <c r="L293" s="109">
        <f>SUM(L294:L300)</f>
        <v>16690.7</v>
      </c>
      <c r="M293" s="109">
        <f>SUM(M294:M300)</f>
        <v>14592.3</v>
      </c>
      <c r="N293" s="383"/>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row>
    <row r="294" spans="1:49" ht="14.25" customHeight="1" x14ac:dyDescent="0.2">
      <c r="A294" s="1804" t="s">
        <v>18</v>
      </c>
      <c r="B294" s="1805"/>
      <c r="C294" s="1805"/>
      <c r="D294" s="1805"/>
      <c r="E294" s="1805"/>
      <c r="F294" s="1805"/>
      <c r="G294" s="1805"/>
      <c r="H294" s="1805"/>
      <c r="I294" s="1806"/>
      <c r="J294" s="954">
        <f>SUMIF(I10:I286,"SB",J10:J286)</f>
        <v>10976.1</v>
      </c>
      <c r="K294" s="122">
        <f>SUMIF(I10:I286,"SB",K10:K286)</f>
        <v>10326.700000000001</v>
      </c>
      <c r="L294" s="122">
        <f>SUMIF(I15:I286,"SB",L15:L286)</f>
        <v>13443</v>
      </c>
      <c r="M294" s="122">
        <f>SUMIF(I15:I286,"SB",M15:M286)</f>
        <v>13246.1</v>
      </c>
      <c r="N294" s="16"/>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row>
    <row r="295" spans="1:49" ht="14.25" customHeight="1" x14ac:dyDescent="0.2">
      <c r="A295" s="1785" t="s">
        <v>19</v>
      </c>
      <c r="B295" s="1786"/>
      <c r="C295" s="1786"/>
      <c r="D295" s="1786"/>
      <c r="E295" s="1786"/>
      <c r="F295" s="1786"/>
      <c r="G295" s="1786"/>
      <c r="H295" s="1786"/>
      <c r="I295" s="1787"/>
      <c r="J295" s="948">
        <f>SUMIF(I10:I286,"SB(SP)",J10:J286)</f>
        <v>33.5</v>
      </c>
      <c r="K295" s="153">
        <f>SUMIF(I11:I286,"SB(SP)",K11:K286)</f>
        <v>34.700000000000003</v>
      </c>
      <c r="L295" s="153">
        <f>SUMIF(I15:I286,"SB(SP)",L15:L286)</f>
        <v>34.700000000000003</v>
      </c>
      <c r="M295" s="153">
        <f>SUMIF(I15:I286,"SB(SP)",M15:M286)</f>
        <v>34.700000000000003</v>
      </c>
      <c r="N295" s="23"/>
    </row>
    <row r="296" spans="1:49" ht="12.75" customHeight="1" x14ac:dyDescent="0.2">
      <c r="A296" s="1785" t="s">
        <v>67</v>
      </c>
      <c r="B296" s="1786"/>
      <c r="C296" s="1786"/>
      <c r="D296" s="1786"/>
      <c r="E296" s="1786"/>
      <c r="F296" s="1786"/>
      <c r="G296" s="1786"/>
      <c r="H296" s="1786"/>
      <c r="I296" s="1787"/>
      <c r="J296" s="948">
        <f>SUMIF(I11:I284,"SB(VR)",J11:J284)</f>
        <v>79.900000000000006</v>
      </c>
      <c r="K296" s="153">
        <f>SUMIF(I11:I286,"SB(VR)",K11:K286)</f>
        <v>0</v>
      </c>
      <c r="L296" s="153">
        <f>SUMIF(I11:I286,"SB(VR)",L11:L286)</f>
        <v>0</v>
      </c>
      <c r="M296" s="153">
        <f>SUMIF(I11:I286,"SB(VR)",M11:M286)</f>
        <v>0</v>
      </c>
      <c r="N296" s="18"/>
      <c r="O296" s="1"/>
      <c r="P296" s="1"/>
      <c r="Q296" s="1"/>
      <c r="R296" s="1"/>
    </row>
    <row r="297" spans="1:49" x14ac:dyDescent="0.2">
      <c r="A297" s="1785" t="s">
        <v>20</v>
      </c>
      <c r="B297" s="1786"/>
      <c r="C297" s="1786"/>
      <c r="D297" s="1786"/>
      <c r="E297" s="1786"/>
      <c r="F297" s="1786"/>
      <c r="G297" s="1786"/>
      <c r="H297" s="1786"/>
      <c r="I297" s="1787"/>
      <c r="J297" s="948">
        <f>SUMIF(I11:I286,"SB(P)",J11:J286)</f>
        <v>0</v>
      </c>
      <c r="K297" s="153">
        <f>SUMIF(I11:I286,"SB(P)",K11:K286)</f>
        <v>0</v>
      </c>
      <c r="L297" s="153">
        <f>SUMIF(I11:I286,"SB(P)",L11:L286)</f>
        <v>0</v>
      </c>
      <c r="M297" s="153">
        <f>SUMIF(I11:I286,"SB(P)",M11:M286)</f>
        <v>0</v>
      </c>
      <c r="N297" s="18"/>
      <c r="O297" s="1"/>
      <c r="P297" s="1"/>
      <c r="Q297" s="1"/>
      <c r="R297" s="1"/>
    </row>
    <row r="298" spans="1:49" x14ac:dyDescent="0.2">
      <c r="A298" s="1785" t="s">
        <v>95</v>
      </c>
      <c r="B298" s="1786"/>
      <c r="C298" s="1786"/>
      <c r="D298" s="1786"/>
      <c r="E298" s="1786"/>
      <c r="F298" s="1786"/>
      <c r="G298" s="1786"/>
      <c r="H298" s="1786"/>
      <c r="I298" s="1787"/>
      <c r="J298" s="948">
        <f>SUMIF(I13:I286,"SB(VB)",J13:J286)</f>
        <v>0</v>
      </c>
      <c r="K298" s="153">
        <f>SUMIF(I12:I286,"SB(VB)",K12:K286)</f>
        <v>164.2</v>
      </c>
      <c r="L298" s="153">
        <f>SUMIF(I13:I286,"SB(VB)",L13:L286)</f>
        <v>260.60000000000002</v>
      </c>
      <c r="M298" s="153">
        <f>SUMIF(I13:I286,"SB(VB)",M13:M286)</f>
        <v>106.4</v>
      </c>
      <c r="O298" s="432"/>
    </row>
    <row r="299" spans="1:49" x14ac:dyDescent="0.2">
      <c r="A299" s="1788" t="s">
        <v>199</v>
      </c>
      <c r="B299" s="1789"/>
      <c r="C299" s="1789"/>
      <c r="D299" s="1789"/>
      <c r="E299" s="1789"/>
      <c r="F299" s="1789"/>
      <c r="G299" s="1789"/>
      <c r="H299" s="1789"/>
      <c r="I299" s="1790"/>
      <c r="J299" s="948">
        <f>SUMIF(I11:I286,"SB(KPP)",J11:J286)</f>
        <v>0</v>
      </c>
      <c r="K299" s="153">
        <f>SUMIF(I11:I286,"SB(KPP)",K11:K286)</f>
        <v>0</v>
      </c>
      <c r="L299" s="153">
        <f>SUMIF(I14:I280,"SB(KPP)",L14:L280)</f>
        <v>0</v>
      </c>
      <c r="M299" s="153">
        <f>SUMIF(I14:I280,"SB(KPP)",M14:M280)</f>
        <v>0</v>
      </c>
      <c r="N299" s="57"/>
      <c r="O299" s="1003"/>
      <c r="P299" s="57"/>
      <c r="Q299" s="57"/>
      <c r="R299" s="57"/>
    </row>
    <row r="300" spans="1:49" ht="14.25" customHeight="1" x14ac:dyDescent="0.2">
      <c r="A300" s="1791" t="s">
        <v>181</v>
      </c>
      <c r="B300" s="1792"/>
      <c r="C300" s="1792"/>
      <c r="D300" s="1792"/>
      <c r="E300" s="1792"/>
      <c r="F300" s="1792"/>
      <c r="G300" s="1792"/>
      <c r="H300" s="1792"/>
      <c r="I300" s="1793"/>
      <c r="J300" s="948">
        <f>SUMIF(I11:I284,"SB(ES)",J11:J284)</f>
        <v>0</v>
      </c>
      <c r="K300" s="153">
        <f>SUMIF(I11:I284,"SB(ES)",K11:K284)</f>
        <v>1861.9</v>
      </c>
      <c r="L300" s="153">
        <f>SUMIF(I14:I285,"SB(ES)",L14:L285)</f>
        <v>2952.4</v>
      </c>
      <c r="M300" s="153">
        <f>SUMIF(I14:I285,"SB(ES)",M14:M285)</f>
        <v>1205.0999999999999</v>
      </c>
      <c r="O300" s="1003"/>
    </row>
    <row r="301" spans="1:49" ht="14.25" customHeight="1" x14ac:dyDescent="0.2">
      <c r="A301" s="1776" t="s">
        <v>59</v>
      </c>
      <c r="B301" s="1777"/>
      <c r="C301" s="1777"/>
      <c r="D301" s="1777"/>
      <c r="E301" s="1777"/>
      <c r="F301" s="1777"/>
      <c r="G301" s="1777"/>
      <c r="H301" s="1777"/>
      <c r="I301" s="1778"/>
      <c r="J301" s="947">
        <f>SUMIF(I15:I280,"SB(L)",J15:J280)</f>
        <v>1490.4</v>
      </c>
      <c r="K301" s="339">
        <f>SUMIF(I11:I280,"SB(L)",K11:K280)</f>
        <v>2530.6999999999998</v>
      </c>
      <c r="L301" s="339">
        <f>SUMIF(I15:I280,"SB(L)",L15:L280)</f>
        <v>0</v>
      </c>
      <c r="M301" s="339">
        <f>SUMIF(K15:K280,"SB(L)",M15:M280)</f>
        <v>0</v>
      </c>
      <c r="O301" s="432"/>
    </row>
    <row r="302" spans="1:49" x14ac:dyDescent="0.2">
      <c r="A302" s="1776" t="s">
        <v>93</v>
      </c>
      <c r="B302" s="1777"/>
      <c r="C302" s="1777"/>
      <c r="D302" s="1777"/>
      <c r="E302" s="1777"/>
      <c r="F302" s="1777"/>
      <c r="G302" s="1777"/>
      <c r="H302" s="1777"/>
      <c r="I302" s="1778"/>
      <c r="J302" s="947">
        <f>SUMIF(I15:I286,"SB(SPL)",J15:J286)</f>
        <v>3.6</v>
      </c>
      <c r="K302" s="631">
        <f>SUMIF(I15:I286,"SB(SPL)",K15:K286)</f>
        <v>0</v>
      </c>
      <c r="L302" s="947">
        <f>SUMIF(I15:I286,"SB(SPL)",L15:L286)</f>
        <v>0</v>
      </c>
      <c r="M302" s="111">
        <f>SUMIF(K15:K286,"SB(SPL)",M15:M286)</f>
        <v>0</v>
      </c>
      <c r="O302" s="3"/>
    </row>
    <row r="303" spans="1:49" x14ac:dyDescent="0.2">
      <c r="A303" s="1776" t="s">
        <v>96</v>
      </c>
      <c r="B303" s="1777"/>
      <c r="C303" s="1777"/>
      <c r="D303" s="1777"/>
      <c r="E303" s="1777"/>
      <c r="F303" s="1777"/>
      <c r="G303" s="1777"/>
      <c r="H303" s="1777"/>
      <c r="I303" s="1778"/>
      <c r="J303" s="947">
        <f>SUMIF(I11:I286,"SB(ŽPL)",J11:J286)</f>
        <v>441.9</v>
      </c>
      <c r="K303" s="631">
        <f>SUMIF(I11:I286,"SB(ŽPL)",K11:K286)</f>
        <v>0</v>
      </c>
      <c r="L303" s="947">
        <f>SUMIF(I11:I286,"SB(ŽPL)",L11:L286)</f>
        <v>0</v>
      </c>
      <c r="M303" s="111">
        <f>SUMIF(K11:K286,"SB(ŽPL)",M11:M286)</f>
        <v>0</v>
      </c>
    </row>
    <row r="304" spans="1:49" ht="12" customHeight="1" x14ac:dyDescent="0.2">
      <c r="A304" s="1776" t="s">
        <v>94</v>
      </c>
      <c r="B304" s="1777"/>
      <c r="C304" s="1777"/>
      <c r="D304" s="1777"/>
      <c r="E304" s="1777"/>
      <c r="F304" s="1777"/>
      <c r="G304" s="1777"/>
      <c r="H304" s="1777"/>
      <c r="I304" s="1778"/>
      <c r="J304" s="947">
        <f>SUMIF(I11:I286,"SB(VRL)",J11:J286)</f>
        <v>0</v>
      </c>
      <c r="K304" s="339">
        <f>SUMIF(I11:I286,"SB(VRL)",K11:K286)</f>
        <v>0</v>
      </c>
      <c r="L304" s="339">
        <f>SUMIF(I15:I286,"SB(VRL)",L15:L286)</f>
        <v>0</v>
      </c>
      <c r="M304" s="339">
        <f>SUMIF(K15:K286,"SB(VRL)",M15:M286)</f>
        <v>0</v>
      </c>
    </row>
    <row r="305" spans="1:18" x14ac:dyDescent="0.2">
      <c r="A305" s="1779" t="s">
        <v>15</v>
      </c>
      <c r="B305" s="1780"/>
      <c r="C305" s="1780"/>
      <c r="D305" s="1780"/>
      <c r="E305" s="1780"/>
      <c r="F305" s="1780"/>
      <c r="G305" s="1780"/>
      <c r="H305" s="1780"/>
      <c r="I305" s="1781"/>
      <c r="J305" s="956">
        <f>SUM(J306:J309)</f>
        <v>409.3</v>
      </c>
      <c r="K305" s="956">
        <f t="shared" ref="K305:M305" si="16">SUM(K306:K309)</f>
        <v>802.5</v>
      </c>
      <c r="L305" s="956">
        <f t="shared" si="16"/>
        <v>3240.4</v>
      </c>
      <c r="M305" s="1274">
        <f t="shared" si="16"/>
        <v>3597.1</v>
      </c>
    </row>
    <row r="306" spans="1:18" x14ac:dyDescent="0.2">
      <c r="A306" s="1782" t="s">
        <v>150</v>
      </c>
      <c r="B306" s="1783"/>
      <c r="C306" s="1783"/>
      <c r="D306" s="1783"/>
      <c r="E306" s="1783"/>
      <c r="F306" s="1783"/>
      <c r="G306" s="1783"/>
      <c r="H306" s="1783"/>
      <c r="I306" s="1784"/>
      <c r="J306" s="948">
        <f>SUMIF(I14:I286,"KVJUD",J14:J286)</f>
        <v>0</v>
      </c>
      <c r="K306" s="153">
        <f>SUMIF(I14:I286,"KVJUD",K14:K286)</f>
        <v>0</v>
      </c>
      <c r="L306" s="153">
        <f>SUMIF(I15:I286,"KVJUD",L14:L286)</f>
        <v>0</v>
      </c>
      <c r="M306" s="153">
        <f>SUMIF(I14:I286,"KVJUD",M14:M286)</f>
        <v>0</v>
      </c>
    </row>
    <row r="307" spans="1:18" ht="13.5" customHeight="1" x14ac:dyDescent="0.2">
      <c r="A307" s="1785" t="s">
        <v>22</v>
      </c>
      <c r="B307" s="1786"/>
      <c r="C307" s="1786"/>
      <c r="D307" s="1786"/>
      <c r="E307" s="1786"/>
      <c r="F307" s="1786"/>
      <c r="G307" s="1786"/>
      <c r="H307" s="1786"/>
      <c r="I307" s="1787"/>
      <c r="J307" s="948">
        <f>SUMIF(I11:I286,"LRVB",J11:J286)</f>
        <v>32.5</v>
      </c>
      <c r="K307" s="153">
        <f>SUMIF(I11:I286,"LRVB",K11:K286)</f>
        <v>65.099999999999994</v>
      </c>
      <c r="L307" s="153">
        <f>SUMIF(I11:I286,"LRVB",L11:L286)</f>
        <v>262.7</v>
      </c>
      <c r="M307" s="153">
        <f>SUMIF(I11:I286,"LRVB",M11:M286)</f>
        <v>291.7</v>
      </c>
    </row>
    <row r="308" spans="1:18" ht="14.25" customHeight="1" x14ac:dyDescent="0.2">
      <c r="A308" s="1791" t="s">
        <v>21</v>
      </c>
      <c r="B308" s="1792"/>
      <c r="C308" s="1792"/>
      <c r="D308" s="1792"/>
      <c r="E308" s="1792"/>
      <c r="F308" s="1792"/>
      <c r="G308" s="1792"/>
      <c r="H308" s="1792"/>
      <c r="I308" s="1793"/>
      <c r="J308" s="948">
        <f>SUMIF(I12:I280,"ES",J12:J280)</f>
        <v>366.8</v>
      </c>
      <c r="K308" s="110">
        <f>SUMIF(I15:I284,"ES",K15:K284)</f>
        <v>737.4</v>
      </c>
      <c r="L308" s="110">
        <f>SUMIF(I15:I280,"ES",L15:L280)</f>
        <v>2977.7</v>
      </c>
      <c r="M308" s="110">
        <f>SUMIF(I15:I280,"ES",M15:M280)</f>
        <v>3305.4</v>
      </c>
    </row>
    <row r="309" spans="1:18" ht="15.75" customHeight="1" x14ac:dyDescent="0.2">
      <c r="A309" s="1785" t="s">
        <v>23</v>
      </c>
      <c r="B309" s="1786"/>
      <c r="C309" s="1786"/>
      <c r="D309" s="1786"/>
      <c r="E309" s="1786"/>
      <c r="F309" s="1786"/>
      <c r="G309" s="1786"/>
      <c r="H309" s="1786"/>
      <c r="I309" s="1787"/>
      <c r="J309" s="948">
        <f>SUMIF(I10:I286,"Kt",J10:J286)</f>
        <v>10</v>
      </c>
      <c r="K309" s="153">
        <f>SUMIF(I11:I286,"Kt",K11:K286)</f>
        <v>0</v>
      </c>
      <c r="L309" s="153">
        <f>SUMIF(I11:I286,"Kt",L11:L286)</f>
        <v>0</v>
      </c>
      <c r="M309" s="153">
        <f>SUMIF(I11:I286,"Kt",M11:M286)</f>
        <v>0</v>
      </c>
    </row>
    <row r="310" spans="1:18" ht="15" customHeight="1" thickBot="1" x14ac:dyDescent="0.25">
      <c r="A310" s="1807" t="s">
        <v>16</v>
      </c>
      <c r="B310" s="1808"/>
      <c r="C310" s="1808"/>
      <c r="D310" s="1808"/>
      <c r="E310" s="1808"/>
      <c r="F310" s="1808"/>
      <c r="G310" s="1808"/>
      <c r="H310" s="1808"/>
      <c r="I310" s="1809"/>
      <c r="J310" s="951">
        <f>SUM(J292,J305)</f>
        <v>13434.7</v>
      </c>
      <c r="K310" s="559">
        <f>SUM(K292,K305)</f>
        <v>15720.7</v>
      </c>
      <c r="L310" s="559">
        <f>SUM(L292,L305)</f>
        <v>19931.099999999999</v>
      </c>
      <c r="M310" s="559">
        <f>SUM(M292,M305)</f>
        <v>18189.400000000001</v>
      </c>
      <c r="O310" s="3"/>
      <c r="P310" s="3"/>
      <c r="Q310" s="3"/>
      <c r="R310" s="3"/>
    </row>
    <row r="311" spans="1:18" x14ac:dyDescent="0.2">
      <c r="J311" s="12"/>
      <c r="K311" s="12"/>
      <c r="L311" s="12"/>
      <c r="M311" s="12"/>
      <c r="N311" s="12"/>
      <c r="O311" s="10"/>
      <c r="P311" s="10"/>
      <c r="Q311" s="10"/>
      <c r="R311" s="10"/>
    </row>
    <row r="312" spans="1:18" x14ac:dyDescent="0.2">
      <c r="J312" s="262"/>
      <c r="K312" s="262"/>
      <c r="L312" s="262"/>
      <c r="M312" s="262"/>
      <c r="N312" s="74"/>
      <c r="O312" s="10"/>
      <c r="P312" s="10"/>
      <c r="Q312" s="10"/>
      <c r="R312" s="10"/>
    </row>
    <row r="313" spans="1:18" x14ac:dyDescent="0.2">
      <c r="J313" s="91"/>
      <c r="K313" s="1201"/>
      <c r="L313" s="1201"/>
      <c r="M313" s="1201"/>
      <c r="N313" s="12"/>
      <c r="O313" s="12"/>
      <c r="P313" s="12"/>
      <c r="Q313" s="12"/>
      <c r="R313" s="12"/>
    </row>
    <row r="314" spans="1:18" x14ac:dyDescent="0.2">
      <c r="J314" s="17"/>
      <c r="K314" s="17"/>
      <c r="L314" s="17"/>
      <c r="M314" s="17"/>
    </row>
    <row r="315" spans="1:18" x14ac:dyDescent="0.2">
      <c r="K315" s="17"/>
    </row>
    <row r="316" spans="1:18" x14ac:dyDescent="0.2">
      <c r="J316" s="57"/>
      <c r="K316" s="57"/>
      <c r="L316" s="57"/>
      <c r="M316" s="57"/>
    </row>
  </sheetData>
  <mergeCells count="297">
    <mergeCell ref="E99:E100"/>
    <mergeCell ref="H99:H100"/>
    <mergeCell ref="N196:N198"/>
    <mergeCell ref="E106:E107"/>
    <mergeCell ref="H106:H107"/>
    <mergeCell ref="E108:E109"/>
    <mergeCell ref="E146:E147"/>
    <mergeCell ref="E118:E125"/>
    <mergeCell ref="H108:H109"/>
    <mergeCell ref="F110:F114"/>
    <mergeCell ref="N146:N147"/>
    <mergeCell ref="N170:N171"/>
    <mergeCell ref="G138:G141"/>
    <mergeCell ref="E181:E184"/>
    <mergeCell ref="F181:F184"/>
    <mergeCell ref="G181:G184"/>
    <mergeCell ref="H181:H184"/>
    <mergeCell ref="N182:N183"/>
    <mergeCell ref="N167:N168"/>
    <mergeCell ref="N59:N60"/>
    <mergeCell ref="F57:F58"/>
    <mergeCell ref="F59:F60"/>
    <mergeCell ref="E59:E60"/>
    <mergeCell ref="N61:N62"/>
    <mergeCell ref="N66:N67"/>
    <mergeCell ref="F61:F63"/>
    <mergeCell ref="H61:H62"/>
    <mergeCell ref="H64:H65"/>
    <mergeCell ref="E64:E65"/>
    <mergeCell ref="F64:F65"/>
    <mergeCell ref="N64:N65"/>
    <mergeCell ref="E61:E63"/>
    <mergeCell ref="B138:B141"/>
    <mergeCell ref="C138:C141"/>
    <mergeCell ref="A138:A141"/>
    <mergeCell ref="E110:E113"/>
    <mergeCell ref="A73:A75"/>
    <mergeCell ref="G146:G147"/>
    <mergeCell ref="F176:F178"/>
    <mergeCell ref="F138:F141"/>
    <mergeCell ref="N113:N114"/>
    <mergeCell ref="H88:H89"/>
    <mergeCell ref="N108:N109"/>
    <mergeCell ref="N106:N107"/>
    <mergeCell ref="H110:H114"/>
    <mergeCell ref="G148:G149"/>
    <mergeCell ref="H173:H175"/>
    <mergeCell ref="G173:G175"/>
    <mergeCell ref="N176:N177"/>
    <mergeCell ref="H150:H153"/>
    <mergeCell ref="H86:H87"/>
    <mergeCell ref="E102:E103"/>
    <mergeCell ref="H102:H103"/>
    <mergeCell ref="E97:E98"/>
    <mergeCell ref="F97:F98"/>
    <mergeCell ref="H97:H98"/>
    <mergeCell ref="A71:A72"/>
    <mergeCell ref="D71:D72"/>
    <mergeCell ref="E71:E72"/>
    <mergeCell ref="E104:E105"/>
    <mergeCell ref="E115:E117"/>
    <mergeCell ref="E84:E85"/>
    <mergeCell ref="E138:E141"/>
    <mergeCell ref="E76:E79"/>
    <mergeCell ref="A176:A178"/>
    <mergeCell ref="B176:B178"/>
    <mergeCell ref="C176:C178"/>
    <mergeCell ref="D176:D178"/>
    <mergeCell ref="E176:E178"/>
    <mergeCell ref="E170:E171"/>
    <mergeCell ref="A148:A149"/>
    <mergeCell ref="B173:B175"/>
    <mergeCell ref="E173:E175"/>
    <mergeCell ref="D148:D149"/>
    <mergeCell ref="E148:E149"/>
    <mergeCell ref="D162:D165"/>
    <mergeCell ref="D156:D161"/>
    <mergeCell ref="E150:E153"/>
    <mergeCell ref="A146:A147"/>
    <mergeCell ref="B73:B75"/>
    <mergeCell ref="A309:I309"/>
    <mergeCell ref="E142:E143"/>
    <mergeCell ref="F146:F147"/>
    <mergeCell ref="E179:E180"/>
    <mergeCell ref="E195:E198"/>
    <mergeCell ref="G185:G188"/>
    <mergeCell ref="G197:G200"/>
    <mergeCell ref="G202:G205"/>
    <mergeCell ref="E199:E202"/>
    <mergeCell ref="D189:D194"/>
    <mergeCell ref="H202:H205"/>
    <mergeCell ref="H189:H194"/>
    <mergeCell ref="H185:H188"/>
    <mergeCell ref="G189:G194"/>
    <mergeCell ref="C173:C175"/>
    <mergeCell ref="E189:E194"/>
    <mergeCell ref="A306:I306"/>
    <mergeCell ref="C284:I284"/>
    <mergeCell ref="C272:I272"/>
    <mergeCell ref="B148:B149"/>
    <mergeCell ref="C148:C149"/>
    <mergeCell ref="A173:A175"/>
    <mergeCell ref="D173:D175"/>
    <mergeCell ref="B146:B147"/>
    <mergeCell ref="A310:I310"/>
    <mergeCell ref="A307:I307"/>
    <mergeCell ref="A304:I304"/>
    <mergeCell ref="C273:I273"/>
    <mergeCell ref="A251:A252"/>
    <mergeCell ref="B251:B252"/>
    <mergeCell ref="A305:I305"/>
    <mergeCell ref="A302:I302"/>
    <mergeCell ref="A303:I303"/>
    <mergeCell ref="A299:I299"/>
    <mergeCell ref="A295:I295"/>
    <mergeCell ref="A297:I297"/>
    <mergeCell ref="A292:I292"/>
    <mergeCell ref="A301:I301"/>
    <mergeCell ref="A298:I298"/>
    <mergeCell ref="H264:H265"/>
    <mergeCell ref="C251:C252"/>
    <mergeCell ref="A308:I308"/>
    <mergeCell ref="A293:I293"/>
    <mergeCell ref="A300:I300"/>
    <mergeCell ref="E256:E261"/>
    <mergeCell ref="A296:I296"/>
    <mergeCell ref="A253:A255"/>
    <mergeCell ref="B253:B255"/>
    <mergeCell ref="N1:R1"/>
    <mergeCell ref="A3:R3"/>
    <mergeCell ref="A7:A9"/>
    <mergeCell ref="B7:B9"/>
    <mergeCell ref="C7:C9"/>
    <mergeCell ref="D7:D9"/>
    <mergeCell ref="E7:E9"/>
    <mergeCell ref="F7:F9"/>
    <mergeCell ref="G7:G9"/>
    <mergeCell ref="H7:H9"/>
    <mergeCell ref="I7:I9"/>
    <mergeCell ref="K7:K9"/>
    <mergeCell ref="M7:M9"/>
    <mergeCell ref="N7:R7"/>
    <mergeCell ref="A4:R4"/>
    <mergeCell ref="A5:R5"/>
    <mergeCell ref="N6:R6"/>
    <mergeCell ref="N8:N9"/>
    <mergeCell ref="O8:R8"/>
    <mergeCell ref="L7:L9"/>
    <mergeCell ref="J7:J9"/>
    <mergeCell ref="D47:D48"/>
    <mergeCell ref="H55:H56"/>
    <mergeCell ref="B12:R12"/>
    <mergeCell ref="C13:R13"/>
    <mergeCell ref="H15:H17"/>
    <mergeCell ref="H18:H23"/>
    <mergeCell ref="E15:E17"/>
    <mergeCell ref="C18:C23"/>
    <mergeCell ref="N22:N23"/>
    <mergeCell ref="E47:E48"/>
    <mergeCell ref="G47:G48"/>
    <mergeCell ref="H47:H48"/>
    <mergeCell ref="E24:E27"/>
    <mergeCell ref="D24:D43"/>
    <mergeCell ref="F24:F43"/>
    <mergeCell ref="D53:D54"/>
    <mergeCell ref="E53:E54"/>
    <mergeCell ref="F53:F54"/>
    <mergeCell ref="G53:G54"/>
    <mergeCell ref="H53:H54"/>
    <mergeCell ref="D49:D50"/>
    <mergeCell ref="D51:D52"/>
    <mergeCell ref="E51:E52"/>
    <mergeCell ref="F51:F52"/>
    <mergeCell ref="H51:H52"/>
    <mergeCell ref="G64:G65"/>
    <mergeCell ref="G66:G68"/>
    <mergeCell ref="D66:D68"/>
    <mergeCell ref="G49:G50"/>
    <mergeCell ref="E49:E50"/>
    <mergeCell ref="F49:F50"/>
    <mergeCell ref="F66:F68"/>
    <mergeCell ref="E66:E68"/>
    <mergeCell ref="D55:D56"/>
    <mergeCell ref="E55:E56"/>
    <mergeCell ref="F55:F56"/>
    <mergeCell ref="G55:G56"/>
    <mergeCell ref="H66:H68"/>
    <mergeCell ref="D57:D58"/>
    <mergeCell ref="E57:E58"/>
    <mergeCell ref="H57:H58"/>
    <mergeCell ref="D64:D65"/>
    <mergeCell ref="C253:C255"/>
    <mergeCell ref="D253:D255"/>
    <mergeCell ref="E253:E255"/>
    <mergeCell ref="F253:F255"/>
    <mergeCell ref="H253:H255"/>
    <mergeCell ref="H256:H259"/>
    <mergeCell ref="N286:R286"/>
    <mergeCell ref="N285:R285"/>
    <mergeCell ref="D274:D276"/>
    <mergeCell ref="A274:A276"/>
    <mergeCell ref="A290:I290"/>
    <mergeCell ref="A294:I294"/>
    <mergeCell ref="A291:I291"/>
    <mergeCell ref="B285:I285"/>
    <mergeCell ref="E281:E283"/>
    <mergeCell ref="H281:H283"/>
    <mergeCell ref="A287:M287"/>
    <mergeCell ref="B286:I286"/>
    <mergeCell ref="C274:C276"/>
    <mergeCell ref="B274:B276"/>
    <mergeCell ref="E278:E280"/>
    <mergeCell ref="H278:H280"/>
    <mergeCell ref="H274:H276"/>
    <mergeCell ref="E274:E276"/>
    <mergeCell ref="F274:F276"/>
    <mergeCell ref="F251:F252"/>
    <mergeCell ref="E244:E246"/>
    <mergeCell ref="D251:D252"/>
    <mergeCell ref="H251:H252"/>
    <mergeCell ref="E248:E249"/>
    <mergeCell ref="E251:E252"/>
    <mergeCell ref="N248:N249"/>
    <mergeCell ref="N228:N229"/>
    <mergeCell ref="H244:H247"/>
    <mergeCell ref="C71:C72"/>
    <mergeCell ref="E228:E232"/>
    <mergeCell ref="C241:I241"/>
    <mergeCell ref="C242:Q242"/>
    <mergeCell ref="G219:G220"/>
    <mergeCell ref="H219:H220"/>
    <mergeCell ref="D219:D220"/>
    <mergeCell ref="F219:F220"/>
    <mergeCell ref="E219:E220"/>
    <mergeCell ref="F210:F212"/>
    <mergeCell ref="N210:N212"/>
    <mergeCell ref="H214:H215"/>
    <mergeCell ref="F185:F188"/>
    <mergeCell ref="H179:H180"/>
    <mergeCell ref="N200:N202"/>
    <mergeCell ref="N179:N180"/>
    <mergeCell ref="H73:H75"/>
    <mergeCell ref="E154:E155"/>
    <mergeCell ref="H70:H72"/>
    <mergeCell ref="G71:G72"/>
    <mergeCell ref="E225:E227"/>
    <mergeCell ref="F71:F72"/>
    <mergeCell ref="H104:H105"/>
    <mergeCell ref="N99:N100"/>
    <mergeCell ref="C223:R223"/>
    <mergeCell ref="H224:H227"/>
    <mergeCell ref="N214:N215"/>
    <mergeCell ref="C146:C147"/>
    <mergeCell ref="E73:E75"/>
    <mergeCell ref="D138:D141"/>
    <mergeCell ref="Q146:Q147"/>
    <mergeCell ref="E210:E212"/>
    <mergeCell ref="D167:D169"/>
    <mergeCell ref="E203:E206"/>
    <mergeCell ref="E185:E188"/>
    <mergeCell ref="F203:F206"/>
    <mergeCell ref="H197:H200"/>
    <mergeCell ref="F195:F198"/>
    <mergeCell ref="D146:D147"/>
    <mergeCell ref="D73:D75"/>
    <mergeCell ref="C222:I222"/>
    <mergeCell ref="G216:G218"/>
    <mergeCell ref="H216:H218"/>
    <mergeCell ref="E216:E218"/>
    <mergeCell ref="F216:F218"/>
    <mergeCell ref="E214:E215"/>
    <mergeCell ref="F173:F175"/>
    <mergeCell ref="C73:C75"/>
    <mergeCell ref="A10:R10"/>
    <mergeCell ref="E207:E209"/>
    <mergeCell ref="F44:F48"/>
    <mergeCell ref="H44:H46"/>
    <mergeCell ref="A11:R11"/>
    <mergeCell ref="F18:F23"/>
    <mergeCell ref="A18:A23"/>
    <mergeCell ref="E18:E23"/>
    <mergeCell ref="D18:D23"/>
    <mergeCell ref="B18:B23"/>
    <mergeCell ref="R146:R147"/>
    <mergeCell ref="F148:F149"/>
    <mergeCell ref="N186:N188"/>
    <mergeCell ref="F189:F194"/>
    <mergeCell ref="G176:G178"/>
    <mergeCell ref="H176:H178"/>
    <mergeCell ref="F199:F202"/>
    <mergeCell ref="D185:D188"/>
    <mergeCell ref="N205:N206"/>
    <mergeCell ref="G18:G23"/>
    <mergeCell ref="E44:E46"/>
    <mergeCell ref="H49:H50"/>
    <mergeCell ref="D44:D46"/>
    <mergeCell ref="B71:B72"/>
  </mergeCells>
  <printOptions horizontalCentered="1"/>
  <pageMargins left="0.78740157480314965" right="0.39370078740157483" top="0.59055118110236227" bottom="0.39370078740157483" header="0" footer="0"/>
  <pageSetup paperSize="9" scale="56" orientation="portrait" r:id="rId1"/>
  <rowBreaks count="3" manualBreakCount="3">
    <brk id="69" max="17" man="1"/>
    <brk id="188" max="17" man="1"/>
    <brk id="255" max="1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6</vt:i4>
      </vt:variant>
    </vt:vector>
  </HeadingPairs>
  <TitlesOfParts>
    <vt:vector size="9" baseType="lpstr">
      <vt:lpstr>Lyginamasis variantas</vt:lpstr>
      <vt:lpstr>7 programa</vt:lpstr>
      <vt:lpstr>aiškinamoji lentelė</vt:lpstr>
      <vt:lpstr>'7 programa'!Print_Area</vt:lpstr>
      <vt:lpstr>'aiškinamoji lentelė'!Print_Area</vt:lpstr>
      <vt:lpstr>'Lyginamasis variantas'!Print_Area</vt:lpstr>
      <vt:lpstr>'7 programa'!Print_Titles</vt:lpstr>
      <vt:lpstr>'aiškinamoji lentelė'!Print_Titles</vt:lpstr>
      <vt:lpstr>'Lyginamasis variantas'!Print_Titles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Lietute Demidova</cp:lastModifiedBy>
  <cp:lastPrinted>2019-01-31T09:25:44Z</cp:lastPrinted>
  <dcterms:created xsi:type="dcterms:W3CDTF">2007-07-27T10:32:34Z</dcterms:created>
  <dcterms:modified xsi:type="dcterms:W3CDTF">2019-02-05T07:15:12Z</dcterms:modified>
</cp:coreProperties>
</file>