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sprendimai\"/>
    </mc:Choice>
  </mc:AlternateContent>
  <bookViews>
    <workbookView xWindow="0" yWindow="0" windowWidth="20490" windowHeight="7755"/>
  </bookViews>
  <sheets>
    <sheet name="11 programa" sheetId="11" r:id="rId1"/>
    <sheet name="Aiškinamoji lentelė" sheetId="7" state="hidden" r:id="rId2"/>
    <sheet name="Sporto renginiai" sheetId="9" state="hidden" r:id="rId3"/>
    <sheet name="LOF raštas" sheetId="10" state="hidden" r:id="rId4"/>
  </sheets>
  <definedNames>
    <definedName name="_xlnm.Print_Area" localSheetId="0">'11 programa'!$A$1:$P$135</definedName>
    <definedName name="_xlnm.Print_Area" localSheetId="1">'Aiškinamoji lentelė'!$A$1:$S$215</definedName>
    <definedName name="_xlnm.Print_Titles" localSheetId="0">'11 programa'!$6:$8</definedName>
    <definedName name="_xlnm.Print_Titles" localSheetId="1">'Aiškinamoji lentelė'!$6:$8</definedName>
  </definedNames>
  <calcPr calcId="162913"/>
</workbook>
</file>

<file path=xl/calcChain.xml><?xml version="1.0" encoding="utf-8"?>
<calcChain xmlns="http://schemas.openxmlformats.org/spreadsheetml/2006/main">
  <c r="J115" i="11" l="1"/>
  <c r="L190" i="7"/>
  <c r="L127" i="11" l="1"/>
  <c r="K127" i="11"/>
  <c r="J127" i="11"/>
  <c r="L126" i="11"/>
  <c r="K126" i="11"/>
  <c r="J126" i="11"/>
  <c r="J110" i="11"/>
  <c r="J94" i="11"/>
  <c r="J78" i="11"/>
  <c r="J132" i="11"/>
  <c r="J131" i="11" s="1"/>
  <c r="J130" i="11"/>
  <c r="J129" i="11"/>
  <c r="J128" i="11"/>
  <c r="J125" i="11"/>
  <c r="J124" i="11" l="1"/>
  <c r="L148" i="7"/>
  <c r="K87" i="11" l="1"/>
  <c r="J87" i="11"/>
  <c r="L168" i="7" l="1"/>
  <c r="K98" i="11" l="1"/>
  <c r="J98" i="11"/>
  <c r="K128" i="11" l="1"/>
  <c r="M202" i="7"/>
  <c r="L94" i="11"/>
  <c r="K94" i="11"/>
  <c r="N135" i="7" l="1"/>
  <c r="L27" i="11"/>
  <c r="K27" i="11"/>
  <c r="L60" i="11"/>
  <c r="K60" i="11"/>
  <c r="N193" i="7"/>
  <c r="M193" i="7"/>
  <c r="L117" i="11"/>
  <c r="K117" i="11"/>
  <c r="L115" i="11"/>
  <c r="K115" i="11"/>
  <c r="N190" i="7"/>
  <c r="M190" i="7"/>
  <c r="L67" i="11" l="1"/>
  <c r="K67" i="11"/>
  <c r="J67" i="11"/>
  <c r="K59" i="11" l="1"/>
  <c r="L59" i="11"/>
  <c r="J59" i="11"/>
  <c r="N81" i="7" l="1"/>
  <c r="M81" i="7"/>
  <c r="L81" i="7"/>
  <c r="N72" i="7"/>
  <c r="M72" i="7"/>
  <c r="L72" i="7"/>
  <c r="N70" i="7"/>
  <c r="M70" i="7"/>
  <c r="L70" i="7"/>
  <c r="N64" i="7"/>
  <c r="M64" i="7"/>
  <c r="L64" i="7"/>
  <c r="L130" i="11" l="1"/>
  <c r="K130" i="11"/>
  <c r="L129" i="11"/>
  <c r="K129" i="11"/>
  <c r="L118" i="11"/>
  <c r="K118" i="11"/>
  <c r="J118" i="11"/>
  <c r="L116" i="11"/>
  <c r="K116" i="11"/>
  <c r="J116" i="11"/>
  <c r="L112" i="11"/>
  <c r="K112" i="11"/>
  <c r="J112" i="11"/>
  <c r="L109" i="11"/>
  <c r="K109" i="11"/>
  <c r="J109" i="11"/>
  <c r="K107" i="11"/>
  <c r="J107" i="11"/>
  <c r="L105" i="11"/>
  <c r="K105" i="11"/>
  <c r="J105" i="11"/>
  <c r="L98" i="11"/>
  <c r="L132" i="11"/>
  <c r="K132" i="11"/>
  <c r="J81" i="11"/>
  <c r="J77" i="11"/>
  <c r="L75" i="11"/>
  <c r="K75" i="11"/>
  <c r="J75" i="11"/>
  <c r="L73" i="11"/>
  <c r="K73" i="11"/>
  <c r="J73" i="11"/>
  <c r="L71" i="11"/>
  <c r="K71" i="11"/>
  <c r="J70" i="11"/>
  <c r="J71" i="11" s="1"/>
  <c r="L69" i="11"/>
  <c r="K69" i="11"/>
  <c r="J69" i="11"/>
  <c r="L28" i="11"/>
  <c r="K28" i="11"/>
  <c r="L26" i="11"/>
  <c r="K26" i="11"/>
  <c r="J26" i="11"/>
  <c r="J23" i="11"/>
  <c r="L23" i="11"/>
  <c r="K23" i="11"/>
  <c r="L20" i="11"/>
  <c r="K20" i="11"/>
  <c r="J20" i="11"/>
  <c r="L17" i="11"/>
  <c r="K17" i="11"/>
  <c r="J17" i="11"/>
  <c r="L131" i="11" l="1"/>
  <c r="J113" i="11"/>
  <c r="L29" i="11"/>
  <c r="K131" i="11"/>
  <c r="K29" i="11"/>
  <c r="K78" i="11"/>
  <c r="L78" i="11"/>
  <c r="L110" i="11"/>
  <c r="L119" i="11"/>
  <c r="J28" i="11"/>
  <c r="J29" i="11" s="1"/>
  <c r="J119" i="11"/>
  <c r="K110" i="11"/>
  <c r="K119" i="11"/>
  <c r="K125" i="11"/>
  <c r="K124" i="11" s="1"/>
  <c r="L125" i="11"/>
  <c r="L124" i="11" s="1"/>
  <c r="L133" i="11" s="1"/>
  <c r="K133" i="11" l="1"/>
  <c r="K113" i="11"/>
  <c r="K120" i="11" s="1"/>
  <c r="K121" i="11" s="1"/>
  <c r="J133" i="11"/>
  <c r="L113" i="11"/>
  <c r="L120" i="11" s="1"/>
  <c r="L121" i="11" s="1"/>
  <c r="J120" i="11"/>
  <c r="J121" i="11" s="1"/>
  <c r="N58" i="7"/>
  <c r="M58" i="7"/>
  <c r="L58" i="7"/>
  <c r="N45" i="7"/>
  <c r="M45" i="7"/>
  <c r="L45" i="7"/>
  <c r="L105" i="7" l="1"/>
  <c r="L90" i="7" l="1"/>
  <c r="M90" i="7"/>
  <c r="N90" i="7"/>
  <c r="L19" i="7" l="1"/>
  <c r="N154" i="7" l="1"/>
  <c r="N168" i="7" s="1"/>
  <c r="M154" i="7"/>
  <c r="M168" i="7" s="1"/>
  <c r="L30" i="7"/>
  <c r="L31" i="7" l="1"/>
  <c r="K31" i="7"/>
  <c r="N31" i="7"/>
  <c r="M31" i="7"/>
  <c r="L23" i="7" l="1"/>
  <c r="L113" i="7"/>
  <c r="N138" i="7" l="1"/>
  <c r="M138" i="7"/>
  <c r="M148" i="7" s="1"/>
  <c r="L26" i="7" l="1"/>
  <c r="N25" i="7"/>
  <c r="N26" i="7" s="1"/>
  <c r="M25" i="7"/>
  <c r="M26" i="7" s="1"/>
  <c r="M178" i="7" l="1"/>
  <c r="L178" i="7"/>
  <c r="L102" i="7"/>
  <c r="N110" i="7"/>
  <c r="M110" i="7"/>
  <c r="L110" i="7"/>
  <c r="K110" i="7"/>
  <c r="M19" i="7"/>
  <c r="K19" i="7"/>
  <c r="M45" i="9" l="1"/>
  <c r="M44" i="9"/>
  <c r="M43" i="9"/>
  <c r="M42" i="9"/>
  <c r="M40" i="9"/>
  <c r="M39" i="9"/>
  <c r="M38" i="9"/>
  <c r="M36" i="9"/>
  <c r="M30" i="9"/>
  <c r="M31" i="9"/>
  <c r="M32" i="9"/>
  <c r="M33" i="9"/>
  <c r="M34" i="9"/>
  <c r="M35" i="9"/>
  <c r="M29" i="9"/>
  <c r="L202" i="7" l="1"/>
  <c r="M25" i="9" l="1"/>
  <c r="M26" i="9"/>
  <c r="M24" i="9"/>
  <c r="J27" i="9"/>
  <c r="M22" i="9"/>
  <c r="M19" i="9"/>
  <c r="M20" i="9"/>
  <c r="M21" i="9"/>
  <c r="M18" i="9"/>
  <c r="M16" i="9"/>
  <c r="M11" i="9"/>
  <c r="M12" i="9"/>
  <c r="M13" i="9"/>
  <c r="M14" i="9"/>
  <c r="M15" i="9"/>
  <c r="M10" i="9"/>
  <c r="J45" i="9"/>
  <c r="G45" i="9"/>
  <c r="G44" i="9"/>
  <c r="G40" i="9"/>
  <c r="J36" i="9"/>
  <c r="G36" i="9"/>
  <c r="J22" i="9"/>
  <c r="G22" i="9"/>
  <c r="J16" i="9"/>
  <c r="G16" i="9"/>
  <c r="M27" i="9" l="1"/>
  <c r="K148" i="7" l="1"/>
  <c r="M180" i="7" l="1"/>
  <c r="K168" i="7" l="1"/>
  <c r="L187" i="7" l="1"/>
  <c r="M187" i="7"/>
  <c r="N187" i="7"/>
  <c r="K187" i="7"/>
  <c r="N148" i="7" l="1"/>
  <c r="L180" i="7"/>
  <c r="K180" i="7"/>
  <c r="N178" i="7"/>
  <c r="K178" i="7"/>
  <c r="L119" i="7"/>
  <c r="N108" i="7"/>
  <c r="M108" i="7"/>
  <c r="L108" i="7"/>
  <c r="K108" i="7"/>
  <c r="N106" i="7"/>
  <c r="M106" i="7"/>
  <c r="L106" i="7"/>
  <c r="K106" i="7"/>
  <c r="N102" i="7"/>
  <c r="K97" i="7" l="1"/>
  <c r="N19" i="7" l="1"/>
  <c r="N211" i="7" l="1"/>
  <c r="N210" i="7"/>
  <c r="N209" i="7"/>
  <c r="N207" i="7"/>
  <c r="N206" i="7"/>
  <c r="N205" i="7"/>
  <c r="N204" i="7"/>
  <c r="N203" i="7"/>
  <c r="N201" i="7"/>
  <c r="M211" i="7"/>
  <c r="M210" i="7"/>
  <c r="M209" i="7"/>
  <c r="M207" i="7"/>
  <c r="M206" i="7"/>
  <c r="M205" i="7"/>
  <c r="M203" i="7"/>
  <c r="L203" i="7"/>
  <c r="L207" i="7"/>
  <c r="L206" i="7"/>
  <c r="M201" i="7"/>
  <c r="L211" i="7"/>
  <c r="L210" i="7"/>
  <c r="L209" i="7"/>
  <c r="L205" i="7"/>
  <c r="L194" i="7"/>
  <c r="M194" i="7"/>
  <c r="N194" i="7"/>
  <c r="L192" i="7"/>
  <c r="M192" i="7"/>
  <c r="N192" i="7"/>
  <c r="L183" i="7"/>
  <c r="M183" i="7"/>
  <c r="M184" i="7" s="1"/>
  <c r="M188" i="7" s="1"/>
  <c r="N183" i="7"/>
  <c r="N184" i="7" s="1"/>
  <c r="N188" i="7" s="1"/>
  <c r="L201" i="7"/>
  <c r="L195" i="7" l="1"/>
  <c r="L184" i="7"/>
  <c r="L188" i="7" s="1"/>
  <c r="M195" i="7"/>
  <c r="N195" i="7"/>
  <c r="N208" i="7"/>
  <c r="M208" i="7"/>
  <c r="L208" i="7"/>
  <c r="N200" i="7"/>
  <c r="N212" i="7" l="1"/>
  <c r="L104" i="7"/>
  <c r="L116" i="7" s="1"/>
  <c r="M104" i="7"/>
  <c r="N104" i="7"/>
  <c r="M102" i="7"/>
  <c r="M204" i="7"/>
  <c r="M200" i="7" s="1"/>
  <c r="M212" i="7" s="1"/>
  <c r="L29" i="7"/>
  <c r="L37" i="7" s="1"/>
  <c r="M29" i="7"/>
  <c r="N29" i="7"/>
  <c r="M23" i="7"/>
  <c r="N23" i="7"/>
  <c r="M37" i="7" l="1"/>
  <c r="N116" i="7"/>
  <c r="M116" i="7"/>
  <c r="N37" i="7"/>
  <c r="L204" i="7"/>
  <c r="L200" i="7" s="1"/>
  <c r="L212" i="7" s="1"/>
  <c r="K88" i="7"/>
  <c r="M196" i="7" l="1"/>
  <c r="M197" i="7" s="1"/>
  <c r="N196" i="7"/>
  <c r="N197" i="7" s="1"/>
  <c r="K29" i="7"/>
  <c r="K58" i="7"/>
  <c r="K90" i="7" s="1"/>
  <c r="K32" i="7"/>
  <c r="K36" i="7" s="1"/>
  <c r="K211" i="7" l="1"/>
  <c r="K210" i="7"/>
  <c r="K209" i="7"/>
  <c r="K207" i="7"/>
  <c r="K206" i="7"/>
  <c r="K205" i="7"/>
  <c r="K204" i="7"/>
  <c r="K203" i="7"/>
  <c r="K201" i="7"/>
  <c r="K194" i="7"/>
  <c r="K192" i="7"/>
  <c r="K183" i="7"/>
  <c r="K184" i="7" s="1"/>
  <c r="K188" i="7" s="1"/>
  <c r="K104" i="7"/>
  <c r="K113" i="7"/>
  <c r="K115" i="7"/>
  <c r="K102" i="7"/>
  <c r="K26" i="7"/>
  <c r="K23" i="7"/>
  <c r="K37" i="7" l="1"/>
  <c r="K116" i="7"/>
  <c r="K195" i="7"/>
  <c r="K208" i="7"/>
  <c r="K200" i="7"/>
  <c r="K196" i="7" l="1"/>
  <c r="K197" i="7" s="1"/>
  <c r="K212" i="7"/>
  <c r="L196" i="7" l="1"/>
  <c r="L197" i="7" s="1"/>
</calcChain>
</file>

<file path=xl/comments1.xml><?xml version="1.0" encoding="utf-8"?>
<comments xmlns="http://schemas.openxmlformats.org/spreadsheetml/2006/main">
  <authors>
    <author>Sniega</author>
    <author>Snieguole Kacerauskaite</author>
    <author>Indre Buteniene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N27" authorId="1" shapeId="0">
      <text>
        <r>
          <rPr>
            <sz val="9"/>
            <color indexed="81"/>
            <rFont val="Tahoma"/>
            <family val="2"/>
            <charset val="186"/>
          </rPr>
          <t>Suorganizuotas vandens sporto šakų festivalis ir paplūdimio sporto renginiai</t>
        </r>
      </text>
    </comment>
    <comment ref="E68" authorId="1" shapeId="0">
      <text>
        <r>
          <rPr>
            <sz val="9"/>
            <color indexed="81"/>
            <rFont val="Tahoma"/>
            <family val="2"/>
            <charset val="186"/>
          </rPr>
          <t>buvęs pavadinimas -"Pasirenkamojo vaikų ugdymo programų finansavimas iš sportininko krepšelio lėšų"</t>
        </r>
      </text>
    </comment>
    <comment ref="E91" authorId="1" shapeId="0">
      <text>
        <r>
          <rPr>
            <sz val="9"/>
            <color indexed="81"/>
            <rFont val="Tahoma"/>
            <family val="2"/>
            <charset val="186"/>
          </rPr>
          <t xml:space="preserve">Projektas gali būti siūlomas  finansuoti iš papildomų 2000 tūkst. Eur paskolos lėšų (jei atitiks Finansų ministerijos parengtas finansavimo sąlygas), nes planuojama pasiekti pastato energetinio naudingumo klasė A (buvo F) , kuri sumažintų pastato išlaikymo išlaidas
</t>
        </r>
      </text>
    </comment>
    <comment ref="E94" authorId="2" shapeId="0">
      <text>
        <r>
          <rPr>
            <sz val="9"/>
            <color indexed="81"/>
            <rFont val="Tahoma"/>
            <family val="2"/>
            <charset val="186"/>
          </rPr>
          <t>Vietoje uždaromos salės Burių g. (Melnragė)</t>
        </r>
      </text>
    </comment>
    <comment ref="E115" authorId="1" shapeId="0">
      <text>
        <r>
          <rPr>
            <sz val="9"/>
            <color indexed="81"/>
            <rFont val="Tahoma"/>
            <family val="2"/>
            <charset val="186"/>
          </rPr>
          <t>Buvusi: 
"Prioritetinių sporto šakų didelio sportinio meistriškumo klubų veiklos dalinis finansavimas"</t>
        </r>
      </text>
    </comment>
    <comment ref="E117" authorId="1" shapeId="0">
      <text>
        <r>
          <rPr>
            <sz val="9"/>
            <color indexed="81"/>
            <rFont val="Tahoma"/>
            <family val="2"/>
            <charset val="186"/>
          </rPr>
          <t xml:space="preserve">Buvusi:
"Individualių sporto šakų sportininkų pasirengimas dalyvauti atrankos varžybose dėl patekimo į nacionalines rinktines"
</t>
        </r>
      </text>
    </comment>
  </commentList>
</comments>
</file>

<file path=xl/comments2.xml><?xml version="1.0" encoding="utf-8"?>
<comments xmlns="http://schemas.openxmlformats.org/spreadsheetml/2006/main">
  <authors>
    <author>Sniega</author>
    <author>Skaiste Kliaubiene</author>
    <author>Snieguole Kacerauskaite</author>
    <author>Indre Buteniene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L64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dėl MK 30600; ir direkt. koef.</t>
        </r>
      </text>
    </comment>
    <comment ref="L70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dėl MK 41600; ir direkt. koef.</t>
        </r>
      </text>
    </comment>
    <comment ref="L72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dėl MK 12700;</t>
        </r>
      </text>
    </comment>
    <comment ref="J80" authorId="2" shapeId="0">
      <text>
        <r>
          <rPr>
            <b/>
            <sz val="9"/>
            <color indexed="81"/>
            <rFont val="Tahoma"/>
            <family val="2"/>
            <charset val="186"/>
          </rPr>
          <t>AB "Klaipėdos nafta"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Q83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2500,00</t>
        </r>
      </text>
    </comment>
    <comment ref="Q84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10000,00</t>
        </r>
      </text>
    </comment>
    <comment ref="Q85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4000,00</t>
        </r>
      </text>
    </comment>
    <comment ref="Q86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17100,00</t>
        </r>
      </text>
    </comment>
    <comment ref="R87" authorId="1" shapeId="0">
      <text>
        <r>
          <rPr>
            <b/>
            <sz val="9"/>
            <color indexed="81"/>
            <rFont val="Tahoma"/>
            <family val="2"/>
            <charset val="186"/>
          </rPr>
          <t>Skaiste Kliaubiene:</t>
        </r>
        <r>
          <rPr>
            <sz val="9"/>
            <color indexed="81"/>
            <rFont val="Tahoma"/>
            <family val="2"/>
            <charset val="186"/>
          </rPr>
          <t xml:space="preserve">
6000,00</t>
        </r>
      </text>
    </comment>
    <comment ref="Q88" authorId="2" shapeId="0">
      <text>
        <r>
          <rPr>
            <sz val="9"/>
            <color indexed="81"/>
            <rFont val="Tahoma"/>
            <family val="2"/>
            <charset val="186"/>
          </rPr>
          <t xml:space="preserve">"Viesulo" sporto centras,
Vlado Knašiaus krepšinio m-kla,
Futbolo sporto mokykla,
Lengvosios atletikos mokykla
</t>
        </r>
      </text>
    </comment>
    <comment ref="E103" authorId="2" shapeId="0">
      <text>
        <r>
          <rPr>
            <sz val="9"/>
            <color indexed="81"/>
            <rFont val="Tahoma"/>
            <family val="2"/>
            <charset val="186"/>
          </rPr>
          <t>buvęs pavadinimas -"Pasirenkamojo vaikų ugdymo programų finansavimas iš sportininko krepšelio lėšų"</t>
        </r>
      </text>
    </comment>
    <comment ref="E135" authorId="3" shapeId="0">
      <text>
        <r>
          <rPr>
            <sz val="9"/>
            <color indexed="81"/>
            <rFont val="Tahoma"/>
            <family val="2"/>
            <charset val="186"/>
          </rPr>
          <t>Vietoje uždaromos salės Burių g. (Melnragė)</t>
        </r>
      </text>
    </comment>
    <comment ref="O164" authorId="2" shapeId="0">
      <text>
        <r>
          <rPr>
            <sz val="9"/>
            <color indexed="81"/>
            <rFont val="Tahoma"/>
            <family val="2"/>
            <charset val="186"/>
          </rPr>
          <t xml:space="preserve">Automobilis ūkio brigadai (21 t.€), sniego valytuvas, lapų siurblys, rotacinė šluota ir kt. įranga (9,7 t.€)
</t>
        </r>
      </text>
    </comment>
    <comment ref="O165" authorId="1" shapeId="0">
      <text>
        <r>
          <rPr>
            <sz val="9"/>
            <color indexed="81"/>
            <rFont val="Tahoma"/>
            <family val="2"/>
            <charset val="186"/>
          </rPr>
          <t xml:space="preserve">
2018 m. 90000 €</t>
        </r>
      </text>
    </comment>
    <comment ref="O166" authorId="1" shapeId="0">
      <text>
        <r>
          <rPr>
            <sz val="9"/>
            <color indexed="81"/>
            <rFont val="Tahoma"/>
            <family val="2"/>
            <charset val="186"/>
          </rPr>
          <t xml:space="preserve">
2018 m. 1300+3200 €</t>
        </r>
      </text>
    </comment>
    <comment ref="O167" authorId="1" shapeId="0">
      <text>
        <r>
          <rPr>
            <sz val="9"/>
            <color indexed="81"/>
            <rFont val="Tahoma"/>
            <family val="2"/>
            <charset val="186"/>
          </rPr>
          <t>2018 m. Taikos pr.61a 20300 ir D. ir Girėno g.10 14400 €</t>
        </r>
      </text>
    </comment>
    <comment ref="E190" authorId="2" shapeId="0">
      <text>
        <r>
          <rPr>
            <sz val="9"/>
            <color indexed="81"/>
            <rFont val="Tahoma"/>
            <family val="2"/>
            <charset val="186"/>
          </rPr>
          <t>Buvusi: 
"Prioritetinių sporto šakų didelio sportinio meistriškumo klubų veiklos dalinis finansavimas"</t>
        </r>
      </text>
    </comment>
    <comment ref="E193" authorId="2" shapeId="0">
      <text>
        <r>
          <rPr>
            <sz val="9"/>
            <color indexed="81"/>
            <rFont val="Tahoma"/>
            <family val="2"/>
            <charset val="186"/>
          </rPr>
          <t xml:space="preserve">Buvusi:
"Individualių sporto šakų sportininkų pasirengimas dalyvauti atrankos varžybose dėl patekimo į nacionalines rinktines"
</t>
        </r>
      </text>
    </comment>
  </commentList>
</comments>
</file>

<file path=xl/sharedStrings.xml><?xml version="1.0" encoding="utf-8"?>
<sst xmlns="http://schemas.openxmlformats.org/spreadsheetml/2006/main" count="972" uniqueCount="372">
  <si>
    <t>KŪNO KULTŪROS IR SPORTO PLĖTROS PROGRAMOS NR. 11</t>
  </si>
  <si>
    <t xml:space="preserve"> TIKSLŲ, UŽDAVINIŲ, PRIEMONIŲ, PRIEMONIŲ IŠLAIDŲ IR PRODUKTO KRITERIJŲ SUVESTINĖ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</si>
  <si>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</si>
  <si>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</si>
  <si>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</si>
  <si>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</si>
  <si>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</si>
  <si>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</si>
  <si>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</si>
  <si>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vertinimo kriterijus</t>
  </si>
  <si>
    <t>Planas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</si>
  <si>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</si>
  <si>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</si>
  <si>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</si>
  <si>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</si>
  <si>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</si>
  <si>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2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</si>
  <si>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</si>
  <si>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</si>
  <si>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</si>
  <si>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</si>
  <si>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</si>
  <si>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</si>
  <si>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</si>
  <si>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</si>
  <si>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</si>
  <si>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Asmenų, lankančių sporto mokyklas, skaičius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</si>
  <si>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</si>
  <si>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</si>
  <si>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</si>
  <si>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</si>
  <si>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 xml:space="preserve">Dalyvavusiųjų sporto ir sveikatingumo renginiuose skaičius, tūkst. žmonių </t>
  </si>
  <si>
    <t xml:space="preserve">buriavimo, irklavimo, baidarių ir kanojų irklavimo sporto šakų </t>
  </si>
  <si>
    <t>neįgaliųjų socialinės integracijos per kūno kultūrą ir sportą</t>
  </si>
  <si>
    <t>04</t>
  </si>
  <si>
    <t>Įrengti naujas ir modernizuoti esamas sporto bazes</t>
  </si>
  <si>
    <t>I</t>
  </si>
  <si>
    <t>SB(VB)</t>
  </si>
  <si>
    <t>Kt</t>
  </si>
  <si>
    <t xml:space="preserve">Sporto bazių modernizavimas ir plėtra:
</t>
  </si>
  <si>
    <t>Įgyvendintas projektas, proc.</t>
  </si>
  <si>
    <t>ES</t>
  </si>
  <si>
    <t>1.6.3.3</t>
  </si>
  <si>
    <t>LRVB</t>
  </si>
  <si>
    <t>Atlikta modernizavimo darbų, proc.</t>
  </si>
  <si>
    <t>Iš viso priemonei:</t>
  </si>
  <si>
    <t xml:space="preserve">Sporto infrastruktūros objektų einamasis remontas ir techninis aptarnavimas:                                    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</si>
  <si>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</si>
  <si>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</si>
  <si>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</si>
  <si>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</si>
  <si>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</si>
  <si>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</si>
  <si>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</si>
  <si>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</si>
  <si>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</si>
  <si>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</si>
  <si>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</si>
  <si>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</si>
  <si>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</si>
  <si>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</si>
  <si>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</si>
  <si>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SB(SPL)</t>
  </si>
  <si>
    <t>05</t>
  </si>
  <si>
    <t>Miestą reprezentuojančių komandų, miestą garsinančių individualių sporto šakų sportininkų ir trenerių pagerbimas</t>
  </si>
  <si>
    <t>Klaipėdos  daugiafunkcio sveikatingumo centro statyba</t>
  </si>
  <si>
    <t>1.6.1.5</t>
  </si>
  <si>
    <t xml:space="preserve"> </t>
  </si>
  <si>
    <t>Įrengta persirengimo konteinerių, skaičius</t>
  </si>
  <si>
    <t>Įsigyta reklaminių-reprezentacinių leidinių, skaičius</t>
  </si>
  <si>
    <t>BĮ Klaipėdos miesto sporto bazių valdymo centre</t>
  </si>
  <si>
    <t>BĮ Klaipėdos miesto sporto bazių valdymo centro pastatų patalpų ir įrenginių atnaujinimo darbai</t>
  </si>
  <si>
    <t>Sporto įstaigų patalpų šildymas</t>
  </si>
  <si>
    <t xml:space="preserve">Šîldoma įstaigų, skaičius  </t>
  </si>
  <si>
    <t>Centralizuotas paviršinių (lietaus) nuotekų tvarkymas (paslaugos apmokėjimas)</t>
  </si>
  <si>
    <t>Parengtas techninis projektas, vnt.</t>
  </si>
  <si>
    <t>2018-ieji metai</t>
  </si>
  <si>
    <t>BĮ Klaipėdos miesto lengvosios atletikos mokykloje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</si>
  <si>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</si>
  <si>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</si>
  <si>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</si>
  <si>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</si>
  <si>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</t>
    </r>
    <r>
      <rPr>
        <sz val="10"/>
        <rFont val="Times New Roman"/>
        <family val="1"/>
      </rPr>
      <t>(</t>
    </r>
    <r>
      <rPr>
        <b/>
        <sz val="10"/>
        <rFont val="Times New Roman"/>
        <family val="1"/>
        <charset val="186"/>
      </rPr>
      <t>ES)</t>
    </r>
  </si>
  <si>
    <t>Projekto „Klaipėda – Europos sporto miestas“ įgyvendinimas</t>
  </si>
  <si>
    <t>Įgyvendinta viešinimo programa, proc.</t>
  </si>
  <si>
    <t>IED Projektų skyrius, G. Dovidaitis</t>
  </si>
  <si>
    <t xml:space="preserve"> - I etapas</t>
  </si>
  <si>
    <t>IED Projektų skyrius, V. Varnaitė</t>
  </si>
  <si>
    <t xml:space="preserve">Futbolo mokyklos ir baseino pastatų konversija: </t>
  </si>
  <si>
    <t>IED Projektų skyrius, V. Varnaitė; Statybos ir infrastruktūros plėtros skyrius, E. Dolėbienė</t>
  </si>
  <si>
    <t>Įgyvendinta  krepšinio turnyro „Karaliaus Mindaugo taurė 2018“ vykdymo programa, vnt.</t>
  </si>
  <si>
    <t>Įgyvendintas Sporto metų minėjimo Klaipėdoje priemonių planas, proc.</t>
  </si>
  <si>
    <t>Sumokėtas mokestis  Europos sporto sostinių ir miestų asociacijai ACES Europe už dalyvavimą projekte</t>
  </si>
  <si>
    <t>Neatlygintinai suteikta sporto bazių sporto renginiams, val.</t>
  </si>
  <si>
    <t>Suorganizuota miesto sporto renginių, skaičius</t>
  </si>
  <si>
    <t>Suremontuota sporto salių (šviestuvų keitimo darbai), skaičius</t>
  </si>
  <si>
    <t>Atlikti stogo šiltinimo darbai (Taikos pr. 61 A), proc.</t>
  </si>
  <si>
    <t>Atnaujinta pastato patalpų (vestibiulio ir holo remonto darbai), Debreceno g. 48, proc.</t>
  </si>
  <si>
    <t>Atnaujinta persirengimo kambarių dušinės, proc.</t>
  </si>
  <si>
    <t>Atnaujinta elektros instaliacija patalpose, proc.</t>
  </si>
  <si>
    <t>Atlikta ventiliacinės sistemos remonto darbų, proc.</t>
  </si>
  <si>
    <t>UKD Sporto ir kūno kultūros skyrius</t>
  </si>
  <si>
    <t xml:space="preserve">MŪD Socialinės infrastruktūros priežiūros skyrius </t>
  </si>
  <si>
    <t>ir jų sporto bazių paslaugoms apmokėti</t>
  </si>
  <si>
    <t>BĮ Klaipėdos „Gintaro“ sporto centro pastato patalpų atnaujinimo darbai</t>
  </si>
  <si>
    <t>Klaipėdos miesto savivaldybės jachtos „Lietuva“ kapitalinis remontas</t>
  </si>
  <si>
    <t>FTD Turto skyrius</t>
  </si>
  <si>
    <t>Atlikta remonto darbų, proc.</t>
  </si>
  <si>
    <t xml:space="preserve"> - II etapas </t>
  </si>
  <si>
    <t xml:space="preserve">VšĮ Klaipėdos irklavimo centro dalininko kapitalo didinimas, siekiant įsigyti „Viking“ klasės laivus </t>
  </si>
  <si>
    <t>Įsigyta laivų, vnt.</t>
  </si>
  <si>
    <t>Prestižinių, tarptautinių ir nacionalinių sporto renginių pritraukimas ir organizavimas, viešinimas</t>
  </si>
  <si>
    <t>Suorganizuota renginių, skaičius</t>
  </si>
  <si>
    <t>Asmenų, lankančių sporto organizacijas, skaičius</t>
  </si>
  <si>
    <t xml:space="preserve">Naujos sporto salės statyba </t>
  </si>
  <si>
    <t>Valandų skaičius</t>
  </si>
  <si>
    <t>Įsigytas mikroautobusas, vnt</t>
  </si>
  <si>
    <t>Klaipėdos miesto sportininkų reprezentacinės varžybų aprangos su Klaipėdos miesto logotipu sukūrimas, proc</t>
  </si>
  <si>
    <t>Komandų, dalyvaujančių aukščiausioje lygoje, skaičius</t>
  </si>
  <si>
    <t>Komandų, dalyvaujančių Europos taurių turnyruose, skaičius</t>
  </si>
  <si>
    <t>ir sporto bazių paslaugoms apmokėti</t>
  </si>
  <si>
    <t>Biudžetinių įstaigų skaičius</t>
  </si>
  <si>
    <t>Įsigyta persirengimo konteinerių, vnt.</t>
  </si>
  <si>
    <t>Sporto bazių paslaugų teikimas sporto renginiams vykdyti</t>
  </si>
  <si>
    <t>Persirengimo konteinerių įsigijimas</t>
  </si>
  <si>
    <t>Suteikta paslaugų, valandų skaičius</t>
  </si>
  <si>
    <t>Įsigytas automobilis ir ūkinis inventorius sporto bazių priežiūrai, vnt.</t>
  </si>
  <si>
    <r>
      <rPr>
        <b/>
        <sz val="10"/>
        <rFont val="Times New Roman"/>
        <family val="1"/>
        <charset val="186"/>
      </rPr>
      <t xml:space="preserve">Futbolo aikštės dangos įrengimas prie Klaipėdos „Pajūrio“ pagrindinės mokyklos </t>
    </r>
    <r>
      <rPr>
        <sz val="10"/>
        <rFont val="Times New Roman"/>
        <family val="1"/>
        <charset val="186"/>
      </rPr>
      <t>(Klaipėdos „Pajūrio“ progimnazijos statinio Laukininkų g. 28, Klaipėdoje, modernizavimas)</t>
    </r>
  </si>
  <si>
    <t>Atnaujinta Centrinio stadiono infrastruktūra (tribūnų uždengimo stogelis ir apsauginis aptvėrimas), proc.</t>
  </si>
  <si>
    <t>2018 m. asignavimų planas</t>
  </si>
  <si>
    <t>Vykdytojas (skyrius / asmuo)</t>
  </si>
  <si>
    <t>UKD Sporto ir kūno kultūros sk.</t>
  </si>
  <si>
    <t>Apskaitos kodas</t>
  </si>
  <si>
    <t>11.010137</t>
  </si>
  <si>
    <t>Paslaugų miesto bendruomenei teikimas Klaipėdos miesto daugiafunkciame sveikatingumo centre</t>
  </si>
  <si>
    <t>Užsiėmimų senjorams ir neįgaliesiems skaičius</t>
  </si>
  <si>
    <t>Išlaikoma sporto bazių, skaičius</t>
  </si>
  <si>
    <t>________________________________________</t>
  </si>
  <si>
    <t>Aiškinamojo rašto priedas Nr.3</t>
  </si>
  <si>
    <t>2019 m. asignavimų planas</t>
  </si>
  <si>
    <t>2020 m. asignavimų planas</t>
  </si>
  <si>
    <t>2021 m. asignavimų planas</t>
  </si>
  <si>
    <t>2020-ųjų metų lėšų projektas</t>
  </si>
  <si>
    <t>2021-ųjų metų lėšų projektas</t>
  </si>
  <si>
    <t>2019-ieji metai</t>
  </si>
  <si>
    <t>2020-ieji metai</t>
  </si>
  <si>
    <t>2021-ieji metai</t>
  </si>
  <si>
    <t>Suorganizuotas pasaulio salės futbolo čempionatas, vnt</t>
  </si>
  <si>
    <t xml:space="preserve">Klaipėdos sunkiosios atletikos centro statyba </t>
  </si>
  <si>
    <t xml:space="preserve">Klaipėdos sporto sveikatingumo bazės komplekso (Smiltynės g. 13) restauravimo ir remonto darbų techninio projekto parengimas </t>
  </si>
  <si>
    <t>Atlikta statybos darbų, proc.</t>
  </si>
  <si>
    <t>Parengtas techninis projektas, proc.</t>
  </si>
  <si>
    <t>I    1.6.3.4</t>
  </si>
  <si>
    <t xml:space="preserve">Atliktas fasado Dariaus ir Girėno g. 10 remontas, proc. </t>
  </si>
  <si>
    <t>BĮ Klaipėdos miesto lengvosios atletikos mokyklos maniežo dangos atnaujinimo darbai</t>
  </si>
  <si>
    <t>Atlikti maniežo dangos pakeitimo darbai, 2250 m², proc.</t>
  </si>
  <si>
    <t>06</t>
  </si>
  <si>
    <t>07</t>
  </si>
  <si>
    <t>08</t>
  </si>
  <si>
    <t xml:space="preserve"> 2018-2021 M. KLAIPĖDOS MIESTO SAVIVALDYBĖS </t>
  </si>
  <si>
    <t>Įsigyta reprezentacinių prekių, skaičius</t>
  </si>
  <si>
    <t>Įgyvendinta  Europos jaunimo merginų U19 rankinio čempionato programa</t>
  </si>
  <si>
    <t>Įsigyta prekių ar reprezentacinių leidinių, vnt</t>
  </si>
  <si>
    <t>2019-ųjų metų asignavimų planas</t>
  </si>
  <si>
    <t>Pastabos</t>
  </si>
  <si>
    <t>VšĮ Klaipėdos krašto buriavimo sporto mokyklos „Žiemys“ dalininko kapitalo didinimas</t>
  </si>
  <si>
    <t>Atlikta darbų, proc.</t>
  </si>
  <si>
    <t>Neatlygintinai suteiktų sporto bazių paslaugų kompensavimas</t>
  </si>
  <si>
    <t>Fizinių ir juridinių asmenų, neatlygintinai gaunančių sporto bazių paslaugas, skaičius</t>
  </si>
  <si>
    <t>Sportininkų, dalyvavusių tarptautinėse varžybose, skaičius</t>
  </si>
  <si>
    <t>Sportuojančiųjų grupių skaičius</t>
  </si>
  <si>
    <t>Įsigytas mikroautobusas (19 vietų), vnt</t>
  </si>
  <si>
    <t>Įsigyta sportinių dviračių, vnt</t>
  </si>
  <si>
    <t>Įsigyta kiliminė danga meninei gimnastikai, vnt</t>
  </si>
  <si>
    <t>Įsigyta aerobinė aikštelė, vnt</t>
  </si>
  <si>
    <t>Įsigytas varžybinis kilimas meninei gimnastikai, vnt</t>
  </si>
  <si>
    <t>Įsigytas imtynių kilimas, vnt</t>
  </si>
  <si>
    <t>Įsigyti tinklinio stovai, vnt</t>
  </si>
  <si>
    <t>Įsigyti kilimų uždangalai, vnt</t>
  </si>
  <si>
    <t>Sporto salių bendrojo lavinimo mokyklose poreikis, val</t>
  </si>
  <si>
    <t>Sporto salių bendrojo lavinimo mokyklose poreikis, val. sk.</t>
  </si>
  <si>
    <t>Įsigyta laiko fiksavimo sistema varžybų pravedimui, vnt</t>
  </si>
  <si>
    <t>Įsigytas kopijavimo aparatas, vnt</t>
  </si>
  <si>
    <t>Įsigyta stacionarių ar nešiojamų kompiuterių skaičius, vnt</t>
  </si>
  <si>
    <t>Įsigytas elektroninis tablo, vnt</t>
  </si>
  <si>
    <t>Įsigytas sportinis bėgimo takelis, vnt</t>
  </si>
  <si>
    <t>Įsigyta rezultatų matuoklė šuoliui į tolį ir trišuoliui, vnt</t>
  </si>
  <si>
    <t>Įsigyta švieslentė sportiniams rezultatams, vnt</t>
  </si>
  <si>
    <t>Įsigyta ratų tablo, vnt</t>
  </si>
  <si>
    <t>Įsigyta baldų, vnt</t>
  </si>
  <si>
    <t>Įgyvendinta Olimpinės dienos programa, vnt</t>
  </si>
  <si>
    <t>Įsigytas dujinis oro šildytuvas (Pilies g. 2A), vnt</t>
  </si>
  <si>
    <t>Įsigyta įgarsinimo sistema, kompl.</t>
  </si>
  <si>
    <t>Įsigyti rankinio vartai, kompl.</t>
  </si>
  <si>
    <t>Įsigytas bokso ringas, vnt.</t>
  </si>
  <si>
    <t xml:space="preserve">Klaipėdos miesto tradicinių tarptautinių sporto renginių </t>
  </si>
  <si>
    <t xml:space="preserve">Klaipėdos miesto „Sportas visiems“ renginių </t>
  </si>
  <si>
    <t xml:space="preserve">Klaipėdos miesto sporto šakų federacijų </t>
  </si>
  <si>
    <t xml:space="preserve">Sportuojančio vaiko ugdymo dalinis finansavimas </t>
  </si>
  <si>
    <t>Klaipėdos miesto antrųjų klasių mokinių mokymas plaukti</t>
  </si>
  <si>
    <t>Apmokyta plaukti vaikų, skaičius</t>
  </si>
  <si>
    <t>Sporto projektų vertinimo paslaugų pirkimas</t>
  </si>
  <si>
    <t>Ekspertų skaičius</t>
  </si>
  <si>
    <t>Įvertinta paraiškų, skaičius</t>
  </si>
  <si>
    <t>Klaipėdos miesto sporto bazių infrastruktūros plėtros poreikio galimybių studijos parengimas</t>
  </si>
  <si>
    <t>Parengta galimybių studija, vnt</t>
  </si>
  <si>
    <t>Atlikti stogo (Debreceno g. 48) remonto darbai, proc</t>
  </si>
  <si>
    <t xml:space="preserve">Atlikti laiptų-panduso (Debreceno g. 48) remonto darbai, proc </t>
  </si>
  <si>
    <t xml:space="preserve">Atlikti laiptų-panduso (Taikos pr. 61A) remonto darbai, proc </t>
  </si>
  <si>
    <t>Rūbinių ir dušinių remonto darbai, Kretingos g. 23, proc</t>
  </si>
  <si>
    <t>Fasado tinko atnaujinimo darbai Pilies g. 2 A, proc</t>
  </si>
  <si>
    <t>Dujinio oro šildytuvo pakeitimo darbai Pilies g. 2 A, proc</t>
  </si>
  <si>
    <t>Atlikti akustinės sistemos remonto darbai (434 kv.m), proc</t>
  </si>
  <si>
    <t>Balkono turėklų (37,2 kv.m) keitimo darbai, proc</t>
  </si>
  <si>
    <t>Atliktas sporto salės remontas antrame aukšte, proc</t>
  </si>
  <si>
    <t>Atliktas dušų remontas antrame aukšte (dvi patalpos), proc</t>
  </si>
  <si>
    <t>Atliktas baseino langų keitimas ir apdaila, proc</t>
  </si>
  <si>
    <t xml:space="preserve">Reprezentacinių Klaipėdos miesto sporto komandų dalinis finansavimas  </t>
  </si>
  <si>
    <t xml:space="preserve">Stipendijų mokėjimas perspektyviems Klaipėdos miesto sportininkams   </t>
  </si>
  <si>
    <t xml:space="preserve">2018-ųjų metų asignavimų planas pagal 2018-10-25
</t>
  </si>
  <si>
    <t>Sporto ir laisvalaikio komplekso statyba (koncesijos procedūrų vykdymas)</t>
  </si>
  <si>
    <t>Pasirašyta koncesijos sutartis</t>
  </si>
  <si>
    <r>
      <t xml:space="preserve">Irklavimo bazės </t>
    </r>
    <r>
      <rPr>
        <sz val="10"/>
        <rFont val="Times New Roman"/>
        <family val="1"/>
      </rPr>
      <t xml:space="preserve">(Gluosnių skg. 8) modernizavimas </t>
    </r>
  </si>
  <si>
    <t>Vidutinis sportininkų, dalyvavusių programose, skaičius, tūkst.</t>
  </si>
  <si>
    <t>Durų, bei durų su pertvaromis keitimo/ įrengimo darbai Taikos pr. 61, proc</t>
  </si>
  <si>
    <t>SB(P)</t>
  </si>
  <si>
    <t>BĮ KLAIPĖDOS MIESTO LENGVOSIOS ATLETIKOS MOKYKLA</t>
  </si>
  <si>
    <t>SPORTO RENGINIŲ ORGANIZAVIMO POREIKIO SUVESTINĖ</t>
  </si>
  <si>
    <t>Eil. Nr.</t>
  </si>
  <si>
    <t>Renginio pavadinimas*</t>
  </si>
  <si>
    <t>Preliminarus dalyvių skaičius</t>
  </si>
  <si>
    <t>Preliminari renginio data</t>
  </si>
  <si>
    <t>Renginio organizatorius</t>
  </si>
  <si>
    <r>
      <t xml:space="preserve">Planuojamos išlaidų rūšys </t>
    </r>
    <r>
      <rPr>
        <i/>
        <sz val="12"/>
        <color theme="1"/>
        <rFont val="Times New Roman"/>
        <family val="1"/>
        <charset val="186"/>
      </rPr>
      <t>(įvardinti)</t>
    </r>
  </si>
  <si>
    <r>
      <t xml:space="preserve">Suma </t>
    </r>
    <r>
      <rPr>
        <i/>
        <sz val="12"/>
        <color theme="1"/>
        <rFont val="Times New Roman"/>
        <family val="1"/>
        <charset val="186"/>
      </rPr>
      <t>(Eur)</t>
    </r>
  </si>
  <si>
    <t>Renginio partneriai</t>
  </si>
  <si>
    <t>Tradiciniai miesto sporto renginiai</t>
  </si>
  <si>
    <t xml:space="preserve">Tradicinis bėgimas Laisvės gynėjų dienai paminėti </t>
  </si>
  <si>
    <t>sausis</t>
  </si>
  <si>
    <t>BĮ Klaipėdos miesto lengvosios atletikos mokykla</t>
  </si>
  <si>
    <t>Techninis aptarnavimas, prizai, teisėjavimo išlaidos, GMP išlaidos, dizaino paslaugos, transporto paslaugos</t>
  </si>
  <si>
    <t>Klaipėdos miesto mokinių sporto žaidynės "Mero taurė"</t>
  </si>
  <si>
    <t>mokslo metai</t>
  </si>
  <si>
    <t>Klaipėdos miesto moksleivių saviraiškos centras</t>
  </si>
  <si>
    <t>Organizacinės ir bazių nuomos išlaidos</t>
  </si>
  <si>
    <t xml:space="preserve">Prizai, GMP išlaidos, žaidynių nugalėtojų apdovanojimas </t>
  </si>
  <si>
    <t>Sporto festivalis "Vaikai olimpinės gėlės 2019"</t>
  </si>
  <si>
    <t>balandis</t>
  </si>
  <si>
    <t>Klaipėdos m. sportinių šokių klubas “GRACIJA”</t>
  </si>
  <si>
    <t>Organizacinės išlaidos</t>
  </si>
  <si>
    <t>Prizai</t>
  </si>
  <si>
    <t>Tradicinis gatvės krepšinio 3x3 turnyras „Rytas su Time Team“</t>
  </si>
  <si>
    <t>gegužė</t>
  </si>
  <si>
    <t>Klaipėdos vaikų globos namai „Ry-tas, Klaipėdos krepšinio mokykla</t>
  </si>
  <si>
    <t>Judrioji mugė</t>
  </si>
  <si>
    <t>rugsėjis</t>
  </si>
  <si>
    <t>Techninis aptarnavimas, prizai, teisėjavimo išlaidos, GMP išlaidos, dizaino paslaugos, reklama, maitinimas</t>
  </si>
  <si>
    <t>Klaipėdos miesto sporto apdovanojimai</t>
  </si>
  <si>
    <t>lapkritis</t>
  </si>
  <si>
    <t>Techninis aptarnavimas, prizai, dizaino paslaugos, maitinimas</t>
  </si>
  <si>
    <t>Renginiai, skirti žmonėms su negalia</t>
  </si>
  <si>
    <t>Žmonių su negalia šaškių ir šachmatų turnyras, skirtas Lietuvos nepriklausomybės atkūrimo dienai paminėti</t>
  </si>
  <si>
    <t>kovas</t>
  </si>
  <si>
    <t>Prizai, teisėjavimo išlaidos, dizaino paslaugos</t>
  </si>
  <si>
    <t xml:space="preserve">Neįgaliųjų sporto festivalis </t>
  </si>
  <si>
    <t>rugpjūtis</t>
  </si>
  <si>
    <t>Techninis aptarnavimas, prizai, teisėjavimo išlaidos, GMP išlaidos, dizaino paslaugos, maitinimas</t>
  </si>
  <si>
    <t>Sveikatinimo mankštos neįgaliesiems ir senjorams</t>
  </si>
  <si>
    <t>lapkritis - gruodis</t>
  </si>
  <si>
    <t>Sporto klubas "Šansas"</t>
  </si>
  <si>
    <t>Personalas, inventorius, priemonės</t>
  </si>
  <si>
    <t>Patalpų nuoma</t>
  </si>
  <si>
    <t>Žmonių su negalia sporto šventė skirta pasaulinei žmonių su negalia dienai paminėti</t>
  </si>
  <si>
    <t>gruodis</t>
  </si>
  <si>
    <t>Tarptautiniai renginiai</t>
  </si>
  <si>
    <t>Tarptautinis rankų lenkimo turnyras „Nepriklausomybės taurė – 2019“, skirtas Lietuvos nepriklausomybės dienai paminėti</t>
  </si>
  <si>
    <t>vasaris</t>
  </si>
  <si>
    <t>Klaipėdos rankų lenkimo klubas „Rankelė“</t>
  </si>
  <si>
    <t>Tarptautinis rankų lenkimo turnyras „Bocmano ranka“</t>
  </si>
  <si>
    <t>Liepa</t>
  </si>
  <si>
    <t>Tarptautinis paplūdymio tinklinio turnyras</t>
  </si>
  <si>
    <t>liepa</t>
  </si>
  <si>
    <t>Klaipėdos pliažo tinklinio klubas</t>
  </si>
  <si>
    <t>derinama</t>
  </si>
  <si>
    <t>Naujas</t>
  </si>
  <si>
    <t>"Sportas visiems" renginiai</t>
  </si>
  <si>
    <t xml:space="preserve">Jūros šventės šaškių turnyras </t>
  </si>
  <si>
    <t>Netradicinių sporto šakų festivalis</t>
  </si>
  <si>
    <t xml:space="preserve"> Klaipėdos dviračių  festivalis</t>
  </si>
  <si>
    <t>Klaipėdos miesto seniūnaitijų sporto žaidynės</t>
  </si>
  <si>
    <t>Salių nuomą, teisėjavimas, dizainas, medicina, prizai</t>
  </si>
  <si>
    <t>Seniūnaitijų sporto žaidynės zona ir finalai</t>
  </si>
  <si>
    <t>VšĮ sportas visiems</t>
  </si>
  <si>
    <t>Transporto paslauga</t>
  </si>
  <si>
    <t>Riedlenčių ir/ar riedučių čempionatas</t>
  </si>
  <si>
    <t>Riedlenčių federacija</t>
  </si>
  <si>
    <t>UNICEF bėgimas už kiekvieną vaiką</t>
  </si>
  <si>
    <t>birželis</t>
  </si>
  <si>
    <t>UNICEF Lietuva</t>
  </si>
  <si>
    <t>Edukaciniai renginiai</t>
  </si>
  <si>
    <t>Edukacinė programa 1-4 klasių moksleiviams "Lietuva Olimpinėse žaidynėse"</t>
  </si>
  <si>
    <t>vasaris-gegužė</t>
  </si>
  <si>
    <t>Edukacinė programa 5-12 klasių moksleiviams "Kilnus elgesys sporte. Olimpinis judėjimas"</t>
  </si>
  <si>
    <t>Parodos</t>
  </si>
  <si>
    <t xml:space="preserve">Paroda iš Lietuvos Sporto muziejaus </t>
  </si>
  <si>
    <t>sausis-birželis</t>
  </si>
  <si>
    <t>Sportinės fotografijos paroda-konkursas</t>
  </si>
  <si>
    <t>rugsėjis-spalis</t>
  </si>
  <si>
    <t xml:space="preserve">SUDERINTA </t>
  </si>
  <si>
    <t>Raimonda Murašovienė</t>
  </si>
  <si>
    <t>Ugdymo ir kultūros departamento</t>
  </si>
  <si>
    <t>Įstaigos direktoriaus vardas, pavardė, parašas</t>
  </si>
  <si>
    <t xml:space="preserve">Sporto ir kūno kultūros skyriaus vedėjas 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</si>
  <si>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</si>
  <si>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Persipylimo baseino remonto darbai, proc</t>
  </si>
  <si>
    <t>Asmenų, lankančių įstaigą, skaičius</t>
  </si>
  <si>
    <t>Suorganizuota renginių, skč.</t>
  </si>
  <si>
    <t>Valdomų sporto bazių, skaičius</t>
  </si>
  <si>
    <t>Padidintas kapitalas, proc.</t>
  </si>
  <si>
    <t xml:space="preserve">Prestižinių, tarptautinių ir nacionalinių sporto renginių pritraukimas ir organizavimas, viešinimas </t>
  </si>
  <si>
    <t>Miesto bendruomenei aktualių sporto renginių, švenčių organizavimas</t>
  </si>
  <si>
    <t>Suorganizuotas vandens sporto šakų festivalis ir paplūdimio sporto renginiai</t>
  </si>
  <si>
    <t>Įsigytas mikroautobusas (9 vietų), vnt</t>
  </si>
  <si>
    <t>Įsigytas automatinis krepšinio treniruoklis, vnt.</t>
  </si>
  <si>
    <t>Sportinės veiklos projektų dalinis finansavimas:</t>
  </si>
  <si>
    <t>Finansuota projektų, iš viso:</t>
  </si>
  <si>
    <t>Vaikų aikštelių poilsio parke remonto darbai, proc</t>
  </si>
  <si>
    <t>Šuoliaduobių rekonstrukcija Centriniame stadione pagal tarptautinius reikalavimus, vnt</t>
  </si>
  <si>
    <t>Vakarinės žiūrovų tribūnos Centriniame stadione remonto (2400 kv.m.) darbai, proc</t>
  </si>
  <si>
    <t>Atnaujinta patalpų ir įrenginių, objektų skaičius</t>
  </si>
  <si>
    <t>Dujinės katilinės vėdinimo sistemos darbai, Pilies g. 2 A, proc</t>
  </si>
  <si>
    <t>Vykdoma Poilsio parko įrenginių ir Prano Mašioto progimnazijos stadiono priežiūra, proc.</t>
  </si>
  <si>
    <t>Įsigyta gimnastikos čiužinių, vnt</t>
  </si>
  <si>
    <t>Įsigyta kiliminė danga (meninei gimnastikai), vnt</t>
  </si>
  <si>
    <t>Įsigytas praėjimo turniketas, vnt.</t>
  </si>
  <si>
    <t>Įsigyta nugalėtojų pakyla, vnt</t>
  </si>
  <si>
    <t>Valdoma sporto bazių, skaičius</t>
  </si>
  <si>
    <t>Įsigyta nugalėtojų pakyla (12 asmenų), vnt</t>
  </si>
  <si>
    <t>Įsigyta sportinės įrangos, vnt.</t>
  </si>
  <si>
    <t>Suteikta bazių nuomos paslauga, įstaigų skaičius</t>
  </si>
  <si>
    <t>Suteikta bazių paslauga, įstaigų skaičius</t>
  </si>
  <si>
    <t>Finansuota federacijų veikla, skaičius</t>
  </si>
  <si>
    <t>Lankančiųjų neįgaliųjų sporto organizacijas, skaičius</t>
  </si>
  <si>
    <t>Atlikta vidaus patalpų (Daukanto g. 24 II a.) remonto darbų, proc.</t>
  </si>
  <si>
    <t>1.6.1.1</t>
  </si>
  <si>
    <t>6</t>
  </si>
  <si>
    <t xml:space="preserve"> 2019–2021 M. KLAIPĖDOS MIESTO SAVIVALDYBĖS </t>
  </si>
  <si>
    <t>Įsigyta prekių ar reprezentacinių leidinių, vnt.</t>
  </si>
  <si>
    <t>Nuomojama sporto salių bendrojo ugdymo mokyklose, valandų skaičius</t>
  </si>
  <si>
    <t>Įsigyta sportinių dviračių, vnt.</t>
  </si>
  <si>
    <t>Įsigyta meninės gimnastikos įrangos, vnt.</t>
  </si>
  <si>
    <t>Įsigyta imtynių įrangos, vnt.</t>
  </si>
  <si>
    <t>Įsigyta tinklinio įrangos, vnt.</t>
  </si>
  <si>
    <t>Įsigyta aerobinė aikštelė, vnt.</t>
  </si>
  <si>
    <t>Įsigytas mikroautobusas (9 vietų), vnt.</t>
  </si>
  <si>
    <t>Įsigytas mikroautobusas (19 vietų), vnt.</t>
  </si>
  <si>
    <t>Įsigyta org.technikos, vnt.</t>
  </si>
  <si>
    <t>Įsigyta varžybinės įrangos, vnt.</t>
  </si>
  <si>
    <t>Įsigyta spec. treniruoklių, vnt.</t>
  </si>
  <si>
    <t>Įsigyta baldų, vnt.</t>
  </si>
  <si>
    <t>Įgyvendinta Olimpinės dienos programa, vnt.</t>
  </si>
  <si>
    <t>Įsigytas dujinis oro šildytuvas (Pilies g. 2A), vnt.</t>
  </si>
  <si>
    <t>Parengta galimybių studija, vnt.</t>
  </si>
  <si>
    <t>Balkono turėklų (37,2 kv. m) keitimo darbai, proc.</t>
  </si>
  <si>
    <t>Persipylimo baseino remonto darbai, proc.</t>
  </si>
  <si>
    <t>Atlikti akustinės sistemos remonto darbai (434 kv. m), proc.</t>
  </si>
  <si>
    <t>Atliktas sporto salės remontas antrame aukšte, proc.</t>
  </si>
  <si>
    <t>Atliktas dušų remontas antrame aukšte (dvi patalpos), proc.</t>
  </si>
  <si>
    <t>Atliktas baseino langų keitimas ir apdaila, proc.</t>
  </si>
  <si>
    <t>Klaipėdos miesto savivaldybės kūno kultūros sir sporto plėtros programos (Nr. 11) aprašymo                     priedas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</si>
  <si>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</si>
  <si>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>Valstybės biudžeto specialiosios tikslinės dotacijos lėšos</t>
    </r>
    <r>
      <rPr>
        <b/>
        <sz val="10"/>
        <rFont val="Times New Roman"/>
        <family val="1"/>
        <charset val="186"/>
      </rPr>
      <t xml:space="preserve"> SB(VB)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</si>
</sst>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3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166" fontId="17" fillId="0" borderId="0" applyBorder="0" applyProtection="0"/>
  </cellStyleXfs>
  <cellXfs count="1528">
    <xf numFmtId="0" fontId="0" fillId="0" borderId="0" xfId="0"/>
    <xf numFmtId="3" fontId="2" fillId="0" borderId="0" xfId="0" applyNumberFormat="1" applyFont="1"/>
    <xf numFmtId="49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3" fontId="4" fillId="0" borderId="28" xfId="0" applyNumberFormat="1" applyFont="1" applyBorder="1" applyAlignment="1">
      <alignment horizontal="center" vertical="top"/>
    </xf>
    <xf numFmtId="3" fontId="5" fillId="4" borderId="34" xfId="0" applyNumberFormat="1" applyFont="1" applyFill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top"/>
    </xf>
    <xf numFmtId="49" fontId="3" fillId="2" borderId="42" xfId="0" applyNumberFormat="1" applyFont="1" applyFill="1" applyBorder="1" applyAlignment="1">
      <alignment horizontal="center" vertical="top"/>
    </xf>
    <xf numFmtId="164" fontId="5" fillId="2" borderId="19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49" fontId="3" fillId="3" borderId="36" xfId="0" applyNumberFormat="1" applyFont="1" applyFill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/>
    </xf>
    <xf numFmtId="3" fontId="2" fillId="0" borderId="0" xfId="0" applyNumberFormat="1" applyFont="1" applyBorder="1"/>
    <xf numFmtId="49" fontId="3" fillId="3" borderId="38" xfId="0" applyNumberFormat="1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49" fontId="1" fillId="3" borderId="36" xfId="0" applyNumberFormat="1" applyFont="1" applyFill="1" applyBorder="1" applyAlignment="1">
      <alignment horizontal="center" vertical="top"/>
    </xf>
    <xf numFmtId="3" fontId="1" fillId="5" borderId="44" xfId="0" applyNumberFormat="1" applyFont="1" applyFill="1" applyBorder="1" applyAlignment="1">
      <alignment vertical="top" wrapText="1"/>
    </xf>
    <xf numFmtId="3" fontId="4" fillId="0" borderId="22" xfId="0" applyNumberFormat="1" applyFont="1" applyBorder="1" applyAlignment="1">
      <alignment horizontal="center" vertical="top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top" wrapText="1"/>
    </xf>
    <xf numFmtId="49" fontId="3" fillId="3" borderId="27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 vertical="top" wrapText="1"/>
    </xf>
    <xf numFmtId="49" fontId="1" fillId="3" borderId="36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/>
    </xf>
    <xf numFmtId="49" fontId="3" fillId="2" borderId="52" xfId="0" applyNumberFormat="1" applyFont="1" applyFill="1" applyBorder="1" applyAlignment="1">
      <alignment horizontal="center" vertical="top"/>
    </xf>
    <xf numFmtId="3" fontId="5" fillId="5" borderId="0" xfId="0" applyNumberFormat="1" applyFont="1" applyFill="1" applyBorder="1" applyAlignment="1">
      <alignment vertical="top" wrapText="1"/>
    </xf>
    <xf numFmtId="3" fontId="5" fillId="0" borderId="30" xfId="0" applyNumberFormat="1" applyFont="1" applyFill="1" applyBorder="1" applyAlignment="1">
      <alignment horizontal="center" vertical="top"/>
    </xf>
    <xf numFmtId="3" fontId="1" fillId="5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center" wrapText="1"/>
    </xf>
    <xf numFmtId="3" fontId="3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3" fontId="3" fillId="3" borderId="0" xfId="0" applyNumberFormat="1" applyFont="1" applyFill="1" applyBorder="1" applyAlignment="1">
      <alignment horizontal="left" vertical="top"/>
    </xf>
    <xf numFmtId="3" fontId="4" fillId="0" borderId="54" xfId="0" applyNumberFormat="1" applyFont="1" applyBorder="1" applyAlignment="1">
      <alignment horizontal="center" vertical="top"/>
    </xf>
    <xf numFmtId="3" fontId="4" fillId="0" borderId="34" xfId="0" applyNumberFormat="1" applyFont="1" applyBorder="1" applyAlignment="1">
      <alignment horizontal="center" vertical="top"/>
    </xf>
    <xf numFmtId="49" fontId="1" fillId="3" borderId="38" xfId="0" applyNumberFormat="1" applyFont="1" applyFill="1" applyBorder="1" applyAlignment="1">
      <alignment horizontal="center" vertical="top" wrapText="1"/>
    </xf>
    <xf numFmtId="3" fontId="3" fillId="4" borderId="32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horizontal="justify"/>
    </xf>
    <xf numFmtId="3" fontId="1" fillId="0" borderId="0" xfId="0" applyNumberFormat="1" applyFont="1" applyAlignment="1">
      <alignment vertical="top" wrapText="1"/>
    </xf>
    <xf numFmtId="0" fontId="1" fillId="0" borderId="0" xfId="0" applyFont="1" applyBorder="1"/>
    <xf numFmtId="0" fontId="9" fillId="0" borderId="0" xfId="0" applyFont="1"/>
    <xf numFmtId="164" fontId="9" fillId="0" borderId="0" xfId="0" applyNumberFormat="1" applyFont="1"/>
    <xf numFmtId="3" fontId="1" fillId="0" borderId="0" xfId="0" applyNumberFormat="1" applyFont="1" applyBorder="1" applyAlignment="1">
      <alignment horizontal="center"/>
    </xf>
    <xf numFmtId="3" fontId="5" fillId="0" borderId="18" xfId="0" applyNumberFormat="1" applyFont="1" applyFill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 wrapText="1"/>
    </xf>
    <xf numFmtId="3" fontId="1" fillId="0" borderId="58" xfId="0" applyNumberFormat="1" applyFont="1" applyBorder="1" applyAlignment="1">
      <alignment horizontal="center" vertical="top"/>
    </xf>
    <xf numFmtId="3" fontId="5" fillId="4" borderId="35" xfId="0" applyNumberFormat="1" applyFont="1" applyFill="1" applyBorder="1" applyAlignment="1">
      <alignment horizontal="right" vertical="top"/>
    </xf>
    <xf numFmtId="3" fontId="4" fillId="0" borderId="12" xfId="0" applyNumberFormat="1" applyFont="1" applyBorder="1" applyAlignment="1">
      <alignment horizontal="center" vertical="top"/>
    </xf>
    <xf numFmtId="3" fontId="1" fillId="0" borderId="57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vertical="top"/>
    </xf>
    <xf numFmtId="3" fontId="5" fillId="0" borderId="40" xfId="0" applyNumberFormat="1" applyFont="1" applyFill="1" applyBorder="1" applyAlignment="1">
      <alignment horizontal="center" vertical="top"/>
    </xf>
    <xf numFmtId="3" fontId="5" fillId="0" borderId="41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3" fontId="1" fillId="0" borderId="26" xfId="0" applyNumberFormat="1" applyFont="1" applyFill="1" applyBorder="1" applyAlignment="1">
      <alignment horizontal="center" vertical="top" textRotation="90" wrapText="1"/>
    </xf>
    <xf numFmtId="3" fontId="1" fillId="0" borderId="0" xfId="0" applyNumberFormat="1" applyFont="1" applyAlignment="1">
      <alignment horizontal="left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3" fillId="0" borderId="30" xfId="0" applyNumberFormat="1" applyFont="1" applyBorder="1" applyAlignment="1">
      <alignment vertical="top"/>
    </xf>
    <xf numFmtId="3" fontId="3" fillId="0" borderId="45" xfId="0" applyNumberFormat="1" applyFont="1" applyBorder="1" applyAlignment="1">
      <alignment vertical="top"/>
    </xf>
    <xf numFmtId="164" fontId="2" fillId="0" borderId="0" xfId="0" applyNumberFormat="1" applyFont="1"/>
    <xf numFmtId="164" fontId="2" fillId="0" borderId="0" xfId="0" applyNumberFormat="1" applyFont="1" applyBorder="1"/>
    <xf numFmtId="3" fontId="1" fillId="0" borderId="45" xfId="0" applyNumberFormat="1" applyFont="1" applyFill="1" applyBorder="1" applyAlignment="1">
      <alignment vertical="top" wrapText="1"/>
    </xf>
    <xf numFmtId="3" fontId="1" fillId="5" borderId="3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26" xfId="0" applyNumberFormat="1" applyFont="1" applyBorder="1" applyAlignment="1">
      <alignment vertical="top"/>
    </xf>
    <xf numFmtId="3" fontId="1" fillId="0" borderId="22" xfId="0" applyNumberFormat="1" applyFont="1" applyFill="1" applyBorder="1" applyAlignment="1">
      <alignment horizontal="center" vertical="top" textRotation="90" wrapText="1"/>
    </xf>
    <xf numFmtId="3" fontId="5" fillId="0" borderId="45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vertical="top" wrapText="1"/>
    </xf>
    <xf numFmtId="3" fontId="1" fillId="0" borderId="5" xfId="0" applyNumberFormat="1" applyFont="1" applyFill="1" applyBorder="1" applyAlignment="1">
      <alignment vertical="top" wrapText="1"/>
    </xf>
    <xf numFmtId="49" fontId="3" fillId="2" borderId="27" xfId="0" applyNumberFormat="1" applyFont="1" applyFill="1" applyBorder="1" applyAlignment="1">
      <alignment horizontal="center" vertical="top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vertical="top" wrapText="1"/>
    </xf>
    <xf numFmtId="3" fontId="5" fillId="0" borderId="29" xfId="0" applyNumberFormat="1" applyFont="1" applyFill="1" applyBorder="1" applyAlignment="1">
      <alignment horizontal="center" vertical="top"/>
    </xf>
    <xf numFmtId="3" fontId="1" fillId="5" borderId="41" xfId="0" applyNumberFormat="1" applyFont="1" applyFill="1" applyBorder="1" applyAlignment="1">
      <alignment vertical="top" wrapText="1"/>
    </xf>
    <xf numFmtId="3" fontId="1" fillId="0" borderId="9" xfId="0" applyNumberFormat="1" applyFont="1" applyFill="1" applyBorder="1" applyAlignment="1">
      <alignment horizontal="left" vertical="top" wrapText="1"/>
    </xf>
    <xf numFmtId="3" fontId="2" fillId="5" borderId="0" xfId="0" applyNumberFormat="1" applyFont="1" applyFill="1"/>
    <xf numFmtId="164" fontId="1" fillId="0" borderId="31" xfId="0" applyNumberFormat="1" applyFont="1" applyFill="1" applyBorder="1" applyAlignment="1">
      <alignment horizontal="center" vertical="top"/>
    </xf>
    <xf numFmtId="3" fontId="3" fillId="5" borderId="6" xfId="0" applyNumberFormat="1" applyFont="1" applyFill="1" applyBorder="1" applyAlignment="1">
      <alignment horizontal="left" vertical="top" wrapText="1"/>
    </xf>
    <xf numFmtId="49" fontId="1" fillId="0" borderId="26" xfId="0" applyNumberFormat="1" applyFont="1" applyBorder="1" applyAlignment="1">
      <alignment vertical="top" wrapText="1"/>
    </xf>
    <xf numFmtId="49" fontId="3" fillId="0" borderId="34" xfId="0" applyNumberFormat="1" applyFont="1" applyBorder="1" applyAlignment="1">
      <alignment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vertical="top" wrapText="1"/>
    </xf>
    <xf numFmtId="3" fontId="1" fillId="0" borderId="26" xfId="0" applyNumberFormat="1" applyFont="1" applyFill="1" applyBorder="1" applyAlignment="1">
      <alignment vertical="center" textRotation="90" wrapText="1"/>
    </xf>
    <xf numFmtId="3" fontId="1" fillId="5" borderId="34" xfId="0" applyNumberFormat="1" applyFont="1" applyFill="1" applyBorder="1" applyAlignment="1">
      <alignment vertical="top" wrapText="1"/>
    </xf>
    <xf numFmtId="3" fontId="1" fillId="0" borderId="12" xfId="0" applyNumberFormat="1" applyFont="1" applyFill="1" applyBorder="1" applyAlignment="1">
      <alignment vertical="top" wrapText="1"/>
    </xf>
    <xf numFmtId="3" fontId="5" fillId="5" borderId="47" xfId="0" applyNumberFormat="1" applyFont="1" applyFill="1" applyBorder="1" applyAlignment="1">
      <alignment vertical="top" wrapText="1"/>
    </xf>
    <xf numFmtId="3" fontId="5" fillId="5" borderId="12" xfId="0" applyNumberFormat="1" applyFont="1" applyFill="1" applyBorder="1" applyAlignment="1">
      <alignment vertical="top" wrapText="1"/>
    </xf>
    <xf numFmtId="3" fontId="1" fillId="0" borderId="44" xfId="0" applyNumberFormat="1" applyFont="1" applyBorder="1" applyAlignment="1">
      <alignment horizontal="left" vertical="top" wrapText="1"/>
    </xf>
    <xf numFmtId="3" fontId="1" fillId="0" borderId="48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horizontal="left" vertical="top" wrapText="1"/>
    </xf>
    <xf numFmtId="3" fontId="1" fillId="5" borderId="51" xfId="0" applyNumberFormat="1" applyFont="1" applyFill="1" applyBorder="1" applyAlignment="1">
      <alignment vertical="top" wrapText="1"/>
    </xf>
    <xf numFmtId="164" fontId="2" fillId="5" borderId="0" xfId="0" applyNumberFormat="1" applyFont="1" applyFill="1"/>
    <xf numFmtId="3" fontId="2" fillId="5" borderId="0" xfId="0" applyNumberFormat="1" applyFont="1" applyFill="1" applyBorder="1"/>
    <xf numFmtId="164" fontId="2" fillId="5" borderId="0" xfId="0" applyNumberFormat="1" applyFont="1" applyFill="1" applyBorder="1"/>
    <xf numFmtId="165" fontId="1" fillId="0" borderId="45" xfId="0" applyNumberFormat="1" applyFont="1" applyFill="1" applyBorder="1" applyAlignment="1">
      <alignment horizontal="left" vertical="top" wrapText="1"/>
    </xf>
    <xf numFmtId="3" fontId="1" fillId="5" borderId="2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center" vertical="top"/>
    </xf>
    <xf numFmtId="3" fontId="1" fillId="5" borderId="58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/>
    </xf>
    <xf numFmtId="3" fontId="3" fillId="4" borderId="22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center" vertical="top"/>
    </xf>
    <xf numFmtId="3" fontId="1" fillId="0" borderId="22" xfId="0" applyNumberFormat="1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 wrapText="1"/>
    </xf>
    <xf numFmtId="3" fontId="5" fillId="0" borderId="45" xfId="0" applyNumberFormat="1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center" vertical="top"/>
    </xf>
    <xf numFmtId="49" fontId="3" fillId="9" borderId="25" xfId="0" applyNumberFormat="1" applyFont="1" applyFill="1" applyBorder="1" applyAlignment="1">
      <alignment horizontal="center" vertical="top" wrapText="1"/>
    </xf>
    <xf numFmtId="49" fontId="3" fillId="9" borderId="19" xfId="0" applyNumberFormat="1" applyFont="1" applyFill="1" applyBorder="1" applyAlignment="1">
      <alignment horizontal="center" vertical="top"/>
    </xf>
    <xf numFmtId="49" fontId="3" fillId="9" borderId="30" xfId="0" applyNumberFormat="1" applyFont="1" applyFill="1" applyBorder="1" applyAlignment="1">
      <alignment horizontal="center" vertical="top"/>
    </xf>
    <xf numFmtId="49" fontId="3" fillId="9" borderId="45" xfId="0" applyNumberFormat="1" applyFont="1" applyFill="1" applyBorder="1" applyAlignment="1">
      <alignment horizontal="center" vertical="top"/>
    </xf>
    <xf numFmtId="49" fontId="3" fillId="9" borderId="18" xfId="0" applyNumberFormat="1" applyFont="1" applyFill="1" applyBorder="1" applyAlignment="1">
      <alignment horizontal="center" vertical="top"/>
    </xf>
    <xf numFmtId="49" fontId="3" fillId="9" borderId="30" xfId="0" applyNumberFormat="1" applyFont="1" applyFill="1" applyBorder="1" applyAlignment="1">
      <alignment vertical="top"/>
    </xf>
    <xf numFmtId="49" fontId="3" fillId="9" borderId="45" xfId="0" applyNumberFormat="1" applyFont="1" applyFill="1" applyBorder="1" applyAlignment="1">
      <alignment vertical="top"/>
    </xf>
    <xf numFmtId="49" fontId="1" fillId="9" borderId="45" xfId="0" applyNumberFormat="1" applyFont="1" applyFill="1" applyBorder="1" applyAlignment="1">
      <alignment vertical="top"/>
    </xf>
    <xf numFmtId="49" fontId="3" fillId="9" borderId="18" xfId="0" applyNumberFormat="1" applyFont="1" applyFill="1" applyBorder="1" applyAlignment="1">
      <alignment vertical="top"/>
    </xf>
    <xf numFmtId="49" fontId="3" fillId="9" borderId="28" xfId="0" applyNumberFormat="1" applyFont="1" applyFill="1" applyBorder="1" applyAlignment="1">
      <alignment vertical="top"/>
    </xf>
    <xf numFmtId="49" fontId="3" fillId="9" borderId="26" xfId="0" applyNumberFormat="1" applyFont="1" applyFill="1" applyBorder="1" applyAlignment="1">
      <alignment vertical="top"/>
    </xf>
    <xf numFmtId="49" fontId="3" fillId="9" borderId="32" xfId="0" applyNumberFormat="1" applyFont="1" applyFill="1" applyBorder="1" applyAlignment="1">
      <alignment vertical="top"/>
    </xf>
    <xf numFmtId="49" fontId="3" fillId="9" borderId="19" xfId="0" applyNumberFormat="1" applyFont="1" applyFill="1" applyBorder="1" applyAlignment="1">
      <alignment horizontal="center" vertical="top" wrapText="1"/>
    </xf>
    <xf numFmtId="49" fontId="3" fillId="9" borderId="28" xfId="0" applyNumberFormat="1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vertical="top" wrapText="1"/>
    </xf>
    <xf numFmtId="49" fontId="1" fillId="9" borderId="32" xfId="0" applyNumberFormat="1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horizontal="center" vertical="top"/>
    </xf>
    <xf numFmtId="3" fontId="3" fillId="9" borderId="19" xfId="0" applyNumberFormat="1" applyFont="1" applyFill="1" applyBorder="1" applyAlignment="1">
      <alignment horizontal="left" vertical="top"/>
    </xf>
    <xf numFmtId="3" fontId="3" fillId="9" borderId="21" xfId="0" applyNumberFormat="1" applyFont="1" applyFill="1" applyBorder="1" applyAlignment="1">
      <alignment horizontal="center" vertical="top"/>
    </xf>
    <xf numFmtId="49" fontId="3" fillId="7" borderId="19" xfId="0" applyNumberFormat="1" applyFont="1" applyFill="1" applyBorder="1" applyAlignment="1">
      <alignment vertical="top"/>
    </xf>
    <xf numFmtId="3" fontId="3" fillId="7" borderId="32" xfId="0" applyNumberFormat="1" applyFont="1" applyFill="1" applyBorder="1" applyAlignment="1">
      <alignment horizontal="left" vertical="top"/>
    </xf>
    <xf numFmtId="3" fontId="3" fillId="7" borderId="41" xfId="0" applyNumberFormat="1" applyFont="1" applyFill="1" applyBorder="1" applyAlignment="1">
      <alignment horizontal="center" vertical="top"/>
    </xf>
    <xf numFmtId="49" fontId="1" fillId="9" borderId="26" xfId="0" applyNumberFormat="1" applyFont="1" applyFill="1" applyBorder="1" applyAlignment="1">
      <alignment vertical="top" wrapText="1"/>
    </xf>
    <xf numFmtId="3" fontId="5" fillId="0" borderId="23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3" fontId="1" fillId="0" borderId="50" xfId="0" applyNumberFormat="1" applyFont="1" applyBorder="1" applyAlignment="1">
      <alignment horizontal="center" vertical="center" textRotation="90"/>
    </xf>
    <xf numFmtId="3" fontId="1" fillId="0" borderId="60" xfId="0" applyNumberFormat="1" applyFont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center" vertical="top"/>
    </xf>
    <xf numFmtId="3" fontId="1" fillId="0" borderId="39" xfId="0" applyNumberFormat="1" applyFont="1" applyBorder="1" applyAlignment="1">
      <alignment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top"/>
    </xf>
    <xf numFmtId="3" fontId="1" fillId="3" borderId="50" xfId="0" applyNumberFormat="1" applyFont="1" applyFill="1" applyBorder="1" applyAlignment="1">
      <alignment horizontal="center" vertical="top"/>
    </xf>
    <xf numFmtId="3" fontId="1" fillId="5" borderId="37" xfId="0" applyNumberFormat="1" applyFont="1" applyFill="1" applyBorder="1" applyAlignment="1">
      <alignment horizontal="center" vertical="top" wrapText="1"/>
    </xf>
    <xf numFmtId="3" fontId="4" fillId="5" borderId="37" xfId="0" applyNumberFormat="1" applyFont="1" applyFill="1" applyBorder="1" applyAlignment="1">
      <alignment horizontal="center" vertical="top" wrapText="1"/>
    </xf>
    <xf numFmtId="3" fontId="4" fillId="5" borderId="58" xfId="0" applyNumberFormat="1" applyFont="1" applyFill="1" applyBorder="1" applyAlignment="1">
      <alignment horizontal="center" vertical="top" wrapText="1"/>
    </xf>
    <xf numFmtId="3" fontId="1" fillId="0" borderId="60" xfId="0" applyNumberFormat="1" applyFont="1" applyFill="1" applyBorder="1" applyAlignment="1">
      <alignment horizontal="center" vertical="top" wrapText="1"/>
    </xf>
    <xf numFmtId="3" fontId="5" fillId="0" borderId="53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vertical="top" textRotation="180" wrapText="1"/>
    </xf>
    <xf numFmtId="3" fontId="3" fillId="0" borderId="32" xfId="0" applyNumberFormat="1" applyFont="1" applyFill="1" applyBorder="1" applyAlignment="1">
      <alignment vertical="top" textRotation="180" wrapText="1"/>
    </xf>
    <xf numFmtId="3" fontId="5" fillId="0" borderId="28" xfId="0" applyNumberFormat="1" applyFont="1" applyFill="1" applyBorder="1" applyAlignment="1">
      <alignment textRotation="90"/>
    </xf>
    <xf numFmtId="3" fontId="5" fillId="0" borderId="26" xfId="0" applyNumberFormat="1" applyFont="1" applyFill="1" applyBorder="1" applyAlignment="1">
      <alignment textRotation="90"/>
    </xf>
    <xf numFmtId="3" fontId="5" fillId="0" borderId="26" xfId="0" applyNumberFormat="1" applyFont="1" applyFill="1" applyBorder="1" applyAlignment="1">
      <alignment horizontal="center" textRotation="90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 textRotation="90" wrapText="1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22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/>
    </xf>
    <xf numFmtId="3" fontId="3" fillId="4" borderId="54" xfId="0" applyNumberFormat="1" applyFont="1" applyFill="1" applyBorder="1" applyAlignment="1">
      <alignment horizontal="center" vertical="top"/>
    </xf>
    <xf numFmtId="3" fontId="1" fillId="3" borderId="28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textRotation="90" wrapText="1"/>
    </xf>
    <xf numFmtId="3" fontId="1" fillId="3" borderId="34" xfId="0" applyNumberFormat="1" applyFont="1" applyFill="1" applyBorder="1" applyAlignment="1">
      <alignment horizontal="center" vertical="top" wrapText="1"/>
    </xf>
    <xf numFmtId="3" fontId="4" fillId="5" borderId="9" xfId="0" applyNumberFormat="1" applyFont="1" applyFill="1" applyBorder="1" applyAlignment="1">
      <alignment horizontal="left" vertical="top" wrapText="1"/>
    </xf>
    <xf numFmtId="164" fontId="1" fillId="3" borderId="0" xfId="0" applyNumberFormat="1" applyFont="1" applyFill="1" applyBorder="1" applyAlignment="1">
      <alignment horizontal="left" vertical="top" wrapText="1"/>
    </xf>
    <xf numFmtId="3" fontId="11" fillId="0" borderId="4" xfId="0" applyNumberFormat="1" applyFont="1" applyFill="1" applyBorder="1" applyAlignment="1">
      <alignment textRotation="90"/>
    </xf>
    <xf numFmtId="3" fontId="11" fillId="0" borderId="11" xfId="0" applyNumberFormat="1" applyFont="1" applyFill="1" applyBorder="1" applyAlignment="1">
      <alignment textRotation="90"/>
    </xf>
    <xf numFmtId="3" fontId="11" fillId="0" borderId="11" xfId="0" applyNumberFormat="1" applyFont="1" applyBorder="1" applyAlignment="1">
      <alignment vertical="center" textRotation="90"/>
    </xf>
    <xf numFmtId="3" fontId="10" fillId="0" borderId="3" xfId="0" applyNumberFormat="1" applyFont="1" applyFill="1" applyBorder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3" fontId="10" fillId="0" borderId="0" xfId="0" applyNumberFormat="1" applyFont="1" applyAlignment="1">
      <alignment horizontal="center" vertical="top" textRotation="90"/>
    </xf>
    <xf numFmtId="3" fontId="10" fillId="0" borderId="4" xfId="0" applyNumberFormat="1" applyFont="1" applyFill="1" applyBorder="1" applyAlignment="1">
      <alignment vertical="top" textRotation="90" wrapText="1"/>
    </xf>
    <xf numFmtId="3" fontId="10" fillId="0" borderId="11" xfId="0" applyNumberFormat="1" applyFont="1" applyFill="1" applyBorder="1" applyAlignment="1">
      <alignment vertical="top" textRotation="90" wrapText="1"/>
    </xf>
    <xf numFmtId="3" fontId="10" fillId="0" borderId="10" xfId="0" applyNumberFormat="1" applyFont="1" applyFill="1" applyBorder="1" applyAlignment="1">
      <alignment vertical="top" textRotation="90" wrapText="1"/>
    </xf>
    <xf numFmtId="3" fontId="11" fillId="0" borderId="11" xfId="0" applyNumberFormat="1" applyFont="1" applyFill="1" applyBorder="1" applyAlignment="1">
      <alignment horizontal="center" vertical="center" textRotation="90"/>
    </xf>
    <xf numFmtId="3" fontId="10" fillId="0" borderId="4" xfId="0" applyNumberFormat="1" applyFont="1" applyBorder="1" applyAlignment="1">
      <alignment vertical="top" textRotation="90"/>
    </xf>
    <xf numFmtId="3" fontId="10" fillId="0" borderId="11" xfId="0" applyNumberFormat="1" applyFont="1" applyBorder="1" applyAlignment="1">
      <alignment vertical="top" textRotation="90"/>
    </xf>
    <xf numFmtId="49" fontId="10" fillId="0" borderId="11" xfId="0" applyNumberFormat="1" applyFont="1" applyBorder="1" applyAlignment="1">
      <alignment vertical="top" textRotation="90"/>
    </xf>
    <xf numFmtId="0" fontId="12" fillId="0" borderId="0" xfId="0" applyFont="1" applyAlignment="1">
      <alignment textRotation="90"/>
    </xf>
    <xf numFmtId="3" fontId="11" fillId="0" borderId="10" xfId="0" applyNumberFormat="1" applyFont="1" applyFill="1" applyBorder="1" applyAlignment="1">
      <alignment textRotation="90"/>
    </xf>
    <xf numFmtId="164" fontId="1" fillId="5" borderId="28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3" fillId="4" borderId="32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/>
    </xf>
    <xf numFmtId="164" fontId="1" fillId="0" borderId="40" xfId="0" applyNumberFormat="1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5" fillId="2" borderId="52" xfId="0" applyNumberFormat="1" applyFont="1" applyFill="1" applyBorder="1" applyAlignment="1">
      <alignment horizontal="center" vertical="top"/>
    </xf>
    <xf numFmtId="164" fontId="4" fillId="0" borderId="55" xfId="0" applyNumberFormat="1" applyFont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5" fillId="4" borderId="41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 wrapText="1"/>
    </xf>
    <xf numFmtId="164" fontId="4" fillId="5" borderId="5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 wrapText="1"/>
    </xf>
    <xf numFmtId="164" fontId="1" fillId="3" borderId="28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center" vertical="top" wrapText="1"/>
    </xf>
    <xf numFmtId="164" fontId="1" fillId="5" borderId="54" xfId="0" applyNumberFormat="1" applyFont="1" applyFill="1" applyBorder="1" applyAlignment="1">
      <alignment horizontal="center" vertical="top" wrapText="1"/>
    </xf>
    <xf numFmtId="164" fontId="5" fillId="2" borderId="32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5" borderId="11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/>
    </xf>
    <xf numFmtId="164" fontId="4" fillId="5" borderId="56" xfId="0" applyNumberFormat="1" applyFont="1" applyFill="1" applyBorder="1" applyAlignment="1">
      <alignment horizontal="center" vertical="top"/>
    </xf>
    <xf numFmtId="164" fontId="5" fillId="4" borderId="16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 wrapText="1"/>
    </xf>
    <xf numFmtId="164" fontId="1" fillId="5" borderId="10" xfId="0" applyNumberFormat="1" applyFont="1" applyFill="1" applyBorder="1" applyAlignment="1">
      <alignment horizontal="center" vertical="top" wrapText="1"/>
    </xf>
    <xf numFmtId="164" fontId="5" fillId="2" borderId="16" xfId="0" applyNumberFormat="1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 wrapText="1"/>
    </xf>
    <xf numFmtId="164" fontId="3" fillId="4" borderId="1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10" xfId="0" applyNumberFormat="1" applyFont="1" applyFill="1" applyBorder="1" applyAlignment="1">
      <alignment horizontal="center" vertical="top" wrapText="1"/>
    </xf>
    <xf numFmtId="164" fontId="1" fillId="5" borderId="3" xfId="0" applyNumberFormat="1" applyFont="1" applyFill="1" applyBorder="1" applyAlignment="1">
      <alignment horizontal="center" vertical="top"/>
    </xf>
    <xf numFmtId="164" fontId="3" fillId="4" borderId="10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3" fontId="5" fillId="0" borderId="39" xfId="0" applyNumberFormat="1" applyFont="1" applyFill="1" applyBorder="1" applyAlignment="1">
      <alignment vertical="top"/>
    </xf>
    <xf numFmtId="3" fontId="1" fillId="0" borderId="28" xfId="0" applyNumberFormat="1" applyFont="1" applyBorder="1"/>
    <xf numFmtId="3" fontId="1" fillId="0" borderId="26" xfId="0" applyNumberFormat="1" applyFont="1" applyBorder="1"/>
    <xf numFmtId="3" fontId="1" fillId="0" borderId="48" xfId="0" applyNumberFormat="1" applyFont="1" applyFill="1" applyBorder="1" applyAlignment="1">
      <alignment vertical="top" wrapText="1"/>
    </xf>
    <xf numFmtId="3" fontId="4" fillId="5" borderId="34" xfId="0" applyNumberFormat="1" applyFont="1" applyFill="1" applyBorder="1" applyAlignment="1">
      <alignment horizontal="left" vertical="top" wrapText="1"/>
    </xf>
    <xf numFmtId="3" fontId="4" fillId="5" borderId="26" xfId="0" applyNumberFormat="1" applyFont="1" applyFill="1" applyBorder="1" applyAlignment="1">
      <alignment horizontal="left" vertical="top" wrapText="1"/>
    </xf>
    <xf numFmtId="3" fontId="1" fillId="5" borderId="9" xfId="0" applyNumberFormat="1" applyFont="1" applyFill="1" applyBorder="1" applyAlignment="1">
      <alignment horizontal="left" vertical="top" wrapText="1"/>
    </xf>
    <xf numFmtId="3" fontId="4" fillId="5" borderId="45" xfId="0" applyNumberFormat="1" applyFont="1" applyFill="1" applyBorder="1" applyAlignment="1">
      <alignment vertical="top" wrapText="1"/>
    </xf>
    <xf numFmtId="164" fontId="1" fillId="5" borderId="23" xfId="0" applyNumberFormat="1" applyFont="1" applyFill="1" applyBorder="1" applyAlignment="1">
      <alignment horizontal="center" vertical="top"/>
    </xf>
    <xf numFmtId="164" fontId="1" fillId="5" borderId="14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vertical="top" wrapText="1"/>
    </xf>
    <xf numFmtId="3" fontId="4" fillId="5" borderId="26" xfId="0" applyNumberFormat="1" applyFont="1" applyFill="1" applyBorder="1" applyAlignment="1">
      <alignment horizontal="center" vertical="top"/>
    </xf>
    <xf numFmtId="3" fontId="3" fillId="0" borderId="45" xfId="0" applyNumberFormat="1" applyFont="1" applyFill="1" applyBorder="1" applyAlignment="1">
      <alignment vertical="top" wrapText="1"/>
    </xf>
    <xf numFmtId="3" fontId="1" fillId="5" borderId="9" xfId="0" applyNumberFormat="1" applyFont="1" applyFill="1" applyBorder="1" applyAlignment="1">
      <alignment vertical="top" wrapText="1"/>
    </xf>
    <xf numFmtId="3" fontId="1" fillId="0" borderId="6" xfId="0" applyNumberFormat="1" applyFont="1" applyFill="1" applyBorder="1" applyAlignment="1">
      <alignment horizontal="left" vertical="top" wrapText="1"/>
    </xf>
    <xf numFmtId="3" fontId="1" fillId="0" borderId="60" xfId="0" applyNumberFormat="1" applyFont="1" applyBorder="1" applyAlignment="1">
      <alignment horizontal="center" vertical="top" wrapText="1"/>
    </xf>
    <xf numFmtId="3" fontId="5" fillId="0" borderId="37" xfId="0" applyNumberFormat="1" applyFont="1" applyFill="1" applyBorder="1" applyAlignment="1">
      <alignment horizontal="center" vertical="top" wrapText="1"/>
    </xf>
    <xf numFmtId="3" fontId="4" fillId="5" borderId="50" xfId="0" applyNumberFormat="1" applyFont="1" applyFill="1" applyBorder="1" applyAlignment="1">
      <alignment horizontal="center" vertical="top" wrapText="1"/>
    </xf>
    <xf numFmtId="49" fontId="1" fillId="0" borderId="27" xfId="0" applyNumberFormat="1" applyFont="1" applyBorder="1" applyAlignment="1">
      <alignment horizontal="center" vertical="center" textRotation="90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164" fontId="1" fillId="5" borderId="28" xfId="0" applyNumberFormat="1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center" textRotation="90"/>
    </xf>
    <xf numFmtId="3" fontId="1" fillId="0" borderId="66" xfId="0" applyNumberFormat="1" applyFont="1" applyBorder="1" applyAlignment="1">
      <alignment horizontal="center" vertical="center" textRotation="90"/>
    </xf>
    <xf numFmtId="3" fontId="1" fillId="0" borderId="63" xfId="0" applyNumberFormat="1" applyFont="1" applyBorder="1" applyAlignment="1">
      <alignment horizontal="center" vertical="center" textRotation="90"/>
    </xf>
    <xf numFmtId="3" fontId="1" fillId="0" borderId="11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41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41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1" fillId="5" borderId="14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 wrapText="1"/>
    </xf>
    <xf numFmtId="3" fontId="1" fillId="5" borderId="15" xfId="0" applyNumberFormat="1" applyFont="1" applyFill="1" applyBorder="1" applyAlignment="1">
      <alignment horizontal="center" vertical="top" wrapText="1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165" fontId="1" fillId="0" borderId="11" xfId="0" applyNumberFormat="1" applyFont="1" applyFill="1" applyBorder="1" applyAlignment="1">
      <alignment horizontal="center" vertical="top" wrapText="1"/>
    </xf>
    <xf numFmtId="165" fontId="1" fillId="0" borderId="4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/>
    </xf>
    <xf numFmtId="3" fontId="1" fillId="0" borderId="40" xfId="0" applyNumberFormat="1" applyFont="1" applyBorder="1" applyAlignment="1">
      <alignment horizontal="center"/>
    </xf>
    <xf numFmtId="3" fontId="4" fillId="5" borderId="10" xfId="0" applyNumberFormat="1" applyFont="1" applyFill="1" applyBorder="1" applyAlignment="1">
      <alignment horizontal="center" vertical="top" wrapText="1"/>
    </xf>
    <xf numFmtId="3" fontId="4" fillId="5" borderId="15" xfId="0" applyNumberFormat="1" applyFont="1" applyFill="1" applyBorder="1" applyAlignment="1">
      <alignment horizontal="center" vertical="top" wrapText="1"/>
    </xf>
    <xf numFmtId="3" fontId="4" fillId="5" borderId="0" xfId="0" applyNumberFormat="1" applyFont="1" applyFill="1" applyBorder="1" applyAlignment="1">
      <alignment horizontal="center" vertical="top" wrapText="1"/>
    </xf>
    <xf numFmtId="3" fontId="4" fillId="5" borderId="11" xfId="0" applyNumberFormat="1" applyFont="1" applyFill="1" applyBorder="1" applyAlignment="1">
      <alignment horizontal="center" vertical="top" wrapText="1"/>
    </xf>
    <xf numFmtId="3" fontId="4" fillId="5" borderId="46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24" xfId="0" applyNumberFormat="1" applyFont="1" applyFill="1" applyBorder="1" applyAlignment="1">
      <alignment horizontal="center" vertical="top" wrapText="1"/>
    </xf>
    <xf numFmtId="3" fontId="1" fillId="5" borderId="29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1" fillId="5" borderId="40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vertical="top" wrapText="1"/>
    </xf>
    <xf numFmtId="3" fontId="4" fillId="0" borderId="55" xfId="0" applyNumberFormat="1" applyFont="1" applyBorder="1" applyAlignment="1">
      <alignment horizontal="center" vertical="top" wrapText="1"/>
    </xf>
    <xf numFmtId="3" fontId="4" fillId="0" borderId="56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center" vertical="top" wrapText="1"/>
    </xf>
    <xf numFmtId="49" fontId="5" fillId="2" borderId="20" xfId="0" applyNumberFormat="1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 wrapText="1"/>
    </xf>
    <xf numFmtId="3" fontId="1" fillId="5" borderId="7" xfId="0" applyNumberFormat="1" applyFont="1" applyFill="1" applyBorder="1" applyAlignment="1">
      <alignment horizontal="center" vertical="top" wrapText="1"/>
    </xf>
    <xf numFmtId="3" fontId="1" fillId="5" borderId="3" xfId="0" applyNumberFormat="1" applyFont="1" applyFill="1" applyBorder="1" applyAlignment="1">
      <alignment horizontal="center" vertical="top" wrapText="1"/>
    </xf>
    <xf numFmtId="3" fontId="1" fillId="5" borderId="8" xfId="0" applyNumberFormat="1" applyFont="1" applyFill="1" applyBorder="1" applyAlignment="1">
      <alignment horizontal="center" vertical="top" wrapText="1"/>
    </xf>
    <xf numFmtId="3" fontId="3" fillId="9" borderId="20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53" xfId="0" applyNumberFormat="1" applyFont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1" fillId="5" borderId="34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 wrapText="1"/>
    </xf>
    <xf numFmtId="3" fontId="1" fillId="5" borderId="54" xfId="0" applyNumberFormat="1" applyFont="1" applyFill="1" applyBorder="1" applyAlignment="1">
      <alignment horizontal="center" vertical="top" wrapText="1"/>
    </xf>
    <xf numFmtId="164" fontId="3" fillId="4" borderId="10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Fill="1" applyBorder="1" applyAlignment="1">
      <alignment horizontal="center" vertical="top"/>
    </xf>
    <xf numFmtId="164" fontId="4" fillId="5" borderId="14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 wrapText="1"/>
    </xf>
    <xf numFmtId="164" fontId="1" fillId="5" borderId="29" xfId="0" applyNumberFormat="1" applyFont="1" applyFill="1" applyBorder="1" applyAlignment="1">
      <alignment horizontal="center" vertical="top" wrapText="1"/>
    </xf>
    <xf numFmtId="164" fontId="5" fillId="4" borderId="33" xfId="0" applyNumberFormat="1" applyFont="1" applyFill="1" applyBorder="1" applyAlignment="1">
      <alignment horizontal="center" vertical="top"/>
    </xf>
    <xf numFmtId="164" fontId="5" fillId="2" borderId="61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3" fillId="4" borderId="59" xfId="0" applyNumberFormat="1" applyFont="1" applyFill="1" applyBorder="1" applyAlignment="1">
      <alignment horizontal="center" vertical="top"/>
    </xf>
    <xf numFmtId="3" fontId="4" fillId="5" borderId="45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vertical="top" wrapText="1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5" borderId="26" xfId="0" applyNumberFormat="1" applyFont="1" applyFill="1" applyBorder="1" applyAlignment="1">
      <alignment horizontal="center" vertical="top" wrapText="1"/>
    </xf>
    <xf numFmtId="3" fontId="4" fillId="5" borderId="54" xfId="0" applyNumberFormat="1" applyFont="1" applyFill="1" applyBorder="1" applyAlignment="1">
      <alignment horizontal="center" vertical="top" wrapText="1"/>
    </xf>
    <xf numFmtId="3" fontId="4" fillId="5" borderId="26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 wrapText="1"/>
    </xf>
    <xf numFmtId="3" fontId="1" fillId="5" borderId="32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5" fillId="0" borderId="45" xfId="0" applyNumberFormat="1" applyFont="1" applyFill="1" applyBorder="1" applyAlignment="1">
      <alignment vertical="center" textRotation="90" wrapText="1"/>
    </xf>
    <xf numFmtId="3" fontId="11" fillId="0" borderId="16" xfId="0" applyNumberFormat="1" applyFont="1" applyFill="1" applyBorder="1" applyAlignment="1">
      <alignment vertical="top" textRotation="90" wrapText="1"/>
    </xf>
    <xf numFmtId="3" fontId="3" fillId="0" borderId="60" xfId="0" applyNumberFormat="1" applyFont="1" applyFill="1" applyBorder="1" applyAlignment="1">
      <alignment horizontal="center" vertical="top" wrapText="1"/>
    </xf>
    <xf numFmtId="3" fontId="3" fillId="0" borderId="50" xfId="0" applyNumberFormat="1" applyFont="1" applyFill="1" applyBorder="1" applyAlignment="1">
      <alignment horizontal="center" vertical="top" wrapText="1"/>
    </xf>
    <xf numFmtId="49" fontId="3" fillId="5" borderId="37" xfId="0" applyNumberFormat="1" applyFont="1" applyFill="1" applyBorder="1" applyAlignment="1">
      <alignment horizontal="center" vertical="top"/>
    </xf>
    <xf numFmtId="3" fontId="5" fillId="0" borderId="37" xfId="0" applyNumberFormat="1" applyFont="1" applyFill="1" applyBorder="1" applyAlignment="1">
      <alignment vertical="top" wrapText="1"/>
    </xf>
    <xf numFmtId="3" fontId="5" fillId="0" borderId="39" xfId="0" applyNumberFormat="1" applyFont="1" applyFill="1" applyBorder="1" applyAlignment="1">
      <alignment vertical="top" wrapText="1"/>
    </xf>
    <xf numFmtId="3" fontId="11" fillId="0" borderId="49" xfId="0" applyNumberFormat="1" applyFont="1" applyFill="1" applyBorder="1" applyAlignment="1">
      <alignment vertical="top" textRotation="90" wrapText="1"/>
    </xf>
    <xf numFmtId="3" fontId="5" fillId="0" borderId="13" xfId="0" applyNumberFormat="1" applyFont="1" applyFill="1" applyBorder="1" applyAlignment="1">
      <alignment vertical="center" textRotation="90" wrapText="1"/>
    </xf>
    <xf numFmtId="164" fontId="1" fillId="5" borderId="2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Fill="1" applyBorder="1" applyAlignment="1">
      <alignment horizontal="center" vertical="top" wrapText="1"/>
    </xf>
    <xf numFmtId="3" fontId="4" fillId="0" borderId="64" xfId="0" applyNumberFormat="1" applyFont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65" xfId="0" applyNumberFormat="1" applyFont="1" applyBorder="1" applyAlignment="1">
      <alignment horizontal="center" vertical="top" wrapText="1"/>
    </xf>
    <xf numFmtId="3" fontId="1" fillId="5" borderId="23" xfId="0" applyNumberFormat="1" applyFont="1" applyFill="1" applyBorder="1" applyAlignment="1">
      <alignment horizontal="center" vertical="top"/>
    </xf>
    <xf numFmtId="3" fontId="1" fillId="0" borderId="65" xfId="0" applyNumberFormat="1" applyFont="1" applyBorder="1" applyAlignment="1">
      <alignment horizontal="center" vertical="top"/>
    </xf>
    <xf numFmtId="3" fontId="1" fillId="5" borderId="65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1" fillId="0" borderId="36" xfId="0" applyNumberFormat="1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 wrapText="1"/>
    </xf>
    <xf numFmtId="3" fontId="4" fillId="5" borderId="13" xfId="0" applyNumberFormat="1" applyFont="1" applyFill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left" vertical="top" wrapText="1"/>
    </xf>
    <xf numFmtId="3" fontId="4" fillId="0" borderId="48" xfId="0" applyNumberFormat="1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 wrapText="1"/>
    </xf>
    <xf numFmtId="3" fontId="4" fillId="0" borderId="13" xfId="0" applyNumberFormat="1" applyFont="1" applyBorder="1" applyAlignment="1">
      <alignment vertical="top" wrapText="1"/>
    </xf>
    <xf numFmtId="49" fontId="10" fillId="0" borderId="49" xfId="0" applyNumberFormat="1" applyFont="1" applyBorder="1" applyAlignment="1">
      <alignment vertical="top" textRotation="90"/>
    </xf>
    <xf numFmtId="49" fontId="3" fillId="0" borderId="22" xfId="0" applyNumberFormat="1" applyFont="1" applyBorder="1" applyAlignment="1">
      <alignment vertical="top"/>
    </xf>
    <xf numFmtId="49" fontId="10" fillId="0" borderId="56" xfId="0" applyNumberFormat="1" applyFont="1" applyBorder="1" applyAlignment="1">
      <alignment vertical="top" textRotation="90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45" xfId="0" applyNumberFormat="1" applyFont="1" applyFill="1" applyBorder="1" applyAlignment="1">
      <alignment horizontal="center" vertical="top"/>
    </xf>
    <xf numFmtId="3" fontId="1" fillId="0" borderId="49" xfId="0" applyNumberFormat="1" applyFon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164" fontId="1" fillId="0" borderId="14" xfId="0" applyNumberFormat="1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 wrapText="1"/>
    </xf>
    <xf numFmtId="164" fontId="3" fillId="4" borderId="14" xfId="0" applyNumberFormat="1" applyFont="1" applyFill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 wrapText="1"/>
    </xf>
    <xf numFmtId="164" fontId="3" fillId="4" borderId="15" xfId="0" applyNumberFormat="1" applyFont="1" applyFill="1" applyBorder="1" applyAlignment="1">
      <alignment horizontal="center" vertical="top" wrapText="1"/>
    </xf>
    <xf numFmtId="164" fontId="5" fillId="2" borderId="41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/>
    </xf>
    <xf numFmtId="3" fontId="1" fillId="5" borderId="38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vertical="top"/>
    </xf>
    <xf numFmtId="3" fontId="3" fillId="5" borderId="37" xfId="0" applyNumberFormat="1" applyFont="1" applyFill="1" applyBorder="1" applyAlignment="1">
      <alignment horizontal="center" vertical="top"/>
    </xf>
    <xf numFmtId="3" fontId="3" fillId="5" borderId="39" xfId="0" applyNumberFormat="1" applyFont="1" applyFill="1" applyBorder="1" applyAlignment="1">
      <alignment horizontal="center" vertical="top"/>
    </xf>
    <xf numFmtId="3" fontId="5" fillId="0" borderId="31" xfId="0" applyNumberFormat="1" applyFont="1" applyBorder="1" applyAlignment="1">
      <alignment horizontal="center" vertical="top"/>
    </xf>
    <xf numFmtId="3" fontId="5" fillId="0" borderId="37" xfId="0" applyNumberFormat="1" applyFont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/>
    </xf>
    <xf numFmtId="3" fontId="5" fillId="0" borderId="39" xfId="0" applyNumberFormat="1" applyFont="1" applyBorder="1" applyAlignment="1">
      <alignment horizontal="center" vertical="top"/>
    </xf>
    <xf numFmtId="3" fontId="5" fillId="5" borderId="31" xfId="0" applyNumberFormat="1" applyFont="1" applyFill="1" applyBorder="1" applyAlignment="1">
      <alignment horizontal="center" vertical="top"/>
    </xf>
    <xf numFmtId="3" fontId="5" fillId="0" borderId="50" xfId="0" applyNumberFormat="1" applyFont="1" applyBorder="1" applyAlignment="1">
      <alignment horizontal="center" vertical="top"/>
    </xf>
    <xf numFmtId="3" fontId="10" fillId="0" borderId="49" xfId="0" applyNumberFormat="1" applyFont="1" applyFill="1" applyBorder="1" applyAlignment="1">
      <alignment vertical="top" textRotation="90" wrapText="1"/>
    </xf>
    <xf numFmtId="49" fontId="1" fillId="3" borderId="58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39" xfId="0" applyNumberFormat="1" applyFont="1" applyFill="1" applyBorder="1" applyAlignment="1">
      <alignment horizontal="center" vertical="top"/>
    </xf>
    <xf numFmtId="49" fontId="1" fillId="3" borderId="50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/>
    </xf>
    <xf numFmtId="49" fontId="1" fillId="0" borderId="39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49" fontId="1" fillId="0" borderId="57" xfId="0" applyNumberFormat="1" applyFont="1" applyBorder="1" applyAlignment="1">
      <alignment horizontal="center" vertical="top"/>
    </xf>
    <xf numFmtId="49" fontId="1" fillId="0" borderId="50" xfId="0" applyNumberFormat="1" applyFont="1" applyBorder="1" applyAlignment="1">
      <alignment horizontal="center" vertical="top"/>
    </xf>
    <xf numFmtId="3" fontId="3" fillId="0" borderId="48" xfId="0" applyNumberFormat="1" applyFont="1" applyBorder="1" applyAlignment="1">
      <alignment horizontal="center" vertical="top"/>
    </xf>
    <xf numFmtId="3" fontId="1" fillId="0" borderId="26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vertical="top" wrapText="1"/>
    </xf>
    <xf numFmtId="164" fontId="1" fillId="5" borderId="9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3" fontId="1" fillId="5" borderId="37" xfId="0" applyNumberFormat="1" applyFont="1" applyFill="1" applyBorder="1" applyAlignment="1">
      <alignment horizontal="center" vertical="top"/>
    </xf>
    <xf numFmtId="3" fontId="1" fillId="5" borderId="58" xfId="0" applyNumberFormat="1" applyFont="1" applyFill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center" vertical="top" wrapText="1"/>
    </xf>
    <xf numFmtId="164" fontId="3" fillId="4" borderId="70" xfId="0" applyNumberFormat="1" applyFont="1" applyFill="1" applyBorder="1" applyAlignment="1">
      <alignment horizontal="center" vertical="top"/>
    </xf>
    <xf numFmtId="3" fontId="1" fillId="5" borderId="71" xfId="0" applyNumberFormat="1" applyFont="1" applyFill="1" applyBorder="1" applyAlignment="1">
      <alignment horizontal="center" vertical="top" wrapText="1"/>
    </xf>
    <xf numFmtId="3" fontId="4" fillId="5" borderId="28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center" vertical="top"/>
    </xf>
    <xf numFmtId="164" fontId="1" fillId="5" borderId="46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40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0" xfId="0" applyNumberFormat="1" applyFont="1" applyFill="1" applyBorder="1" applyAlignment="1">
      <alignment horizontal="center" vertical="top"/>
    </xf>
    <xf numFmtId="164" fontId="1" fillId="5" borderId="2" xfId="0" applyNumberFormat="1" applyFont="1" applyFill="1" applyBorder="1" applyAlignment="1">
      <alignment horizontal="center" vertical="top"/>
    </xf>
    <xf numFmtId="164" fontId="1" fillId="5" borderId="8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" fontId="1" fillId="5" borderId="1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vertical="top" wrapText="1"/>
    </xf>
    <xf numFmtId="49" fontId="3" fillId="5" borderId="36" xfId="0" applyNumberFormat="1" applyFont="1" applyFill="1" applyBorder="1" applyAlignment="1">
      <alignment horizontal="center" vertical="top"/>
    </xf>
    <xf numFmtId="3" fontId="1" fillId="5" borderId="48" xfId="0" applyNumberFormat="1" applyFont="1" applyFill="1" applyBorder="1" applyAlignment="1">
      <alignment vertical="top" wrapText="1"/>
    </xf>
    <xf numFmtId="1" fontId="1" fillId="5" borderId="56" xfId="0" applyNumberFormat="1" applyFont="1" applyFill="1" applyBorder="1" applyAlignment="1">
      <alignment horizontal="center" vertical="top" wrapText="1"/>
    </xf>
    <xf numFmtId="164" fontId="3" fillId="4" borderId="70" xfId="0" applyNumberFormat="1" applyFont="1" applyFill="1" applyBorder="1" applyAlignment="1">
      <alignment horizontal="center" vertical="top" wrapText="1"/>
    </xf>
    <xf numFmtId="164" fontId="3" fillId="4" borderId="59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5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164" fontId="4" fillId="3" borderId="26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/>
    </xf>
    <xf numFmtId="164" fontId="4" fillId="3" borderId="0" xfId="0" applyNumberFormat="1" applyFont="1" applyFill="1" applyBorder="1" applyAlignment="1">
      <alignment horizontal="center" vertical="top"/>
    </xf>
    <xf numFmtId="164" fontId="5" fillId="4" borderId="35" xfId="0" applyNumberFormat="1" applyFont="1" applyFill="1" applyBorder="1" applyAlignment="1">
      <alignment horizontal="center" vertical="top"/>
    </xf>
    <xf numFmtId="164" fontId="5" fillId="4" borderId="63" xfId="0" applyNumberFormat="1" applyFont="1" applyFill="1" applyBorder="1" applyAlignment="1">
      <alignment horizontal="center" vertical="top"/>
    </xf>
    <xf numFmtId="3" fontId="1" fillId="0" borderId="30" xfId="0" applyNumberFormat="1" applyFont="1" applyFill="1" applyBorder="1" applyAlignment="1">
      <alignment vertical="top" wrapText="1"/>
    </xf>
    <xf numFmtId="164" fontId="5" fillId="4" borderId="39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3" fontId="3" fillId="0" borderId="30" xfId="0" applyNumberFormat="1" applyFont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164" fontId="4" fillId="5" borderId="34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 wrapText="1"/>
    </xf>
    <xf numFmtId="164" fontId="4" fillId="5" borderId="11" xfId="0" applyNumberFormat="1" applyFont="1" applyFill="1" applyBorder="1" applyAlignment="1">
      <alignment horizontal="center" vertical="top" wrapText="1"/>
    </xf>
    <xf numFmtId="164" fontId="4" fillId="5" borderId="46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24" xfId="0" applyNumberFormat="1" applyFont="1" applyFill="1" applyBorder="1" applyAlignment="1">
      <alignment horizontal="center" vertical="top" wrapText="1"/>
    </xf>
    <xf numFmtId="3" fontId="1" fillId="5" borderId="65" xfId="0" applyNumberFormat="1" applyFont="1" applyFill="1" applyBorder="1" applyAlignment="1">
      <alignment horizontal="center" vertical="top" wrapText="1"/>
    </xf>
    <xf numFmtId="3" fontId="4" fillId="5" borderId="65" xfId="0" applyNumberFormat="1" applyFont="1" applyFill="1" applyBorder="1" applyAlignment="1">
      <alignment horizontal="center" vertical="top" wrapText="1"/>
    </xf>
    <xf numFmtId="3" fontId="4" fillId="5" borderId="49" xfId="0" applyNumberFormat="1" applyFont="1" applyFill="1" applyBorder="1" applyAlignment="1">
      <alignment horizontal="center" vertical="top" wrapText="1"/>
    </xf>
    <xf numFmtId="3" fontId="4" fillId="5" borderId="55" xfId="0" applyNumberFormat="1" applyFont="1" applyFill="1" applyBorder="1" applyAlignment="1">
      <alignment horizontal="center" vertical="top" wrapText="1"/>
    </xf>
    <xf numFmtId="164" fontId="4" fillId="5" borderId="46" xfId="0" applyNumberFormat="1" applyFont="1" applyFill="1" applyBorder="1" applyAlignment="1">
      <alignment horizontal="center" vertical="top"/>
    </xf>
    <xf numFmtId="3" fontId="4" fillId="5" borderId="64" xfId="0" applyNumberFormat="1" applyFont="1" applyFill="1" applyBorder="1" applyAlignment="1">
      <alignment horizontal="center" vertical="top" wrapText="1"/>
    </xf>
    <xf numFmtId="3" fontId="4" fillId="5" borderId="56" xfId="0" applyNumberFormat="1" applyFont="1" applyFill="1" applyBorder="1" applyAlignment="1">
      <alignment horizontal="center" vertical="top" wrapText="1"/>
    </xf>
    <xf numFmtId="3" fontId="4" fillId="5" borderId="24" xfId="0" applyNumberFormat="1" applyFont="1" applyFill="1" applyBorder="1" applyAlignment="1">
      <alignment horizontal="center" vertical="top" wrapText="1"/>
    </xf>
    <xf numFmtId="3" fontId="4" fillId="5" borderId="57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 wrapText="1"/>
    </xf>
    <xf numFmtId="164" fontId="1" fillId="5" borderId="24" xfId="0" applyNumberFormat="1" applyFont="1" applyFill="1" applyBorder="1" applyAlignment="1">
      <alignment horizontal="center" vertical="top" wrapText="1"/>
    </xf>
    <xf numFmtId="164" fontId="1" fillId="5" borderId="22" xfId="0" applyNumberFormat="1" applyFont="1" applyFill="1" applyBorder="1" applyAlignment="1">
      <alignment horizontal="center" vertical="top" wrapText="1"/>
    </xf>
    <xf numFmtId="3" fontId="1" fillId="5" borderId="64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vertical="top" wrapText="1"/>
    </xf>
    <xf numFmtId="3" fontId="1" fillId="0" borderId="26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3" fillId="4" borderId="39" xfId="0" applyNumberFormat="1" applyFont="1" applyFill="1" applyBorder="1" applyAlignment="1">
      <alignment horizontal="center" vertical="top"/>
    </xf>
    <xf numFmtId="3" fontId="1" fillId="5" borderId="38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top" wrapText="1"/>
    </xf>
    <xf numFmtId="3" fontId="1" fillId="0" borderId="22" xfId="0" applyNumberFormat="1" applyFont="1" applyBorder="1" applyAlignment="1">
      <alignment horizontal="center" vertical="top"/>
    </xf>
    <xf numFmtId="3" fontId="3" fillId="5" borderId="65" xfId="0" applyNumberFormat="1" applyFont="1" applyFill="1" applyBorder="1" applyAlignment="1">
      <alignment horizontal="center" vertical="top" wrapText="1"/>
    </xf>
    <xf numFmtId="3" fontId="5" fillId="5" borderId="64" xfId="0" applyNumberFormat="1" applyFont="1" applyFill="1" applyBorder="1" applyAlignment="1">
      <alignment horizontal="center" vertical="top" wrapText="1"/>
    </xf>
    <xf numFmtId="3" fontId="3" fillId="2" borderId="20" xfId="0" applyNumberFormat="1" applyFont="1" applyFill="1" applyBorder="1" applyAlignment="1">
      <alignment vertical="top" wrapText="1"/>
    </xf>
    <xf numFmtId="164" fontId="3" fillId="4" borderId="74" xfId="0" applyNumberFormat="1" applyFont="1" applyFill="1" applyBorder="1" applyAlignment="1">
      <alignment horizontal="center" vertical="top"/>
    </xf>
    <xf numFmtId="3" fontId="1" fillId="0" borderId="38" xfId="0" applyNumberFormat="1" applyFont="1" applyFill="1" applyBorder="1" applyAlignment="1">
      <alignment horizontal="center" vertical="top" wrapText="1"/>
    </xf>
    <xf numFmtId="164" fontId="5" fillId="2" borderId="20" xfId="0" applyNumberFormat="1" applyFont="1" applyFill="1" applyBorder="1" applyAlignment="1">
      <alignment horizontal="center" vertical="top"/>
    </xf>
    <xf numFmtId="164" fontId="5" fillId="2" borderId="21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top"/>
    </xf>
    <xf numFmtId="164" fontId="5" fillId="7" borderId="16" xfId="0" applyNumberFormat="1" applyFont="1" applyFill="1" applyBorder="1" applyAlignment="1">
      <alignment horizontal="center" vertical="top"/>
    </xf>
    <xf numFmtId="164" fontId="5" fillId="7" borderId="10" xfId="0" applyNumberFormat="1" applyFont="1" applyFill="1" applyBorder="1" applyAlignment="1">
      <alignment horizontal="center" vertical="top" wrapText="1"/>
    </xf>
    <xf numFmtId="164" fontId="5" fillId="7" borderId="54" xfId="0" applyNumberFormat="1" applyFont="1" applyFill="1" applyBorder="1" applyAlignment="1">
      <alignment horizontal="center" vertical="top" wrapText="1"/>
    </xf>
    <xf numFmtId="164" fontId="5" fillId="7" borderId="58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54" xfId="0" applyNumberFormat="1" applyFont="1" applyBorder="1" applyAlignment="1">
      <alignment horizontal="center" vertical="top" wrapText="1"/>
    </xf>
    <xf numFmtId="164" fontId="4" fillId="0" borderId="54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5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5" fillId="4" borderId="70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left" vertical="top" wrapText="1"/>
    </xf>
    <xf numFmtId="3" fontId="1" fillId="0" borderId="68" xfId="0" applyNumberFormat="1" applyFont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/>
    </xf>
    <xf numFmtId="3" fontId="1" fillId="0" borderId="32" xfId="0" applyNumberFormat="1" applyFont="1" applyFill="1" applyBorder="1" applyAlignment="1">
      <alignment horizontal="center" vertical="top" wrapText="1"/>
    </xf>
    <xf numFmtId="3" fontId="1" fillId="5" borderId="3" xfId="0" applyNumberFormat="1" applyFont="1" applyFill="1" applyBorder="1" applyAlignment="1">
      <alignment horizontal="center" vertical="top"/>
    </xf>
    <xf numFmtId="0" fontId="1" fillId="5" borderId="10" xfId="0" applyNumberFormat="1" applyFont="1" applyFill="1" applyBorder="1" applyAlignment="1">
      <alignment horizontal="center" vertical="top" wrapText="1"/>
    </xf>
    <xf numFmtId="0" fontId="1" fillId="0" borderId="58" xfId="0" applyNumberFormat="1" applyFont="1" applyFill="1" applyBorder="1" applyAlignment="1">
      <alignment horizontal="center" vertical="top" wrapText="1"/>
    </xf>
    <xf numFmtId="0" fontId="1" fillId="5" borderId="49" xfId="0" applyNumberFormat="1" applyFont="1" applyFill="1" applyBorder="1" applyAlignment="1">
      <alignment horizontal="center" vertical="top" wrapText="1"/>
    </xf>
    <xf numFmtId="0" fontId="1" fillId="0" borderId="55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top"/>
    </xf>
    <xf numFmtId="3" fontId="1" fillId="0" borderId="36" xfId="0" applyNumberFormat="1" applyFont="1" applyFill="1" applyBorder="1" applyAlignment="1">
      <alignment vertical="top" wrapText="1"/>
    </xf>
    <xf numFmtId="3" fontId="1" fillId="5" borderId="67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 wrapText="1"/>
    </xf>
    <xf numFmtId="0" fontId="1" fillId="5" borderId="9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3" fontId="1" fillId="5" borderId="67" xfId="0" applyNumberFormat="1" applyFont="1" applyFill="1" applyBorder="1" applyAlignment="1">
      <alignment horizontal="center" vertical="top"/>
    </xf>
    <xf numFmtId="3" fontId="1" fillId="5" borderId="67" xfId="0" applyNumberFormat="1" applyFont="1" applyFill="1" applyBorder="1"/>
    <xf numFmtId="164" fontId="1" fillId="0" borderId="22" xfId="0" applyNumberFormat="1" applyFont="1" applyBorder="1" applyAlignment="1">
      <alignment horizontal="center" vertical="top"/>
    </xf>
    <xf numFmtId="164" fontId="1" fillId="0" borderId="56" xfId="0" applyNumberFormat="1" applyFont="1" applyBorder="1" applyAlignment="1">
      <alignment horizontal="center" vertical="top"/>
    </xf>
    <xf numFmtId="164" fontId="1" fillId="0" borderId="23" xfId="0" applyNumberFormat="1" applyFont="1" applyFill="1" applyBorder="1" applyAlignment="1">
      <alignment horizontal="center" vertical="top"/>
    </xf>
    <xf numFmtId="164" fontId="1" fillId="0" borderId="34" xfId="0" applyNumberFormat="1" applyFont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0" fontId="1" fillId="5" borderId="54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horizontal="left" vertical="top" wrapText="1"/>
    </xf>
    <xf numFmtId="3" fontId="11" fillId="0" borderId="49" xfId="0" applyNumberFormat="1" applyFont="1" applyFill="1" applyBorder="1" applyAlignment="1">
      <alignment textRotation="90"/>
    </xf>
    <xf numFmtId="3" fontId="3" fillId="0" borderId="29" xfId="0" applyNumberFormat="1" applyFont="1" applyFill="1" applyBorder="1" applyAlignment="1">
      <alignment horizontal="center" vertical="top"/>
    </xf>
    <xf numFmtId="3" fontId="1" fillId="0" borderId="36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/>
    </xf>
    <xf numFmtId="3" fontId="3" fillId="0" borderId="23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top"/>
    </xf>
    <xf numFmtId="3" fontId="1" fillId="3" borderId="68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center"/>
    </xf>
    <xf numFmtId="3" fontId="3" fillId="4" borderId="32" xfId="0" applyNumberFormat="1" applyFont="1" applyFill="1" applyBorder="1" applyAlignment="1">
      <alignment horizontal="right" vertical="top"/>
    </xf>
    <xf numFmtId="3" fontId="1" fillId="0" borderId="66" xfId="0" applyNumberFormat="1" applyFont="1" applyFill="1" applyBorder="1" applyAlignment="1">
      <alignment vertical="top" wrapText="1"/>
    </xf>
    <xf numFmtId="3" fontId="1" fillId="0" borderId="74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 wrapText="1"/>
    </xf>
    <xf numFmtId="3" fontId="1" fillId="0" borderId="63" xfId="0" applyNumberFormat="1" applyFont="1" applyFill="1" applyBorder="1" applyAlignment="1">
      <alignment horizontal="center" vertical="top" wrapText="1"/>
    </xf>
    <xf numFmtId="3" fontId="1" fillId="0" borderId="70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1" fillId="5" borderId="29" xfId="0" applyNumberFormat="1" applyFont="1" applyFill="1" applyBorder="1" applyAlignment="1">
      <alignment horizontal="center" vertical="top"/>
    </xf>
    <xf numFmtId="164" fontId="3" fillId="5" borderId="4" xfId="0" applyNumberFormat="1" applyFont="1" applyFill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vertical="top" wrapText="1"/>
    </xf>
    <xf numFmtId="164" fontId="3" fillId="4" borderId="73" xfId="0" applyNumberFormat="1" applyFont="1" applyFill="1" applyBorder="1" applyAlignment="1">
      <alignment horizontal="center" vertical="top" wrapText="1"/>
    </xf>
    <xf numFmtId="3" fontId="1" fillId="5" borderId="14" xfId="0" applyNumberFormat="1" applyFont="1" applyFill="1" applyBorder="1" applyAlignment="1">
      <alignment horizontal="center" vertical="top"/>
    </xf>
    <xf numFmtId="0" fontId="1" fillId="5" borderId="6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1" fontId="1" fillId="5" borderId="10" xfId="0" applyNumberFormat="1" applyFont="1" applyFill="1" applyBorder="1" applyAlignment="1">
      <alignment horizontal="center" vertical="top"/>
    </xf>
    <xf numFmtId="2" fontId="1" fillId="5" borderId="10" xfId="0" applyNumberFormat="1" applyFont="1" applyFill="1" applyBorder="1" applyAlignment="1">
      <alignment horizontal="center" vertical="top"/>
    </xf>
    <xf numFmtId="164" fontId="3" fillId="4" borderId="58" xfId="0" applyNumberFormat="1" applyFont="1" applyFill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top" wrapText="1"/>
    </xf>
    <xf numFmtId="3" fontId="4" fillId="0" borderId="46" xfId="0" applyNumberFormat="1" applyFont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4" fillId="5" borderId="34" xfId="0" applyNumberFormat="1" applyFont="1" applyFill="1" applyBorder="1" applyAlignment="1">
      <alignment horizontal="center" vertical="top" wrapText="1"/>
    </xf>
    <xf numFmtId="1" fontId="1" fillId="5" borderId="49" xfId="0" applyNumberFormat="1" applyFont="1" applyFill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3" fontId="4" fillId="5" borderId="53" xfId="0" applyNumberFormat="1" applyFont="1" applyFill="1" applyBorder="1" applyAlignment="1">
      <alignment horizontal="center" vertical="top" wrapText="1"/>
    </xf>
    <xf numFmtId="3" fontId="4" fillId="5" borderId="9" xfId="0" applyNumberFormat="1" applyFont="1" applyFill="1" applyBorder="1" applyAlignment="1">
      <alignment vertical="top" wrapText="1"/>
    </xf>
    <xf numFmtId="3" fontId="4" fillId="5" borderId="48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vertical="center" textRotation="90" wrapText="1"/>
    </xf>
    <xf numFmtId="164" fontId="1" fillId="3" borderId="40" xfId="0" applyNumberFormat="1" applyFont="1" applyFill="1" applyBorder="1" applyAlignment="1">
      <alignment horizontal="center" vertical="top" wrapText="1"/>
    </xf>
    <xf numFmtId="164" fontId="1" fillId="5" borderId="57" xfId="0" applyNumberFormat="1" applyFont="1" applyFill="1" applyBorder="1" applyAlignment="1">
      <alignment horizontal="center" vertical="top"/>
    </xf>
    <xf numFmtId="164" fontId="1" fillId="5" borderId="5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4" fillId="3" borderId="60" xfId="0" applyNumberFormat="1" applyFont="1" applyFill="1" applyBorder="1" applyAlignment="1">
      <alignment horizontal="center" vertical="top" wrapText="1"/>
    </xf>
    <xf numFmtId="164" fontId="1" fillId="5" borderId="58" xfId="0" applyNumberFormat="1" applyFont="1" applyFill="1" applyBorder="1" applyAlignment="1">
      <alignment horizontal="center" vertical="top" wrapText="1"/>
    </xf>
    <xf numFmtId="164" fontId="3" fillId="4" borderId="58" xfId="0" applyNumberFormat="1" applyFont="1" applyFill="1" applyBorder="1" applyAlignment="1">
      <alignment horizontal="center" vertical="top" wrapText="1"/>
    </xf>
    <xf numFmtId="164" fontId="5" fillId="2" borderId="39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center" textRotation="90" wrapText="1"/>
    </xf>
    <xf numFmtId="3" fontId="1" fillId="0" borderId="4" xfId="0" applyNumberFormat="1" applyFont="1" applyFill="1" applyBorder="1" applyAlignment="1">
      <alignment vertical="top" textRotation="90" wrapText="1"/>
    </xf>
    <xf numFmtId="164" fontId="3" fillId="5" borderId="31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vertical="top" textRotation="90" wrapText="1"/>
    </xf>
    <xf numFmtId="3" fontId="3" fillId="0" borderId="38" xfId="0" applyNumberFormat="1" applyFont="1" applyFill="1" applyBorder="1" applyAlignment="1">
      <alignment vertical="top" wrapText="1"/>
    </xf>
    <xf numFmtId="3" fontId="1" fillId="5" borderId="32" xfId="0" applyNumberFormat="1" applyFont="1" applyFill="1" applyBorder="1" applyAlignment="1">
      <alignment vertical="top" wrapText="1"/>
    </xf>
    <xf numFmtId="3" fontId="1" fillId="5" borderId="39" xfId="0" applyNumberFormat="1" applyFont="1" applyFill="1" applyBorder="1" applyAlignment="1">
      <alignment vertical="top" wrapText="1"/>
    </xf>
    <xf numFmtId="164" fontId="1" fillId="10" borderId="10" xfId="1" applyNumberFormat="1" applyFont="1" applyFill="1" applyBorder="1" applyAlignment="1">
      <alignment horizontal="center" vertical="top"/>
    </xf>
    <xf numFmtId="164" fontId="1" fillId="10" borderId="77" xfId="1" applyNumberFormat="1" applyFont="1" applyFill="1" applyBorder="1" applyAlignment="1">
      <alignment horizontal="center" vertical="top"/>
    </xf>
    <xf numFmtId="164" fontId="1" fillId="10" borderId="65" xfId="1" applyNumberFormat="1" applyFont="1" applyFill="1" applyBorder="1" applyAlignment="1">
      <alignment horizontal="center" vertical="top"/>
    </xf>
    <xf numFmtId="164" fontId="1" fillId="10" borderId="58" xfId="1" applyNumberFormat="1" applyFont="1" applyFill="1" applyBorder="1" applyAlignment="1">
      <alignment horizontal="center" vertical="top"/>
    </xf>
    <xf numFmtId="0" fontId="1" fillId="5" borderId="13" xfId="0" applyFont="1" applyFill="1" applyBorder="1" applyAlignment="1">
      <alignment vertical="top" wrapText="1"/>
    </xf>
    <xf numFmtId="0" fontId="1" fillId="5" borderId="48" xfId="0" applyFont="1" applyFill="1" applyBorder="1" applyAlignment="1">
      <alignment vertical="top" wrapText="1"/>
    </xf>
    <xf numFmtId="164" fontId="1" fillId="5" borderId="60" xfId="0" applyNumberFormat="1" applyFont="1" applyFill="1" applyBorder="1" applyAlignment="1">
      <alignment horizontal="center" vertical="top"/>
    </xf>
    <xf numFmtId="3" fontId="3" fillId="4" borderId="66" xfId="0" applyNumberFormat="1" applyFont="1" applyFill="1" applyBorder="1" applyAlignment="1">
      <alignment horizontal="center" vertical="top"/>
    </xf>
    <xf numFmtId="3" fontId="3" fillId="4" borderId="34" xfId="0" applyNumberFormat="1" applyFont="1" applyFill="1" applyBorder="1" applyAlignment="1">
      <alignment vertical="top"/>
    </xf>
    <xf numFmtId="3" fontId="10" fillId="4" borderId="53" xfId="0" applyNumberFormat="1" applyFont="1" applyFill="1" applyBorder="1" applyAlignment="1">
      <alignment vertical="top" textRotation="90"/>
    </xf>
    <xf numFmtId="164" fontId="5" fillId="2" borderId="42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7" borderId="39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57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1" fillId="3" borderId="31" xfId="0" applyNumberFormat="1" applyFont="1" applyFill="1" applyBorder="1" applyAlignment="1">
      <alignment horizontal="center" vertical="top"/>
    </xf>
    <xf numFmtId="164" fontId="4" fillId="3" borderId="58" xfId="0" applyNumberFormat="1" applyFont="1" applyFill="1" applyBorder="1" applyAlignment="1">
      <alignment horizontal="center" vertical="top"/>
    </xf>
    <xf numFmtId="164" fontId="1" fillId="5" borderId="60" xfId="0" applyNumberFormat="1" applyFont="1" applyFill="1" applyBorder="1" applyAlignment="1">
      <alignment horizontal="center" vertical="top" wrapText="1"/>
    </xf>
    <xf numFmtId="164" fontId="3" fillId="4" borderId="57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1" fillId="0" borderId="60" xfId="0" applyNumberFormat="1" applyFont="1" applyFill="1" applyBorder="1" applyAlignment="1">
      <alignment horizontal="center" vertical="top"/>
    </xf>
    <xf numFmtId="0" fontId="1" fillId="5" borderId="65" xfId="0" applyFont="1" applyFill="1" applyBorder="1" applyAlignment="1">
      <alignment horizontal="center" vertical="center"/>
    </xf>
    <xf numFmtId="165" fontId="1" fillId="5" borderId="14" xfId="0" applyNumberFormat="1" applyFont="1" applyFill="1" applyBorder="1" applyAlignment="1">
      <alignment horizontal="center" vertical="center"/>
    </xf>
    <xf numFmtId="165" fontId="1" fillId="5" borderId="23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top"/>
    </xf>
    <xf numFmtId="164" fontId="5" fillId="9" borderId="21" xfId="0" applyNumberFormat="1" applyFont="1" applyFill="1" applyBorder="1" applyAlignment="1">
      <alignment horizontal="center" vertical="top"/>
    </xf>
    <xf numFmtId="164" fontId="5" fillId="7" borderId="41" xfId="0" applyNumberFormat="1" applyFont="1" applyFill="1" applyBorder="1" applyAlignment="1">
      <alignment horizontal="center" vertical="top"/>
    </xf>
    <xf numFmtId="164" fontId="1" fillId="0" borderId="58" xfId="0" applyNumberFormat="1" applyFont="1" applyBorder="1" applyAlignment="1">
      <alignment horizontal="center" vertical="top" wrapText="1"/>
    </xf>
    <xf numFmtId="164" fontId="4" fillId="0" borderId="58" xfId="0" applyNumberFormat="1" applyFont="1" applyBorder="1" applyAlignment="1">
      <alignment horizontal="center" vertical="top" wrapText="1"/>
    </xf>
    <xf numFmtId="3" fontId="1" fillId="0" borderId="32" xfId="0" applyNumberFormat="1" applyFont="1" applyBorder="1" applyAlignment="1">
      <alignment horizontal="center" vertical="top" wrapText="1"/>
    </xf>
    <xf numFmtId="49" fontId="3" fillId="5" borderId="65" xfId="0" applyNumberFormat="1" applyFont="1" applyFill="1" applyBorder="1" applyAlignment="1">
      <alignment horizontal="center" vertical="top"/>
    </xf>
    <xf numFmtId="49" fontId="3" fillId="0" borderId="65" xfId="0" applyNumberFormat="1" applyFont="1" applyBorder="1" applyAlignment="1">
      <alignment horizontal="center" vertical="top"/>
    </xf>
    <xf numFmtId="49" fontId="3" fillId="5" borderId="64" xfId="0" applyNumberFormat="1" applyFont="1" applyFill="1" applyBorder="1" applyAlignment="1">
      <alignment horizontal="center" vertical="top"/>
    </xf>
    <xf numFmtId="3" fontId="3" fillId="4" borderId="59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vertical="top"/>
    </xf>
    <xf numFmtId="164" fontId="1" fillId="5" borderId="27" xfId="0" applyNumberFormat="1" applyFont="1" applyFill="1" applyBorder="1" applyAlignment="1">
      <alignment horizontal="center" vertical="top" wrapText="1"/>
    </xf>
    <xf numFmtId="164" fontId="4" fillId="5" borderId="67" xfId="0" applyNumberFormat="1" applyFont="1" applyFill="1" applyBorder="1" applyAlignment="1">
      <alignment horizontal="center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164" fontId="4" fillId="5" borderId="15" xfId="0" applyNumberFormat="1" applyFont="1" applyFill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/>
    </xf>
    <xf numFmtId="164" fontId="19" fillId="0" borderId="60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top"/>
    </xf>
    <xf numFmtId="3" fontId="20" fillId="0" borderId="0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/>
    </xf>
    <xf numFmtId="3" fontId="20" fillId="0" borderId="17" xfId="0" applyNumberFormat="1" applyFont="1" applyFill="1" applyBorder="1" applyAlignment="1">
      <alignment horizontal="center" vertical="top"/>
    </xf>
    <xf numFmtId="3" fontId="20" fillId="0" borderId="29" xfId="0" applyNumberFormat="1" applyFont="1" applyFill="1" applyBorder="1" applyAlignment="1">
      <alignment horizontal="center" vertical="top" wrapText="1"/>
    </xf>
    <xf numFmtId="3" fontId="20" fillId="0" borderId="47" xfId="0" applyNumberFormat="1" applyFont="1" applyFill="1" applyBorder="1" applyAlignment="1">
      <alignment horizontal="center" vertical="top" wrapText="1"/>
    </xf>
    <xf numFmtId="49" fontId="19" fillId="0" borderId="17" xfId="0" applyNumberFormat="1" applyFont="1" applyBorder="1" applyAlignment="1">
      <alignment horizontal="center" vertical="top" wrapText="1"/>
    </xf>
    <xf numFmtId="3" fontId="19" fillId="0" borderId="0" xfId="0" applyNumberFormat="1" applyFont="1" applyBorder="1" applyAlignment="1">
      <alignment vertical="top"/>
    </xf>
    <xf numFmtId="3" fontId="19" fillId="0" borderId="46" xfId="0" applyNumberFormat="1" applyFont="1" applyBorder="1" applyAlignment="1">
      <alignment vertical="top"/>
    </xf>
    <xf numFmtId="3" fontId="19" fillId="5" borderId="0" xfId="0" applyNumberFormat="1" applyFont="1" applyFill="1" applyBorder="1" applyAlignment="1">
      <alignment horizontal="center" vertical="top"/>
    </xf>
    <xf numFmtId="3" fontId="19" fillId="5" borderId="1" xfId="0" applyNumberFormat="1" applyFont="1" applyFill="1" applyBorder="1" applyAlignment="1">
      <alignment vertical="top"/>
    </xf>
    <xf numFmtId="3" fontId="20" fillId="0" borderId="0" xfId="0" applyNumberFormat="1" applyFont="1" applyBorder="1" applyAlignment="1">
      <alignment horizontal="center" vertical="top"/>
    </xf>
    <xf numFmtId="3" fontId="20" fillId="0" borderId="0" xfId="0" applyNumberFormat="1" applyFont="1" applyBorder="1" applyAlignment="1">
      <alignment vertical="top"/>
    </xf>
    <xf numFmtId="3" fontId="20" fillId="0" borderId="46" xfId="0" applyNumberFormat="1" applyFont="1" applyBorder="1" applyAlignment="1">
      <alignment vertical="top"/>
    </xf>
    <xf numFmtId="3" fontId="20" fillId="0" borderId="1" xfId="0" applyNumberFormat="1" applyFont="1" applyBorder="1" applyAlignment="1">
      <alignment vertical="top"/>
    </xf>
    <xf numFmtId="49" fontId="19" fillId="0" borderId="28" xfId="0" applyNumberFormat="1" applyFont="1" applyBorder="1" applyAlignment="1">
      <alignment horizontal="center" vertical="top" wrapText="1"/>
    </xf>
    <xf numFmtId="49" fontId="19" fillId="0" borderId="26" xfId="0" applyNumberFormat="1" applyFont="1" applyBorder="1" applyAlignment="1">
      <alignment horizontal="center" vertical="top" wrapText="1"/>
    </xf>
    <xf numFmtId="3" fontId="20" fillId="0" borderId="34" xfId="0" applyNumberFormat="1" applyFont="1" applyFill="1" applyBorder="1" applyAlignment="1">
      <alignment horizontal="center" vertical="top" wrapText="1"/>
    </xf>
    <xf numFmtId="3" fontId="20" fillId="0" borderId="26" xfId="0" applyNumberFormat="1" applyFont="1" applyFill="1" applyBorder="1" applyAlignment="1">
      <alignment vertical="top" wrapText="1"/>
    </xf>
    <xf numFmtId="3" fontId="19" fillId="0" borderId="5" xfId="0" applyNumberFormat="1" applyFont="1" applyFill="1" applyBorder="1" applyAlignment="1">
      <alignment horizontal="center" vertical="top" wrapText="1"/>
    </xf>
    <xf numFmtId="3" fontId="19" fillId="0" borderId="47" xfId="0" applyNumberFormat="1" applyFont="1" applyFill="1" applyBorder="1" applyAlignment="1">
      <alignment horizontal="center" vertical="top" wrapText="1"/>
    </xf>
    <xf numFmtId="49" fontId="19" fillId="5" borderId="12" xfId="0" applyNumberFormat="1" applyFont="1" applyFill="1" applyBorder="1" applyAlignment="1">
      <alignment horizontal="center" vertical="top" wrapText="1"/>
    </xf>
    <xf numFmtId="49" fontId="19" fillId="5" borderId="12" xfId="0" applyNumberFormat="1" applyFont="1" applyFill="1" applyBorder="1" applyAlignment="1">
      <alignment vertical="top"/>
    </xf>
    <xf numFmtId="49" fontId="19" fillId="0" borderId="12" xfId="0" applyNumberFormat="1" applyFont="1" applyBorder="1" applyAlignment="1">
      <alignment vertical="top"/>
    </xf>
    <xf numFmtId="49" fontId="19" fillId="5" borderId="12" xfId="0" applyNumberFormat="1" applyFont="1" applyFill="1" applyBorder="1" applyAlignment="1">
      <alignment vertical="top" wrapText="1"/>
    </xf>
    <xf numFmtId="49" fontId="19" fillId="5" borderId="51" xfId="0" applyNumberFormat="1" applyFont="1" applyFill="1" applyBorder="1" applyAlignment="1">
      <alignment vertical="top" wrapText="1"/>
    </xf>
    <xf numFmtId="3" fontId="19" fillId="0" borderId="40" xfId="0" applyNumberFormat="1" applyFont="1" applyBorder="1" applyAlignment="1">
      <alignment horizontal="center" vertical="top" wrapText="1"/>
    </xf>
    <xf numFmtId="3" fontId="19" fillId="0" borderId="46" xfId="0" applyNumberFormat="1" applyFont="1" applyBorder="1" applyAlignment="1">
      <alignment horizontal="center" vertical="top" wrapText="1"/>
    </xf>
    <xf numFmtId="3" fontId="19" fillId="0" borderId="41" xfId="0" applyNumberFormat="1" applyFont="1" applyBorder="1" applyAlignment="1">
      <alignment horizontal="center" vertical="top"/>
    </xf>
    <xf numFmtId="3" fontId="20" fillId="0" borderId="40" xfId="0" applyNumberFormat="1" applyFont="1" applyFill="1" applyBorder="1" applyAlignment="1">
      <alignment horizontal="center" vertical="top" wrapText="1"/>
    </xf>
    <xf numFmtId="3" fontId="20" fillId="0" borderId="46" xfId="0" applyNumberFormat="1" applyFont="1" applyFill="1" applyBorder="1" applyAlignment="1">
      <alignment horizontal="center" vertical="top"/>
    </xf>
    <xf numFmtId="3" fontId="20" fillId="0" borderId="41" xfId="0" applyNumberFormat="1" applyFont="1" applyFill="1" applyBorder="1" applyAlignment="1">
      <alignment horizontal="center" vertical="top"/>
    </xf>
    <xf numFmtId="3" fontId="19" fillId="0" borderId="29" xfId="0" applyNumberFormat="1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0" fontId="22" fillId="0" borderId="0" xfId="0" applyFont="1"/>
    <xf numFmtId="49" fontId="3" fillId="3" borderId="11" xfId="0" applyNumberFormat="1" applyFont="1" applyFill="1" applyBorder="1" applyAlignment="1">
      <alignment horizontal="center" vertical="top" wrapText="1"/>
    </xf>
    <xf numFmtId="3" fontId="5" fillId="0" borderId="29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top" wrapText="1"/>
    </xf>
    <xf numFmtId="164" fontId="4" fillId="5" borderId="37" xfId="0" applyNumberFormat="1" applyFont="1" applyFill="1" applyBorder="1" applyAlignment="1">
      <alignment horizontal="center" vertical="top" wrapText="1"/>
    </xf>
    <xf numFmtId="164" fontId="4" fillId="5" borderId="57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3" fontId="11" fillId="5" borderId="56" xfId="0" applyNumberFormat="1" applyFont="1" applyFill="1" applyBorder="1" applyAlignment="1">
      <alignment horizontal="center" vertical="center" textRotation="90" wrapText="1"/>
    </xf>
    <xf numFmtId="164" fontId="1" fillId="11" borderId="80" xfId="1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4" fontId="25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top"/>
    </xf>
    <xf numFmtId="2" fontId="23" fillId="0" borderId="10" xfId="0" applyNumberFormat="1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16" fillId="0" borderId="10" xfId="0" applyFont="1" applyBorder="1" applyAlignment="1">
      <alignment vertical="top" wrapText="1"/>
    </xf>
    <xf numFmtId="0" fontId="23" fillId="0" borderId="71" xfId="0" applyFont="1" applyBorder="1" applyAlignment="1">
      <alignment horizontal="center" vertical="top"/>
    </xf>
    <xf numFmtId="0" fontId="23" fillId="0" borderId="10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23" fillId="5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2" fontId="28" fillId="0" borderId="10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25" fillId="0" borderId="23" xfId="0" applyFont="1" applyBorder="1" applyAlignment="1"/>
    <xf numFmtId="2" fontId="25" fillId="0" borderId="23" xfId="0" applyNumberFormat="1" applyFont="1" applyBorder="1" applyAlignment="1">
      <alignment horizontal="center"/>
    </xf>
    <xf numFmtId="0" fontId="25" fillId="0" borderId="0" xfId="0" applyFont="1" applyBorder="1" applyAlignment="1"/>
    <xf numFmtId="0" fontId="29" fillId="0" borderId="0" xfId="0" applyFont="1"/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/>
    </xf>
    <xf numFmtId="165" fontId="23" fillId="0" borderId="10" xfId="0" applyNumberFormat="1" applyFont="1" applyBorder="1" applyAlignment="1">
      <alignment horizontal="center" vertical="top"/>
    </xf>
    <xf numFmtId="0" fontId="23" fillId="0" borderId="67" xfId="0" applyFont="1" applyBorder="1" applyAlignment="1">
      <alignment vertical="top" wrapText="1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top"/>
    </xf>
    <xf numFmtId="0" fontId="23" fillId="0" borderId="14" xfId="0" applyFont="1" applyBorder="1" applyAlignment="1">
      <alignment vertical="top" wrapText="1"/>
    </xf>
    <xf numFmtId="165" fontId="28" fillId="0" borderId="14" xfId="0" applyNumberFormat="1" applyFont="1" applyBorder="1" applyAlignment="1">
      <alignment horizontal="center" vertical="top"/>
    </xf>
    <xf numFmtId="0" fontId="28" fillId="0" borderId="14" xfId="0" applyFont="1" applyBorder="1" applyAlignment="1">
      <alignment vertical="top" wrapText="1"/>
    </xf>
    <xf numFmtId="0" fontId="28" fillId="0" borderId="14" xfId="0" applyFont="1" applyBorder="1" applyAlignment="1">
      <alignment vertical="top"/>
    </xf>
    <xf numFmtId="2" fontId="28" fillId="0" borderId="14" xfId="0" applyNumberFormat="1" applyFont="1" applyBorder="1" applyAlignment="1">
      <alignment horizontal="center" vertical="top"/>
    </xf>
    <xf numFmtId="0" fontId="23" fillId="0" borderId="71" xfId="0" applyFont="1" applyBorder="1" applyAlignment="1">
      <alignment vertical="top"/>
    </xf>
    <xf numFmtId="165" fontId="23" fillId="0" borderId="10" xfId="0" applyNumberFormat="1" applyFont="1" applyBorder="1" applyAlignment="1">
      <alignment horizontal="center" vertical="top" wrapText="1"/>
    </xf>
    <xf numFmtId="0" fontId="23" fillId="0" borderId="6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top" wrapText="1"/>
    </xf>
    <xf numFmtId="2" fontId="23" fillId="0" borderId="14" xfId="0" applyNumberFormat="1" applyFont="1" applyBorder="1" applyAlignment="1">
      <alignment horizontal="center" vertical="top"/>
    </xf>
    <xf numFmtId="165" fontId="28" fillId="0" borderId="14" xfId="0" applyNumberFormat="1" applyFont="1" applyBorder="1" applyAlignment="1">
      <alignment horizontal="center" vertical="top" wrapText="1"/>
    </xf>
    <xf numFmtId="0" fontId="23" fillId="0" borderId="71" xfId="0" applyFont="1" applyBorder="1" applyAlignment="1">
      <alignment horizontal="center" vertical="top" wrapText="1"/>
    </xf>
    <xf numFmtId="165" fontId="28" fillId="0" borderId="10" xfId="0" applyNumberFormat="1" applyFont="1" applyBorder="1" applyAlignment="1">
      <alignment horizontal="center" vertical="top"/>
    </xf>
    <xf numFmtId="165" fontId="28" fillId="0" borderId="10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5" borderId="14" xfId="0" applyFont="1" applyFill="1" applyBorder="1" applyAlignment="1">
      <alignment horizontal="center" vertical="center"/>
    </xf>
    <xf numFmtId="165" fontId="23" fillId="0" borderId="14" xfId="0" applyNumberFormat="1" applyFont="1" applyBorder="1" applyAlignment="1">
      <alignment horizontal="center" vertical="top"/>
    </xf>
    <xf numFmtId="165" fontId="23" fillId="0" borderId="0" xfId="0" applyNumberFormat="1" applyFont="1"/>
    <xf numFmtId="165" fontId="23" fillId="7" borderId="10" xfId="0" applyNumberFormat="1" applyFont="1" applyFill="1" applyBorder="1" applyAlignment="1">
      <alignment horizontal="right"/>
    </xf>
    <xf numFmtId="165" fontId="23" fillId="7" borderId="10" xfId="0" applyNumberFormat="1" applyFont="1" applyFill="1" applyBorder="1" applyAlignment="1">
      <alignment horizontal="right" vertical="top"/>
    </xf>
    <xf numFmtId="165" fontId="28" fillId="7" borderId="10" xfId="0" applyNumberFormat="1" applyFont="1" applyFill="1" applyBorder="1" applyAlignment="1">
      <alignment horizontal="right" vertical="top"/>
    </xf>
    <xf numFmtId="165" fontId="28" fillId="7" borderId="10" xfId="0" applyNumberFormat="1" applyFont="1" applyFill="1" applyBorder="1" applyAlignment="1">
      <alignment horizontal="right"/>
    </xf>
    <xf numFmtId="0" fontId="28" fillId="4" borderId="10" xfId="0" applyFont="1" applyFill="1" applyBorder="1" applyAlignment="1">
      <alignment horizontal="right"/>
    </xf>
    <xf numFmtId="164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0" borderId="34" xfId="0" applyNumberFormat="1" applyFont="1" applyFill="1" applyBorder="1" applyAlignment="1">
      <alignment horizontal="center" vertical="top" wrapText="1"/>
    </xf>
    <xf numFmtId="164" fontId="1" fillId="5" borderId="56" xfId="0" applyNumberFormat="1" applyFont="1" applyFill="1" applyBorder="1" applyAlignment="1">
      <alignment vertical="top"/>
    </xf>
    <xf numFmtId="3" fontId="1" fillId="0" borderId="38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/>
    <xf numFmtId="0" fontId="1" fillId="5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top"/>
    </xf>
    <xf numFmtId="164" fontId="1" fillId="3" borderId="56" xfId="0" applyNumberFormat="1" applyFont="1" applyFill="1" applyBorder="1" applyAlignment="1">
      <alignment horizontal="center" vertical="top"/>
    </xf>
    <xf numFmtId="164" fontId="1" fillId="0" borderId="24" xfId="0" applyNumberFormat="1" applyFont="1" applyFill="1" applyBorder="1" applyAlignment="1">
      <alignment horizontal="center" vertical="top"/>
    </xf>
    <xf numFmtId="3" fontId="1" fillId="5" borderId="67" xfId="0" applyNumberFormat="1" applyFont="1" applyFill="1" applyBorder="1" applyAlignment="1">
      <alignment vertical="top"/>
    </xf>
    <xf numFmtId="3" fontId="1" fillId="0" borderId="9" xfId="0" applyNumberFormat="1" applyFont="1" applyBorder="1" applyAlignment="1">
      <alignment horizontal="center" vertical="top"/>
    </xf>
    <xf numFmtId="0" fontId="1" fillId="5" borderId="56" xfId="0" applyNumberFormat="1" applyFont="1" applyFill="1" applyBorder="1" applyAlignment="1">
      <alignment horizontal="center" vertical="top" wrapText="1"/>
    </xf>
    <xf numFmtId="0" fontId="1" fillId="0" borderId="24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1" fillId="0" borderId="58" xfId="0" applyNumberFormat="1" applyFont="1" applyFill="1" applyBorder="1" applyAlignment="1">
      <alignment horizontal="center" vertical="top"/>
    </xf>
    <xf numFmtId="164" fontId="1" fillId="10" borderId="81" xfId="1" applyNumberFormat="1" applyFont="1" applyFill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 wrapText="1"/>
    </xf>
    <xf numFmtId="3" fontId="20" fillId="5" borderId="22" xfId="0" applyNumberFormat="1" applyFont="1" applyFill="1" applyBorder="1" applyAlignment="1">
      <alignment horizontal="center" vertical="top" wrapText="1"/>
    </xf>
    <xf numFmtId="3" fontId="5" fillId="5" borderId="23" xfId="0" applyNumberFormat="1" applyFont="1" applyFill="1" applyBorder="1" applyAlignment="1">
      <alignment horizontal="center" vertical="top" wrapText="1"/>
    </xf>
    <xf numFmtId="3" fontId="11" fillId="5" borderId="71" xfId="0" applyNumberFormat="1" applyFont="1" applyFill="1" applyBorder="1" applyAlignment="1">
      <alignment horizontal="center" vertical="center" textRotation="90" wrapText="1"/>
    </xf>
    <xf numFmtId="3" fontId="11" fillId="5" borderId="75" xfId="0" applyNumberFormat="1" applyFont="1" applyFill="1" applyBorder="1" applyAlignment="1">
      <alignment horizontal="center" vertical="center" textRotation="90" wrapText="1"/>
    </xf>
    <xf numFmtId="3" fontId="1" fillId="5" borderId="0" xfId="0" applyNumberFormat="1" applyFont="1" applyFill="1"/>
    <xf numFmtId="3" fontId="5" fillId="0" borderId="1" xfId="0" applyNumberFormat="1" applyFont="1" applyFill="1" applyBorder="1" applyAlignment="1">
      <alignment horizontal="center" vertical="top"/>
    </xf>
    <xf numFmtId="164" fontId="1" fillId="12" borderId="78" xfId="1" applyNumberFormat="1" applyFont="1" applyFill="1" applyBorder="1" applyAlignment="1">
      <alignment horizontal="center" vertical="top"/>
    </xf>
    <xf numFmtId="164" fontId="1" fillId="11" borderId="54" xfId="1" applyNumberFormat="1" applyFont="1" applyFill="1" applyBorder="1" applyAlignment="1">
      <alignment horizontal="center" vertical="top"/>
    </xf>
    <xf numFmtId="164" fontId="1" fillId="12" borderId="76" xfId="1" applyNumberFormat="1" applyFont="1" applyFill="1" applyBorder="1" applyAlignment="1">
      <alignment horizontal="center" vertical="top"/>
    </xf>
    <xf numFmtId="164" fontId="1" fillId="12" borderId="79" xfId="1" applyNumberFormat="1" applyFont="1" applyFill="1" applyBorder="1" applyAlignment="1">
      <alignment horizontal="center" vertical="top"/>
    </xf>
    <xf numFmtId="0" fontId="30" fillId="5" borderId="9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/>
    <xf numFmtId="3" fontId="1" fillId="5" borderId="57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9" xfId="0" applyNumberFormat="1" applyFont="1" applyFill="1" applyBorder="1" applyAlignment="1">
      <alignment vertical="top"/>
    </xf>
    <xf numFmtId="49" fontId="3" fillId="3" borderId="0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vertical="top" wrapText="1"/>
    </xf>
    <xf numFmtId="3" fontId="4" fillId="0" borderId="17" xfId="0" applyNumberFormat="1" applyFont="1" applyFill="1" applyBorder="1" applyAlignment="1">
      <alignment vertical="top" wrapText="1"/>
    </xf>
    <xf numFmtId="0" fontId="1" fillId="5" borderId="26" xfId="0" applyNumberFormat="1" applyFont="1" applyFill="1" applyBorder="1" applyAlignment="1">
      <alignment vertical="top" wrapText="1"/>
    </xf>
    <xf numFmtId="3" fontId="4" fillId="0" borderId="9" xfId="0" applyNumberFormat="1" applyFont="1" applyBorder="1" applyAlignment="1">
      <alignment horizontal="center" vertical="top"/>
    </xf>
    <xf numFmtId="0" fontId="30" fillId="5" borderId="49" xfId="0" applyNumberFormat="1" applyFont="1" applyFill="1" applyBorder="1" applyAlignment="1">
      <alignment horizontal="center" vertical="top" wrapText="1"/>
    </xf>
    <xf numFmtId="0" fontId="1" fillId="5" borderId="55" xfId="0" applyNumberFormat="1" applyFont="1" applyFill="1" applyBorder="1" applyAlignment="1">
      <alignment horizontal="center" vertical="top" wrapText="1"/>
    </xf>
    <xf numFmtId="3" fontId="1" fillId="0" borderId="9" xfId="0" applyNumberFormat="1" applyFont="1" applyBorder="1" applyAlignment="1">
      <alignment vertical="top"/>
    </xf>
    <xf numFmtId="3" fontId="1" fillId="0" borderId="15" xfId="0" applyNumberFormat="1" applyFont="1" applyBorder="1" applyAlignment="1">
      <alignment vertical="top"/>
    </xf>
    <xf numFmtId="164" fontId="3" fillId="4" borderId="74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left" vertical="top"/>
    </xf>
    <xf numFmtId="49" fontId="3" fillId="9" borderId="26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3" fontId="10" fillId="0" borderId="4" xfId="0" applyNumberFormat="1" applyFont="1" applyFill="1" applyBorder="1" applyAlignment="1">
      <alignment horizontal="center" vertical="center" textRotation="90" wrapText="1"/>
    </xf>
    <xf numFmtId="3" fontId="10" fillId="0" borderId="16" xfId="0" applyNumberFormat="1" applyFont="1" applyFill="1" applyBorder="1" applyAlignment="1">
      <alignment horizontal="center" vertical="center" textRotation="90" wrapText="1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/>
    </xf>
    <xf numFmtId="3" fontId="11" fillId="0" borderId="49" xfId="0" applyNumberFormat="1" applyFont="1" applyFill="1" applyBorder="1" applyAlignment="1">
      <alignment horizontal="center" textRotation="90"/>
    </xf>
    <xf numFmtId="0" fontId="9" fillId="0" borderId="0" xfId="0" applyFont="1" applyAlignment="1">
      <alignment horizontal="center"/>
    </xf>
    <xf numFmtId="3" fontId="3" fillId="3" borderId="12" xfId="0" applyNumberFormat="1" applyFont="1" applyFill="1" applyBorder="1" applyAlignment="1">
      <alignment horizontal="left" vertical="top" wrapText="1"/>
    </xf>
    <xf numFmtId="3" fontId="10" fillId="0" borderId="49" xfId="0" applyNumberFormat="1" applyFont="1" applyFill="1" applyBorder="1" applyAlignment="1">
      <alignment horizontal="center" vertical="center" textRotation="90" wrapText="1"/>
    </xf>
    <xf numFmtId="3" fontId="5" fillId="5" borderId="47" xfId="0" applyNumberFormat="1" applyFont="1" applyFill="1" applyBorder="1" applyAlignment="1">
      <alignment horizontal="left" vertical="top" wrapText="1"/>
    </xf>
    <xf numFmtId="49" fontId="1" fillId="3" borderId="50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11" fillId="0" borderId="49" xfId="0" applyNumberFormat="1" applyFont="1" applyFill="1" applyBorder="1" applyAlignment="1">
      <alignment horizontal="center" vertical="center" textRotation="90"/>
    </xf>
    <xf numFmtId="3" fontId="11" fillId="0" borderId="16" xfId="0" applyNumberFormat="1" applyFont="1" applyFill="1" applyBorder="1" applyAlignment="1">
      <alignment horizontal="center" vertical="center" textRotation="90"/>
    </xf>
    <xf numFmtId="3" fontId="1" fillId="5" borderId="12" xfId="0" applyNumberFormat="1" applyFont="1" applyFill="1" applyBorder="1" applyAlignment="1">
      <alignment horizontal="left" vertical="top" wrapText="1"/>
    </xf>
    <xf numFmtId="3" fontId="11" fillId="0" borderId="4" xfId="0" applyNumberFormat="1" applyFont="1" applyFill="1" applyBorder="1" applyAlignment="1">
      <alignment horizontal="center" vertical="top" textRotation="90"/>
    </xf>
    <xf numFmtId="3" fontId="11" fillId="0" borderId="16" xfId="0" applyNumberFormat="1" applyFont="1" applyFill="1" applyBorder="1" applyAlignment="1">
      <alignment horizontal="center" vertical="top" textRotation="90"/>
    </xf>
    <xf numFmtId="49" fontId="3" fillId="0" borderId="36" xfId="0" applyNumberFormat="1" applyFont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3" fontId="3" fillId="0" borderId="39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3" fontId="10" fillId="0" borderId="11" xfId="0" applyNumberFormat="1" applyFont="1" applyFill="1" applyBorder="1" applyAlignment="1">
      <alignment horizontal="center" vertical="top" textRotation="90" wrapText="1"/>
    </xf>
    <xf numFmtId="3" fontId="3" fillId="4" borderId="35" xfId="0" applyNumberFormat="1" applyFont="1" applyFill="1" applyBorder="1" applyAlignment="1">
      <alignment horizontal="right" vertical="top"/>
    </xf>
    <xf numFmtId="3" fontId="1" fillId="5" borderId="0" xfId="0" applyNumberFormat="1" applyFont="1" applyFill="1" applyBorder="1" applyAlignment="1">
      <alignment horizontal="center" vertical="top"/>
    </xf>
    <xf numFmtId="3" fontId="5" fillId="4" borderId="32" xfId="0" applyNumberFormat="1" applyFont="1" applyFill="1" applyBorder="1" applyAlignment="1">
      <alignment horizontal="right" vertical="top"/>
    </xf>
    <xf numFmtId="3" fontId="1" fillId="0" borderId="12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Alignment="1">
      <alignment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vertical="top" wrapText="1"/>
    </xf>
    <xf numFmtId="3" fontId="1" fillId="0" borderId="33" xfId="0" applyNumberFormat="1" applyFont="1" applyBorder="1" applyAlignment="1">
      <alignment horizontal="center" vertical="center" textRotation="90"/>
    </xf>
    <xf numFmtId="3" fontId="1" fillId="5" borderId="68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164" fontId="4" fillId="0" borderId="46" xfId="0" applyNumberFormat="1" applyFont="1" applyBorder="1" applyAlignment="1">
      <alignment horizontal="center" vertical="top"/>
    </xf>
    <xf numFmtId="3" fontId="1" fillId="0" borderId="58" xfId="0" applyNumberFormat="1" applyFont="1" applyBorder="1" applyAlignment="1">
      <alignment horizontal="center" vertical="top" wrapText="1"/>
    </xf>
    <xf numFmtId="164" fontId="1" fillId="11" borderId="72" xfId="1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/>
    </xf>
    <xf numFmtId="3" fontId="3" fillId="4" borderId="82" xfId="0" applyNumberFormat="1" applyFont="1" applyFill="1" applyBorder="1" applyAlignment="1">
      <alignment horizontal="right" vertical="top"/>
    </xf>
    <xf numFmtId="3" fontId="1" fillId="5" borderId="44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left" vertical="top"/>
    </xf>
    <xf numFmtId="165" fontId="1" fillId="5" borderId="26" xfId="0" applyNumberFormat="1" applyFont="1" applyFill="1" applyBorder="1" applyAlignment="1">
      <alignment horizontal="center" vertical="center"/>
    </xf>
    <xf numFmtId="3" fontId="3" fillId="0" borderId="68" xfId="0" applyNumberFormat="1" applyFont="1" applyFill="1" applyBorder="1" applyAlignment="1">
      <alignment horizontal="center" vertical="top" wrapText="1"/>
    </xf>
    <xf numFmtId="3" fontId="3" fillId="0" borderId="6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54" xfId="0" applyNumberFormat="1" applyFont="1" applyFill="1" applyBorder="1" applyAlignment="1">
      <alignment vertical="top" wrapText="1"/>
    </xf>
    <xf numFmtId="3" fontId="1" fillId="5" borderId="54" xfId="0" applyNumberFormat="1" applyFont="1" applyFill="1" applyBorder="1" applyAlignment="1">
      <alignment vertical="top" wrapText="1"/>
    </xf>
    <xf numFmtId="0" fontId="1" fillId="5" borderId="54" xfId="0" applyNumberFormat="1" applyFont="1" applyFill="1" applyBorder="1" applyAlignment="1">
      <alignment vertical="top" wrapText="1"/>
    </xf>
    <xf numFmtId="0" fontId="1" fillId="5" borderId="54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32" xfId="0" applyNumberFormat="1" applyFont="1" applyFill="1" applyBorder="1" applyAlignment="1">
      <alignment vertical="top" wrapText="1"/>
    </xf>
    <xf numFmtId="3" fontId="1" fillId="0" borderId="22" xfId="0" applyNumberFormat="1" applyFont="1" applyFill="1" applyBorder="1" applyAlignment="1">
      <alignment horizontal="left" vertical="top" wrapText="1"/>
    </xf>
    <xf numFmtId="3" fontId="1" fillId="0" borderId="22" xfId="0" applyNumberFormat="1" applyFont="1" applyBorder="1" applyAlignment="1">
      <alignment vertical="top" wrapText="1"/>
    </xf>
    <xf numFmtId="3" fontId="1" fillId="0" borderId="6" xfId="0" applyNumberFormat="1" applyFont="1" applyFill="1" applyBorder="1" applyAlignment="1">
      <alignment vertical="top" wrapText="1"/>
    </xf>
    <xf numFmtId="3" fontId="1" fillId="0" borderId="35" xfId="0" applyNumberFormat="1" applyFont="1" applyFill="1" applyBorder="1" applyAlignment="1">
      <alignment vertical="top" wrapText="1"/>
    </xf>
    <xf numFmtId="3" fontId="1" fillId="0" borderId="28" xfId="0" applyNumberFormat="1" applyFont="1" applyFill="1" applyBorder="1" applyAlignment="1">
      <alignment vertical="top" wrapText="1"/>
    </xf>
    <xf numFmtId="3" fontId="1" fillId="5" borderId="63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Border="1" applyAlignment="1">
      <alignment horizontal="left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3" fontId="1" fillId="0" borderId="32" xfId="0" applyNumberFormat="1" applyFont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3" fontId="1" fillId="0" borderId="38" xfId="0" applyNumberFormat="1" applyFont="1" applyBorder="1" applyAlignment="1">
      <alignment horizontal="center" vertical="top" wrapText="1"/>
    </xf>
    <xf numFmtId="3" fontId="10" fillId="0" borderId="49" xfId="0" applyNumberFormat="1" applyFont="1" applyFill="1" applyBorder="1" applyAlignment="1">
      <alignment horizontal="center" vertical="top" textRotation="90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3" fillId="5" borderId="12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3" fontId="10" fillId="0" borderId="11" xfId="0" applyNumberFormat="1" applyFont="1" applyFill="1" applyBorder="1" applyAlignment="1">
      <alignment horizontal="center" vertical="center" textRotation="90" wrapText="1"/>
    </xf>
    <xf numFmtId="3" fontId="3" fillId="3" borderId="12" xfId="0" applyNumberFormat="1" applyFont="1" applyFill="1" applyBorder="1" applyAlignment="1">
      <alignment horizontal="left" vertical="top" wrapText="1"/>
    </xf>
    <xf numFmtId="3" fontId="3" fillId="0" borderId="37" xfId="0" applyNumberFormat="1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164" fontId="1" fillId="5" borderId="6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left" vertical="top" wrapText="1"/>
    </xf>
    <xf numFmtId="164" fontId="1" fillId="0" borderId="56" xfId="0" applyNumberFormat="1" applyFont="1" applyFill="1" applyBorder="1" applyAlignment="1">
      <alignment horizontal="center" vertical="top"/>
    </xf>
    <xf numFmtId="1" fontId="1" fillId="5" borderId="11" xfId="0" applyNumberFormat="1" applyFont="1" applyFill="1" applyBorder="1" applyAlignment="1">
      <alignment horizontal="center" vertical="top" wrapText="1"/>
    </xf>
    <xf numFmtId="1" fontId="1" fillId="0" borderId="46" xfId="0" applyNumberFormat="1" applyFont="1" applyFill="1" applyBorder="1" applyAlignment="1">
      <alignment horizontal="center" vertical="top" wrapText="1"/>
    </xf>
    <xf numFmtId="1" fontId="1" fillId="0" borderId="15" xfId="0" applyNumberFormat="1" applyFont="1" applyFill="1" applyBorder="1" applyAlignment="1">
      <alignment horizontal="center" vertical="top" wrapText="1"/>
    </xf>
    <xf numFmtId="1" fontId="1" fillId="0" borderId="58" xfId="0" applyNumberFormat="1" applyFont="1" applyFill="1" applyBorder="1" applyAlignment="1">
      <alignment horizontal="center" vertical="top" wrapText="1"/>
    </xf>
    <xf numFmtId="1" fontId="1" fillId="5" borderId="49" xfId="0" applyNumberFormat="1" applyFont="1" applyFill="1" applyBorder="1" applyAlignment="1">
      <alignment horizontal="center" vertical="top" wrapText="1"/>
    </xf>
    <xf numFmtId="1" fontId="1" fillId="0" borderId="55" xfId="0" applyNumberFormat="1" applyFont="1" applyFill="1" applyBorder="1" applyAlignment="1">
      <alignment horizontal="center" vertical="top" wrapText="1"/>
    </xf>
    <xf numFmtId="1" fontId="1" fillId="5" borderId="55" xfId="0" applyNumberFormat="1" applyFont="1" applyFill="1" applyBorder="1" applyAlignment="1">
      <alignment horizontal="center" vertical="top" wrapText="1"/>
    </xf>
    <xf numFmtId="1" fontId="30" fillId="5" borderId="10" xfId="0" applyNumberFormat="1" applyFont="1" applyFill="1" applyBorder="1" applyAlignment="1">
      <alignment horizontal="center" vertical="top" wrapText="1"/>
    </xf>
    <xf numFmtId="1" fontId="30" fillId="5" borderId="49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1" fillId="5" borderId="67" xfId="0" applyNumberFormat="1" applyFont="1" applyFill="1" applyBorder="1" applyAlignment="1">
      <alignment horizontal="center" vertical="top" wrapText="1"/>
    </xf>
    <xf numFmtId="1" fontId="1" fillId="0" borderId="58" xfId="0" applyNumberFormat="1" applyFont="1" applyBorder="1" applyAlignment="1">
      <alignment horizontal="center" vertical="top"/>
    </xf>
    <xf numFmtId="1" fontId="1" fillId="0" borderId="10" xfId="0" applyNumberFormat="1" applyFont="1" applyFill="1" applyBorder="1" applyAlignment="1">
      <alignment horizontal="center" vertical="top" wrapText="1"/>
    </xf>
    <xf numFmtId="1" fontId="1" fillId="0" borderId="24" xfId="0" applyNumberFormat="1" applyFont="1" applyFill="1" applyBorder="1" applyAlignment="1">
      <alignment horizontal="center" vertical="top" wrapText="1"/>
    </xf>
    <xf numFmtId="1" fontId="1" fillId="0" borderId="49" xfId="0" applyNumberFormat="1" applyFont="1" applyFill="1" applyBorder="1" applyAlignment="1">
      <alignment horizontal="center" vertical="top" wrapText="1"/>
    </xf>
    <xf numFmtId="1" fontId="1" fillId="5" borderId="1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0" borderId="36" xfId="0" applyNumberFormat="1" applyFont="1" applyFill="1" applyBorder="1" applyAlignment="1">
      <alignment horizontal="center" vertical="top" wrapText="1"/>
    </xf>
    <xf numFmtId="1" fontId="1" fillId="0" borderId="11" xfId="0" applyNumberFormat="1" applyFont="1" applyFill="1" applyBorder="1" applyAlignment="1">
      <alignment horizontal="center" vertical="top" wrapText="1"/>
    </xf>
    <xf numFmtId="1" fontId="1" fillId="5" borderId="4" xfId="0" applyNumberFormat="1" applyFont="1" applyFill="1" applyBorder="1" applyAlignment="1">
      <alignment horizontal="center" vertical="top" wrapText="1"/>
    </xf>
    <xf numFmtId="164" fontId="14" fillId="5" borderId="45" xfId="0" applyNumberFormat="1" applyFont="1" applyFill="1" applyBorder="1" applyAlignment="1">
      <alignment horizontal="center" vertical="top"/>
    </xf>
    <xf numFmtId="164" fontId="14" fillId="5" borderId="11" xfId="0" applyNumberFormat="1" applyFont="1" applyFill="1" applyBorder="1" applyAlignment="1">
      <alignment horizontal="center" vertical="top"/>
    </xf>
    <xf numFmtId="164" fontId="14" fillId="5" borderId="37" xfId="0" applyNumberFormat="1" applyFont="1" applyFill="1" applyBorder="1" applyAlignment="1">
      <alignment horizontal="center" vertical="top"/>
    </xf>
    <xf numFmtId="164" fontId="14" fillId="5" borderId="26" xfId="0" applyNumberFormat="1" applyFont="1" applyFill="1" applyBorder="1" applyAlignment="1">
      <alignment horizontal="center" vertical="top"/>
    </xf>
    <xf numFmtId="164" fontId="14" fillId="5" borderId="46" xfId="0" applyNumberFormat="1" applyFont="1" applyFill="1" applyBorder="1" applyAlignment="1">
      <alignment horizontal="center" vertical="top"/>
    </xf>
    <xf numFmtId="164" fontId="1" fillId="3" borderId="24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4" fillId="5" borderId="22" xfId="0" applyNumberFormat="1" applyFont="1" applyFill="1" applyBorder="1" applyAlignment="1">
      <alignment horizontal="left" vertical="top" wrapText="1"/>
    </xf>
    <xf numFmtId="164" fontId="1" fillId="10" borderId="11" xfId="1" applyNumberFormat="1" applyFont="1" applyFill="1" applyBorder="1" applyAlignment="1">
      <alignment horizontal="center" vertical="top"/>
    </xf>
    <xf numFmtId="164" fontId="1" fillId="12" borderId="83" xfId="1" applyNumberFormat="1" applyFont="1" applyFill="1" applyBorder="1" applyAlignment="1">
      <alignment horizontal="center" vertical="top"/>
    </xf>
    <xf numFmtId="164" fontId="1" fillId="12" borderId="37" xfId="1" applyNumberFormat="1" applyFont="1" applyFill="1" applyBorder="1" applyAlignment="1">
      <alignment horizontal="center" vertical="top"/>
    </xf>
    <xf numFmtId="164" fontId="1" fillId="10" borderId="83" xfId="1" applyNumberFormat="1" applyFont="1" applyFill="1" applyBorder="1" applyAlignment="1">
      <alignment horizontal="center" vertical="top"/>
    </xf>
    <xf numFmtId="49" fontId="3" fillId="2" borderId="36" xfId="0" applyNumberFormat="1" applyFont="1" applyFill="1" applyBorder="1" applyAlignment="1">
      <alignment horizontal="center" vertical="top"/>
    </xf>
    <xf numFmtId="49" fontId="3" fillId="9" borderId="9" xfId="0" applyNumberFormat="1" applyFont="1" applyFill="1" applyBorder="1" applyAlignment="1">
      <alignment horizontal="center" vertical="top" wrapText="1"/>
    </xf>
    <xf numFmtId="49" fontId="19" fillId="5" borderId="47" xfId="0" applyNumberFormat="1" applyFont="1" applyFill="1" applyBorder="1" applyAlignment="1">
      <alignment horizontal="center" vertical="top" wrapText="1"/>
    </xf>
    <xf numFmtId="49" fontId="19" fillId="5" borderId="51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164" fontId="1" fillId="5" borderId="22" xfId="0" applyNumberFormat="1" applyFont="1" applyFill="1" applyBorder="1" applyAlignment="1">
      <alignment vertical="top"/>
    </xf>
    <xf numFmtId="164" fontId="1" fillId="5" borderId="24" xfId="0" applyNumberFormat="1" applyFont="1" applyFill="1" applyBorder="1" applyAlignment="1">
      <alignment vertical="top"/>
    </xf>
    <xf numFmtId="165" fontId="1" fillId="0" borderId="26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1" fillId="3" borderId="50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left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5" fillId="0" borderId="5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textRotation="90"/>
    </xf>
    <xf numFmtId="3" fontId="1" fillId="0" borderId="0" xfId="0" applyNumberFormat="1" applyFont="1" applyAlignment="1">
      <alignment horizontal="center" vertical="top" textRotation="90"/>
    </xf>
    <xf numFmtId="3" fontId="3" fillId="0" borderId="26" xfId="0" applyNumberFormat="1" applyFont="1" applyFill="1" applyBorder="1" applyAlignment="1">
      <alignment vertical="top" textRotation="90" wrapText="1"/>
    </xf>
    <xf numFmtId="3" fontId="3" fillId="0" borderId="45" xfId="0" applyNumberFormat="1" applyFont="1" applyFill="1" applyBorder="1" applyAlignment="1">
      <alignment vertical="top" textRotation="90" wrapText="1"/>
    </xf>
    <xf numFmtId="3" fontId="3" fillId="0" borderId="32" xfId="0" applyNumberFormat="1" applyFont="1" applyFill="1" applyBorder="1" applyAlignment="1">
      <alignment vertical="top" textRotation="90" wrapText="1"/>
    </xf>
    <xf numFmtId="3" fontId="5" fillId="0" borderId="32" xfId="0" applyNumberFormat="1" applyFont="1" applyFill="1" applyBorder="1" applyAlignment="1">
      <alignment horizontal="center" vertical="center" textRotation="90"/>
    </xf>
    <xf numFmtId="3" fontId="5" fillId="0" borderId="29" xfId="0" applyNumberFormat="1" applyFont="1" applyFill="1" applyBorder="1" applyAlignment="1">
      <alignment horizontal="center" vertical="center" textRotation="90"/>
    </xf>
    <xf numFmtId="3" fontId="5" fillId="0" borderId="1" xfId="0" applyNumberFormat="1" applyFont="1" applyFill="1" applyBorder="1" applyAlignment="1">
      <alignment horizontal="center" vertical="center" textRotation="90"/>
    </xf>
    <xf numFmtId="3" fontId="3" fillId="5" borderId="29" xfId="0" applyNumberFormat="1" applyFont="1" applyFill="1" applyBorder="1" applyAlignment="1">
      <alignment horizontal="center" vertical="top" textRotation="90"/>
    </xf>
    <xf numFmtId="3" fontId="3" fillId="5" borderId="23" xfId="0" applyNumberFormat="1" applyFont="1" applyFill="1" applyBorder="1" applyAlignment="1">
      <alignment horizontal="center" vertical="center" textRotation="90"/>
    </xf>
    <xf numFmtId="3" fontId="3" fillId="0" borderId="29" xfId="0" applyNumberFormat="1" applyFont="1" applyFill="1" applyBorder="1" applyAlignment="1">
      <alignment horizontal="center" vertical="center" textRotation="90"/>
    </xf>
    <xf numFmtId="3" fontId="3" fillId="0" borderId="1" xfId="0" applyNumberFormat="1" applyFont="1" applyFill="1" applyBorder="1" applyAlignment="1">
      <alignment horizontal="center" vertical="center" textRotation="90"/>
    </xf>
    <xf numFmtId="3" fontId="5" fillId="0" borderId="0" xfId="0" applyNumberFormat="1" applyFont="1" applyFill="1" applyBorder="1" applyAlignment="1">
      <alignment horizontal="center" vertical="top" textRotation="90"/>
    </xf>
    <xf numFmtId="3" fontId="3" fillId="0" borderId="30" xfId="0" applyNumberFormat="1" applyFont="1" applyBorder="1" applyAlignment="1">
      <alignment vertical="top" textRotation="90"/>
    </xf>
    <xf numFmtId="3" fontId="3" fillId="0" borderId="45" xfId="0" applyNumberFormat="1" applyFont="1" applyBorder="1" applyAlignment="1">
      <alignment vertical="top" textRotation="90"/>
    </xf>
    <xf numFmtId="49" fontId="3" fillId="0" borderId="26" xfId="0" applyNumberFormat="1" applyFont="1" applyBorder="1" applyAlignment="1">
      <alignment vertical="top" textRotation="90"/>
    </xf>
    <xf numFmtId="49" fontId="3" fillId="0" borderId="34" xfId="0" applyNumberFormat="1" applyFont="1" applyBorder="1" applyAlignment="1">
      <alignment vertical="top" textRotation="90"/>
    </xf>
    <xf numFmtId="49" fontId="3" fillId="0" borderId="22" xfId="0" applyNumberFormat="1" applyFont="1" applyBorder="1" applyAlignment="1">
      <alignment vertical="top" textRotation="90"/>
    </xf>
    <xf numFmtId="3" fontId="5" fillId="0" borderId="30" xfId="0" applyNumberFormat="1" applyFont="1" applyFill="1" applyBorder="1" applyAlignment="1">
      <alignment horizontal="center" vertical="top" textRotation="90"/>
    </xf>
    <xf numFmtId="3" fontId="5" fillId="0" borderId="18" xfId="0" applyNumberFormat="1" applyFont="1" applyFill="1" applyBorder="1" applyAlignment="1">
      <alignment horizontal="center" vertical="top" textRotation="90"/>
    </xf>
    <xf numFmtId="0" fontId="9" fillId="0" borderId="0" xfId="0" applyFont="1" applyAlignment="1">
      <alignment textRotation="90"/>
    </xf>
    <xf numFmtId="3" fontId="11" fillId="0" borderId="49" xfId="0" applyNumberFormat="1" applyFont="1" applyFill="1" applyBorder="1" applyAlignment="1">
      <alignment horizontal="center" vertical="top" textRotation="90" wrapText="1"/>
    </xf>
    <xf numFmtId="3" fontId="4" fillId="5" borderId="34" xfId="0" applyNumberFormat="1" applyFont="1" applyFill="1" applyBorder="1" applyAlignment="1">
      <alignment vertical="top" wrapText="1"/>
    </xf>
    <xf numFmtId="3" fontId="3" fillId="5" borderId="0" xfId="0" applyNumberFormat="1" applyFont="1" applyFill="1" applyBorder="1" applyAlignment="1">
      <alignment horizontal="left" vertical="top" wrapText="1"/>
    </xf>
    <xf numFmtId="1" fontId="1" fillId="5" borderId="31" xfId="0" applyNumberFormat="1" applyFont="1" applyFill="1" applyBorder="1" applyAlignment="1">
      <alignment horizontal="center" vertical="top" wrapText="1"/>
    </xf>
    <xf numFmtId="1" fontId="1" fillId="5" borderId="46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165" fontId="2" fillId="5" borderId="0" xfId="0" applyNumberFormat="1" applyFont="1" applyFill="1"/>
    <xf numFmtId="165" fontId="2" fillId="5" borderId="0" xfId="0" applyNumberFormat="1" applyFont="1" applyFill="1" applyBorder="1"/>
    <xf numFmtId="164" fontId="9" fillId="0" borderId="0" xfId="0" applyNumberFormat="1" applyFont="1" applyAlignment="1">
      <alignment horizontal="center"/>
    </xf>
    <xf numFmtId="164" fontId="1" fillId="5" borderId="64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center" vertical="top" wrapText="1"/>
    </xf>
    <xf numFmtId="3" fontId="5" fillId="0" borderId="9" xfId="0" applyNumberFormat="1" applyFont="1" applyFill="1" applyBorder="1" applyAlignment="1">
      <alignment horizontal="center" vertical="top" wrapText="1"/>
    </xf>
    <xf numFmtId="164" fontId="4" fillId="5" borderId="14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0" fontId="1" fillId="5" borderId="64" xfId="0" applyFont="1" applyFill="1" applyBorder="1" applyAlignment="1">
      <alignment horizontal="center" vertical="center"/>
    </xf>
    <xf numFmtId="2" fontId="1" fillId="5" borderId="56" xfId="0" applyNumberFormat="1" applyFont="1" applyFill="1" applyBorder="1" applyAlignment="1">
      <alignment horizontal="center" vertical="top"/>
    </xf>
    <xf numFmtId="49" fontId="3" fillId="0" borderId="28" xfId="0" applyNumberFormat="1" applyFont="1" applyBorder="1" applyAlignment="1">
      <alignment horizontal="center" vertical="top"/>
    </xf>
    <xf numFmtId="49" fontId="10" fillId="0" borderId="4" xfId="0" applyNumberFormat="1" applyFont="1" applyBorder="1" applyAlignment="1">
      <alignment vertical="top" textRotation="90"/>
    </xf>
    <xf numFmtId="49" fontId="3" fillId="5" borderId="31" xfId="0" applyNumberFormat="1" applyFont="1" applyFill="1" applyBorder="1" applyAlignment="1">
      <alignment horizontal="center" vertical="top"/>
    </xf>
    <xf numFmtId="49" fontId="19" fillId="5" borderId="5" xfId="0" applyNumberFormat="1" applyFont="1" applyFill="1" applyBorder="1" applyAlignment="1">
      <alignment horizontal="center" vertical="top" wrapText="1"/>
    </xf>
    <xf numFmtId="49" fontId="3" fillId="0" borderId="32" xfId="0" applyNumberFormat="1" applyFont="1" applyBorder="1" applyAlignment="1">
      <alignment vertical="top"/>
    </xf>
    <xf numFmtId="49" fontId="10" fillId="0" borderId="16" xfId="0" applyNumberFormat="1" applyFont="1" applyBorder="1" applyAlignment="1">
      <alignment vertical="top" textRotation="90"/>
    </xf>
    <xf numFmtId="49" fontId="19" fillId="5" borderId="17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/>
    </xf>
    <xf numFmtId="3" fontId="4" fillId="0" borderId="32" xfId="0" applyNumberFormat="1" applyFont="1" applyBorder="1" applyAlignment="1">
      <alignment horizontal="center" vertical="top" wrapText="1"/>
    </xf>
    <xf numFmtId="3" fontId="4" fillId="0" borderId="16" xfId="0" applyNumberFormat="1" applyFont="1" applyBorder="1" applyAlignment="1">
      <alignment horizontal="center" vertical="top" wrapText="1"/>
    </xf>
    <xf numFmtId="3" fontId="4" fillId="0" borderId="41" xfId="0" applyNumberFormat="1" applyFont="1" applyBorder="1" applyAlignment="1">
      <alignment horizontal="center" vertical="top" wrapText="1"/>
    </xf>
    <xf numFmtId="3" fontId="1" fillId="0" borderId="30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left" vertical="top" wrapText="1"/>
    </xf>
    <xf numFmtId="3" fontId="1" fillId="0" borderId="47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left" vertical="top" wrapText="1"/>
    </xf>
    <xf numFmtId="3" fontId="5" fillId="4" borderId="35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3" fontId="1" fillId="5" borderId="17" xfId="0" applyNumberFormat="1" applyFont="1" applyFill="1" applyBorder="1" applyAlignment="1">
      <alignment vertical="top" wrapText="1"/>
    </xf>
    <xf numFmtId="3" fontId="3" fillId="0" borderId="31" xfId="0" applyNumberFormat="1" applyFont="1" applyBorder="1" applyAlignment="1">
      <alignment horizontal="center" vertical="top"/>
    </xf>
    <xf numFmtId="3" fontId="3" fillId="0" borderId="39" xfId="0" applyNumberFormat="1" applyFont="1" applyBorder="1" applyAlignment="1">
      <alignment horizontal="center" vertical="top"/>
    </xf>
    <xf numFmtId="3" fontId="1" fillId="5" borderId="0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left" vertical="top" wrapText="1"/>
    </xf>
    <xf numFmtId="3" fontId="10" fillId="0" borderId="4" xfId="0" applyNumberFormat="1" applyFont="1" applyFill="1" applyBorder="1" applyAlignment="1">
      <alignment horizontal="center" vertical="center" textRotation="90" wrapText="1"/>
    </xf>
    <xf numFmtId="3" fontId="10" fillId="0" borderId="16" xfId="0" applyNumberFormat="1" applyFont="1" applyFill="1" applyBorder="1" applyAlignment="1">
      <alignment horizontal="center" vertical="center" textRotation="90" wrapText="1"/>
    </xf>
    <xf numFmtId="3" fontId="5" fillId="0" borderId="45" xfId="0" applyNumberFormat="1" applyFont="1" applyBorder="1" applyAlignment="1">
      <alignment horizontal="center" vertical="center" textRotation="90"/>
    </xf>
    <xf numFmtId="49" fontId="1" fillId="3" borderId="50" xfId="0" applyNumberFormat="1" applyFont="1" applyFill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left" vertical="top" wrapText="1"/>
    </xf>
    <xf numFmtId="3" fontId="5" fillId="5" borderId="51" xfId="0" applyNumberFormat="1" applyFont="1" applyFill="1" applyBorder="1" applyAlignment="1">
      <alignment horizontal="left" vertical="top" wrapText="1"/>
    </xf>
    <xf numFmtId="3" fontId="5" fillId="5" borderId="57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11" fillId="0" borderId="16" xfId="0" applyNumberFormat="1" applyFont="1" applyFill="1" applyBorder="1" applyAlignment="1">
      <alignment horizontal="center" vertical="top" textRotation="90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3" fontId="11" fillId="0" borderId="16" xfId="0" applyNumberFormat="1" applyFont="1" applyFill="1" applyBorder="1" applyAlignment="1">
      <alignment horizontal="center" vertical="center" textRotation="90"/>
    </xf>
    <xf numFmtId="3" fontId="3" fillId="0" borderId="30" xfId="0" applyNumberFormat="1" applyFont="1" applyFill="1" applyBorder="1" applyAlignment="1">
      <alignment horizontal="center" vertical="center" textRotation="90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10" fillId="0" borderId="11" xfId="0" applyNumberFormat="1" applyFont="1" applyFill="1" applyBorder="1" applyAlignment="1">
      <alignment horizontal="center" vertical="center" textRotation="90" wrapText="1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3" fillId="3" borderId="12" xfId="0" applyNumberFormat="1" applyFont="1" applyFill="1" applyBorder="1" applyAlignment="1">
      <alignment horizontal="left" vertical="top" wrapText="1"/>
    </xf>
    <xf numFmtId="49" fontId="3" fillId="9" borderId="28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3" fontId="1" fillId="3" borderId="51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48" xfId="0" applyNumberFormat="1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left" vertical="top" wrapText="1"/>
    </xf>
    <xf numFmtId="3" fontId="4" fillId="0" borderId="12" xfId="0" applyNumberFormat="1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/>
    </xf>
    <xf numFmtId="3" fontId="5" fillId="0" borderId="55" xfId="0" applyNumberFormat="1" applyFont="1" applyFill="1" applyBorder="1" applyAlignment="1">
      <alignment horizontal="center" vertical="top"/>
    </xf>
    <xf numFmtId="3" fontId="1" fillId="0" borderId="45" xfId="0" applyNumberFormat="1" applyFont="1" applyFill="1" applyBorder="1" applyAlignment="1">
      <alignment horizontal="left" vertical="top" wrapText="1"/>
    </xf>
    <xf numFmtId="3" fontId="3" fillId="0" borderId="18" xfId="0" applyNumberFormat="1" applyFont="1" applyFill="1" applyBorder="1" applyAlignment="1">
      <alignment horizontal="center" vertical="center" textRotation="90" wrapText="1"/>
    </xf>
    <xf numFmtId="3" fontId="1" fillId="0" borderId="18" xfId="0" applyNumberFormat="1" applyFont="1" applyBorder="1" applyAlignment="1">
      <alignment horizontal="left" vertical="top" wrapText="1"/>
    </xf>
    <xf numFmtId="3" fontId="20" fillId="0" borderId="5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3" fontId="1" fillId="5" borderId="12" xfId="0" applyNumberFormat="1" applyFont="1" applyFill="1" applyBorder="1" applyAlignment="1">
      <alignment vertical="top" wrapText="1"/>
    </xf>
    <xf numFmtId="3" fontId="3" fillId="0" borderId="37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22" xfId="0" applyNumberFormat="1" applyFont="1" applyFill="1" applyBorder="1" applyAlignment="1">
      <alignment horizontal="center" vertical="top" wrapText="1"/>
    </xf>
    <xf numFmtId="3" fontId="10" fillId="0" borderId="11" xfId="0" applyNumberFormat="1" applyFont="1" applyFill="1" applyBorder="1" applyAlignment="1">
      <alignment horizontal="center" vertical="top" textRotation="90" wrapText="1"/>
    </xf>
    <xf numFmtId="3" fontId="3" fillId="4" borderId="59" xfId="0" applyNumberFormat="1" applyFont="1" applyFill="1" applyBorder="1" applyAlignment="1">
      <alignment horizontal="right" vertical="top"/>
    </xf>
    <xf numFmtId="3" fontId="3" fillId="4" borderId="35" xfId="0" applyNumberFormat="1" applyFont="1" applyFill="1" applyBorder="1" applyAlignment="1">
      <alignment horizontal="right" vertical="top"/>
    </xf>
    <xf numFmtId="3" fontId="3" fillId="0" borderId="45" xfId="0" applyNumberFormat="1" applyFont="1" applyBorder="1" applyAlignment="1">
      <alignment horizontal="center" vertical="top"/>
    </xf>
    <xf numFmtId="3" fontId="5" fillId="0" borderId="50" xfId="0" applyNumberFormat="1" applyFont="1" applyFill="1" applyBorder="1" applyAlignment="1">
      <alignment horizontal="center" vertical="top" wrapText="1"/>
    </xf>
    <xf numFmtId="3" fontId="5" fillId="4" borderId="32" xfId="0" applyNumberFormat="1" applyFont="1" applyFill="1" applyBorder="1" applyAlignment="1">
      <alignment horizontal="right" vertical="top"/>
    </xf>
    <xf numFmtId="164" fontId="4" fillId="5" borderId="50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Alignment="1">
      <alignment vertical="top"/>
    </xf>
    <xf numFmtId="3" fontId="1" fillId="5" borderId="48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3" fontId="3" fillId="5" borderId="36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3" fontId="1" fillId="0" borderId="1" xfId="0" applyNumberFormat="1" applyFont="1" applyBorder="1" applyAlignment="1">
      <alignment horizontal="right" vertical="top"/>
    </xf>
    <xf numFmtId="164" fontId="1" fillId="11" borderId="45" xfId="1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1" fontId="1" fillId="0" borderId="56" xfId="0" applyNumberFormat="1" applyFont="1" applyBorder="1" applyAlignment="1">
      <alignment vertical="top"/>
    </xf>
    <xf numFmtId="1" fontId="1" fillId="0" borderId="56" xfId="0" applyNumberFormat="1" applyFont="1" applyBorder="1" applyAlignment="1">
      <alignment horizontal="center" vertical="top"/>
    </xf>
    <xf numFmtId="1" fontId="1" fillId="0" borderId="24" xfId="0" applyNumberFormat="1" applyFont="1" applyBorder="1" applyAlignment="1">
      <alignment vertical="top"/>
    </xf>
    <xf numFmtId="49" fontId="3" fillId="9" borderId="48" xfId="0" applyNumberFormat="1" applyFont="1" applyFill="1" applyBorder="1" applyAlignment="1">
      <alignment horizontal="center" vertical="top"/>
    </xf>
    <xf numFmtId="49" fontId="3" fillId="2" borderId="56" xfId="0" applyNumberFormat="1" applyFont="1" applyFill="1" applyBorder="1" applyAlignment="1">
      <alignment horizontal="center" vertical="top"/>
    </xf>
    <xf numFmtId="49" fontId="3" fillId="3" borderId="64" xfId="0" applyNumberFormat="1" applyFont="1" applyFill="1" applyBorder="1" applyAlignment="1">
      <alignment horizontal="center" vertical="top"/>
    </xf>
    <xf numFmtId="3" fontId="3" fillId="0" borderId="22" xfId="0" applyNumberFormat="1" applyFont="1" applyFill="1" applyBorder="1" applyAlignment="1">
      <alignment vertical="top" textRotation="90" wrapText="1"/>
    </xf>
    <xf numFmtId="3" fontId="10" fillId="0" borderId="56" xfId="0" applyNumberFormat="1" applyFont="1" applyFill="1" applyBorder="1" applyAlignment="1">
      <alignment vertical="top" textRotation="90" wrapText="1"/>
    </xf>
    <xf numFmtId="3" fontId="3" fillId="0" borderId="57" xfId="0" applyNumberFormat="1" applyFont="1" applyBorder="1" applyAlignment="1">
      <alignment horizontal="center" vertical="top"/>
    </xf>
    <xf numFmtId="3" fontId="11" fillId="0" borderId="11" xfId="0" applyNumberFormat="1" applyFont="1" applyFill="1" applyBorder="1" applyAlignment="1">
      <alignment vertical="top" textRotation="90" wrapText="1"/>
    </xf>
    <xf numFmtId="3" fontId="5" fillId="0" borderId="36" xfId="0" applyNumberFormat="1" applyFont="1" applyFill="1" applyBorder="1" applyAlignment="1">
      <alignment horizontal="center" vertical="top" wrapText="1"/>
    </xf>
    <xf numFmtId="49" fontId="3" fillId="9" borderId="22" xfId="0" applyNumberFormat="1" applyFont="1" applyFill="1" applyBorder="1" applyAlignment="1">
      <alignment vertical="top"/>
    </xf>
    <xf numFmtId="49" fontId="3" fillId="3" borderId="64" xfId="0" applyNumberFormat="1" applyFont="1" applyFill="1" applyBorder="1" applyAlignment="1">
      <alignment horizontal="center" vertical="top" wrapText="1"/>
    </xf>
    <xf numFmtId="3" fontId="4" fillId="5" borderId="51" xfId="0" applyNumberFormat="1" applyFont="1" applyFill="1" applyBorder="1" applyAlignment="1">
      <alignment horizontal="center" vertical="top"/>
    </xf>
    <xf numFmtId="164" fontId="1" fillId="11" borderId="69" xfId="1" applyNumberFormat="1" applyFont="1" applyFill="1" applyBorder="1" applyAlignment="1">
      <alignment horizontal="center" vertical="top"/>
    </xf>
    <xf numFmtId="3" fontId="11" fillId="0" borderId="11" xfId="0" applyNumberFormat="1" applyFont="1" applyFill="1" applyBorder="1" applyAlignment="1">
      <alignment horizontal="center" vertical="top" textRotation="90"/>
    </xf>
    <xf numFmtId="3" fontId="3" fillId="5" borderId="12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164" fontId="1" fillId="12" borderId="10" xfId="1" applyNumberFormat="1" applyFont="1" applyFill="1" applyBorder="1" applyAlignment="1">
      <alignment horizontal="center" vertical="top"/>
    </xf>
    <xf numFmtId="3" fontId="4" fillId="5" borderId="44" xfId="0" applyNumberFormat="1" applyFont="1" applyFill="1" applyBorder="1" applyAlignment="1">
      <alignment horizontal="center" vertical="top" wrapText="1"/>
    </xf>
    <xf numFmtId="3" fontId="2" fillId="5" borderId="10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/>
    <xf numFmtId="49" fontId="3" fillId="2" borderId="11" xfId="0" applyNumberFormat="1" applyFont="1" applyFill="1" applyBorder="1" applyAlignment="1">
      <alignment horizontal="center" vertical="top"/>
    </xf>
    <xf numFmtId="3" fontId="3" fillId="0" borderId="37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164" fontId="14" fillId="0" borderId="28" xfId="0" applyNumberFormat="1" applyFont="1" applyFill="1" applyBorder="1" applyAlignment="1">
      <alignment horizontal="center" vertical="top"/>
    </xf>
    <xf numFmtId="3" fontId="5" fillId="9" borderId="14" xfId="0" applyNumberFormat="1" applyFont="1" applyFill="1" applyBorder="1" applyAlignment="1">
      <alignment horizontal="left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2" fillId="9" borderId="15" xfId="0" applyNumberFormat="1" applyFont="1" applyFill="1" applyBorder="1" applyAlignment="1">
      <alignment horizontal="left" vertical="top" wrapText="1"/>
    </xf>
    <xf numFmtId="3" fontId="3" fillId="2" borderId="38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41" xfId="0" applyNumberFormat="1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left" vertical="top" wrapText="1"/>
    </xf>
    <xf numFmtId="3" fontId="4" fillId="0" borderId="12" xfId="0" applyNumberFormat="1" applyFont="1" applyFill="1" applyBorder="1" applyAlignment="1">
      <alignment horizontal="left" vertical="top" wrapText="1"/>
    </xf>
    <xf numFmtId="3" fontId="3" fillId="0" borderId="30" xfId="0" applyNumberFormat="1" applyFont="1" applyFill="1" applyBorder="1" applyAlignment="1">
      <alignment horizontal="center" vertical="center" textRotation="90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3" fillId="0" borderId="18" xfId="0" applyNumberFormat="1" applyFont="1" applyFill="1" applyBorder="1" applyAlignment="1">
      <alignment horizontal="center" vertical="center" textRotation="90" wrapText="1"/>
    </xf>
    <xf numFmtId="3" fontId="10" fillId="0" borderId="4" xfId="0" applyNumberFormat="1" applyFont="1" applyFill="1" applyBorder="1" applyAlignment="1">
      <alignment horizontal="center" vertical="center" textRotation="90" wrapText="1"/>
    </xf>
    <xf numFmtId="3" fontId="10" fillId="0" borderId="11" xfId="0" applyNumberFormat="1" applyFont="1" applyFill="1" applyBorder="1" applyAlignment="1">
      <alignment horizontal="center" vertical="center" textRotation="90" wrapText="1"/>
    </xf>
    <xf numFmtId="3" fontId="10" fillId="0" borderId="16" xfId="0" applyNumberFormat="1" applyFont="1" applyFill="1" applyBorder="1" applyAlignment="1">
      <alignment horizontal="center" vertical="center" textRotation="90" wrapText="1"/>
    </xf>
    <xf numFmtId="3" fontId="5" fillId="0" borderId="8" xfId="0" applyNumberFormat="1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top"/>
    </xf>
    <xf numFmtId="3" fontId="5" fillId="0" borderId="33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left" vertical="top" wrapText="1"/>
    </xf>
    <xf numFmtId="3" fontId="1" fillId="0" borderId="18" xfId="0" applyNumberFormat="1" applyFont="1" applyFill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center"/>
    </xf>
    <xf numFmtId="3" fontId="1" fillId="0" borderId="53" xfId="0" applyNumberFormat="1" applyFont="1" applyBorder="1" applyAlignment="1">
      <alignment horizontal="center" vertical="center"/>
    </xf>
    <xf numFmtId="3" fontId="1" fillId="0" borderId="55" xfId="0" applyNumberFormat="1" applyFont="1" applyBorder="1" applyAlignment="1">
      <alignment horizontal="center" vertical="center"/>
    </xf>
    <xf numFmtId="3" fontId="5" fillId="8" borderId="28" xfId="0" applyNumberFormat="1" applyFont="1" applyFill="1" applyBorder="1" applyAlignment="1">
      <alignment horizontal="left" vertical="top" wrapText="1"/>
    </xf>
    <xf numFmtId="3" fontId="5" fillId="8" borderId="29" xfId="0" applyNumberFormat="1" applyFont="1" applyFill="1" applyBorder="1" applyAlignment="1">
      <alignment horizontal="left" vertical="top" wrapText="1"/>
    </xf>
    <xf numFmtId="3" fontId="5" fillId="8" borderId="0" xfId="0" applyNumberFormat="1" applyFont="1" applyFill="1" applyBorder="1" applyAlignment="1">
      <alignment horizontal="left" vertical="top" wrapText="1"/>
    </xf>
    <xf numFmtId="3" fontId="5" fillId="8" borderId="40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3" fontId="6" fillId="7" borderId="14" xfId="0" applyNumberFormat="1" applyFont="1" applyFill="1" applyBorder="1" applyAlignment="1">
      <alignment horizontal="left" vertical="top" wrapText="1"/>
    </xf>
    <xf numFmtId="3" fontId="6" fillId="7" borderId="15" xfId="0" applyNumberFormat="1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49" xfId="0" applyNumberFormat="1" applyFont="1" applyBorder="1" applyAlignment="1">
      <alignment horizontal="center" vertical="center" textRotation="90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textRotation="90" wrapText="1"/>
    </xf>
    <xf numFmtId="3" fontId="4" fillId="0" borderId="26" xfId="0" applyNumberFormat="1" applyFont="1" applyBorder="1" applyAlignment="1">
      <alignment horizontal="center" vertical="center" textRotation="90" wrapText="1"/>
    </xf>
    <xf numFmtId="3" fontId="4" fillId="0" borderId="4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1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textRotation="90" wrapText="1"/>
    </xf>
    <xf numFmtId="3" fontId="4" fillId="0" borderId="5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49" fontId="3" fillId="9" borderId="28" xfId="0" applyNumberFormat="1" applyFont="1" applyFill="1" applyBorder="1" applyAlignment="1">
      <alignment horizontal="center" vertical="top"/>
    </xf>
    <xf numFmtId="49" fontId="3" fillId="9" borderId="26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5" fillId="0" borderId="55" xfId="0" applyNumberFormat="1" applyFont="1" applyFill="1" applyBorder="1" applyAlignment="1">
      <alignment horizontal="center" vertical="top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1" fillId="3" borderId="51" xfId="0" applyNumberFormat="1" applyFont="1" applyFill="1" applyBorder="1" applyAlignment="1">
      <alignment horizontal="left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3" fontId="3" fillId="3" borderId="12" xfId="0" applyNumberFormat="1" applyFont="1" applyFill="1" applyBorder="1" applyAlignment="1">
      <alignment horizontal="left" vertical="top" wrapText="1"/>
    </xf>
    <xf numFmtId="3" fontId="3" fillId="0" borderId="45" xfId="0" applyNumberFormat="1" applyFont="1" applyFill="1" applyBorder="1" applyAlignment="1">
      <alignment horizontal="center" vertical="top" textRotation="90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12" xfId="0" applyNumberFormat="1" applyFont="1" applyFill="1" applyBorder="1" applyAlignment="1">
      <alignment horizontal="left" vertical="top" wrapText="1"/>
    </xf>
    <xf numFmtId="3" fontId="5" fillId="2" borderId="19" xfId="0" applyNumberFormat="1" applyFont="1" applyFill="1" applyBorder="1" applyAlignment="1">
      <alignment horizontal="left" vertical="top" wrapText="1"/>
    </xf>
    <xf numFmtId="3" fontId="5" fillId="2" borderId="20" xfId="0" applyNumberFormat="1" applyFont="1" applyFill="1" applyBorder="1" applyAlignment="1">
      <alignment horizontal="left" vertical="top" wrapText="1"/>
    </xf>
    <xf numFmtId="3" fontId="5" fillId="2" borderId="21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5" fillId="2" borderId="19" xfId="0" applyNumberFormat="1" applyFont="1" applyFill="1" applyBorder="1" applyAlignment="1">
      <alignment horizontal="right" vertical="top"/>
    </xf>
    <xf numFmtId="3" fontId="5" fillId="2" borderId="20" xfId="0" applyNumberFormat="1" applyFont="1" applyFill="1" applyBorder="1" applyAlignment="1">
      <alignment horizontal="right" vertical="top"/>
    </xf>
    <xf numFmtId="3" fontId="3" fillId="2" borderId="19" xfId="0" applyNumberFormat="1" applyFont="1" applyFill="1" applyBorder="1" applyAlignment="1">
      <alignment horizontal="center" vertical="top"/>
    </xf>
    <xf numFmtId="3" fontId="3" fillId="2" borderId="20" xfId="0" applyNumberFormat="1" applyFont="1" applyFill="1" applyBorder="1" applyAlignment="1">
      <alignment horizontal="center" vertical="top"/>
    </xf>
    <xf numFmtId="3" fontId="3" fillId="2" borderId="21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9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4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top"/>
    </xf>
    <xf numFmtId="3" fontId="1" fillId="0" borderId="30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center" textRotation="90" wrapText="1"/>
    </xf>
    <xf numFmtId="3" fontId="1" fillId="0" borderId="16" xfId="0" applyNumberFormat="1" applyFont="1" applyFill="1" applyBorder="1" applyAlignment="1">
      <alignment horizontal="center" vertical="center" textRotation="90" wrapText="1"/>
    </xf>
    <xf numFmtId="3" fontId="1" fillId="5" borderId="5" xfId="0" applyNumberFormat="1" applyFont="1" applyFill="1" applyBorder="1" applyAlignment="1">
      <alignment horizontal="left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top" textRotation="90"/>
    </xf>
    <xf numFmtId="3" fontId="1" fillId="0" borderId="16" xfId="0" applyNumberFormat="1" applyFont="1" applyFill="1" applyBorder="1" applyAlignment="1">
      <alignment horizontal="center" vertical="top" textRotation="90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center" vertical="center" textRotation="90"/>
    </xf>
    <xf numFmtId="3" fontId="1" fillId="0" borderId="16" xfId="0" applyNumberFormat="1" applyFont="1" applyFill="1" applyBorder="1" applyAlignment="1">
      <alignment horizontal="center" vertical="center" textRotation="90"/>
    </xf>
    <xf numFmtId="3" fontId="11" fillId="0" borderId="4" xfId="0" applyNumberFormat="1" applyFont="1" applyFill="1" applyBorder="1" applyAlignment="1">
      <alignment horizontal="center" vertical="center" textRotation="90"/>
    </xf>
    <xf numFmtId="3" fontId="11" fillId="0" borderId="16" xfId="0" applyNumberFormat="1" applyFont="1" applyFill="1" applyBorder="1" applyAlignment="1">
      <alignment horizontal="center" vertical="center" textRotation="90"/>
    </xf>
    <xf numFmtId="3" fontId="1" fillId="0" borderId="47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horizontal="left" vertical="top" wrapText="1"/>
    </xf>
    <xf numFmtId="3" fontId="10" fillId="0" borderId="49" xfId="0" applyNumberFormat="1" applyFont="1" applyFill="1" applyBorder="1" applyAlignment="1">
      <alignment horizontal="center" vertical="top" textRotation="90" wrapText="1"/>
    </xf>
    <xf numFmtId="3" fontId="10" fillId="0" borderId="16" xfId="0" applyNumberFormat="1" applyFont="1" applyFill="1" applyBorder="1" applyAlignment="1">
      <alignment horizontal="center" vertical="top" textRotation="90" wrapText="1"/>
    </xf>
    <xf numFmtId="3" fontId="3" fillId="5" borderId="5" xfId="0" applyNumberFormat="1" applyFont="1" applyFill="1" applyBorder="1" applyAlignment="1">
      <alignment horizontal="left" vertical="top" wrapText="1"/>
    </xf>
    <xf numFmtId="3" fontId="3" fillId="5" borderId="51" xfId="0" applyNumberFormat="1" applyFont="1" applyFill="1" applyBorder="1" applyAlignment="1">
      <alignment horizontal="left" vertical="top" wrapText="1"/>
    </xf>
    <xf numFmtId="3" fontId="5" fillId="2" borderId="29" xfId="0" applyNumberFormat="1" applyFont="1" applyFill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3" fontId="3" fillId="5" borderId="12" xfId="0" applyNumberFormat="1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4" fillId="5" borderId="47" xfId="0" applyNumberFormat="1" applyFont="1" applyFill="1" applyBorder="1" applyAlignment="1">
      <alignment horizontal="left" vertical="top" wrapText="1"/>
    </xf>
    <xf numFmtId="3" fontId="4" fillId="5" borderId="17" xfId="0" applyNumberFormat="1" applyFont="1" applyFill="1" applyBorder="1" applyAlignment="1">
      <alignment horizontal="left" vertical="top" wrapText="1"/>
    </xf>
    <xf numFmtId="3" fontId="11" fillId="0" borderId="49" xfId="0" applyNumberFormat="1" applyFont="1" applyFill="1" applyBorder="1" applyAlignment="1">
      <alignment horizontal="center" vertical="top" textRotation="90"/>
    </xf>
    <xf numFmtId="3" fontId="11" fillId="0" borderId="16" xfId="0" applyNumberFormat="1" applyFont="1" applyFill="1" applyBorder="1" applyAlignment="1">
      <alignment horizontal="center" vertical="top" textRotation="90"/>
    </xf>
    <xf numFmtId="49" fontId="1" fillId="0" borderId="47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51" xfId="0" applyNumberFormat="1" applyFont="1" applyBorder="1" applyAlignment="1">
      <alignment horizontal="left" vertical="top" wrapText="1"/>
    </xf>
    <xf numFmtId="49" fontId="10" fillId="0" borderId="49" xfId="0" applyNumberFormat="1" applyFont="1" applyBorder="1" applyAlignment="1">
      <alignment horizontal="center" vertical="top" textRotation="90"/>
    </xf>
    <xf numFmtId="49" fontId="10" fillId="0" borderId="11" xfId="0" applyNumberFormat="1" applyFont="1" applyBorder="1" applyAlignment="1">
      <alignment horizontal="center" vertical="top" textRotation="90"/>
    </xf>
    <xf numFmtId="3" fontId="1" fillId="0" borderId="45" xfId="0" applyNumberFormat="1" applyFont="1" applyFill="1" applyBorder="1" applyAlignment="1">
      <alignment horizontal="left" vertical="top" wrapText="1"/>
    </xf>
    <xf numFmtId="3" fontId="3" fillId="4" borderId="35" xfId="0" applyNumberFormat="1" applyFont="1" applyFill="1" applyBorder="1" applyAlignment="1">
      <alignment horizontal="right" vertical="top"/>
    </xf>
    <xf numFmtId="3" fontId="3" fillId="4" borderId="59" xfId="0" applyNumberFormat="1" applyFont="1" applyFill="1" applyBorder="1" applyAlignment="1">
      <alignment horizontal="right" vertical="top"/>
    </xf>
    <xf numFmtId="3" fontId="3" fillId="4" borderId="33" xfId="0" applyNumberFormat="1" applyFont="1" applyFill="1" applyBorder="1" applyAlignment="1">
      <alignment horizontal="right" vertical="top"/>
    </xf>
    <xf numFmtId="3" fontId="1" fillId="5" borderId="22" xfId="0" applyNumberFormat="1" applyFont="1" applyFill="1" applyBorder="1" applyAlignment="1">
      <alignment horizontal="left" vertical="top" wrapText="1"/>
    </xf>
    <xf numFmtId="3" fontId="11" fillId="0" borderId="11" xfId="0" applyNumberFormat="1" applyFont="1" applyFill="1" applyBorder="1" applyAlignment="1">
      <alignment horizontal="center" vertical="top" textRotation="90"/>
    </xf>
    <xf numFmtId="3" fontId="5" fillId="0" borderId="13" xfId="0" applyNumberFormat="1" applyFont="1" applyBorder="1" applyAlignment="1">
      <alignment horizontal="center" vertical="center" textRotation="90"/>
    </xf>
    <xf numFmtId="3" fontId="5" fillId="0" borderId="45" xfId="0" applyNumberFormat="1" applyFont="1" applyBorder="1" applyAlignment="1">
      <alignment horizontal="center" vertical="center" textRotation="90"/>
    </xf>
    <xf numFmtId="49" fontId="1" fillId="3" borderId="50" xfId="0" applyNumberFormat="1" applyFont="1" applyFill="1" applyBorder="1" applyAlignment="1">
      <alignment horizontal="center" vertical="top" wrapText="1"/>
    </xf>
    <xf numFmtId="49" fontId="1" fillId="3" borderId="57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left" vertical="top" wrapText="1"/>
    </xf>
    <xf numFmtId="3" fontId="5" fillId="5" borderId="51" xfId="0" applyNumberFormat="1" applyFont="1" applyFill="1" applyBorder="1" applyAlignment="1">
      <alignment horizontal="left" vertical="top" wrapText="1"/>
    </xf>
    <xf numFmtId="3" fontId="5" fillId="5" borderId="13" xfId="0" applyNumberFormat="1" applyFont="1" applyFill="1" applyBorder="1" applyAlignment="1">
      <alignment horizontal="center" vertical="top" wrapText="1"/>
    </xf>
    <xf numFmtId="3" fontId="5" fillId="5" borderId="48" xfId="0" applyNumberFormat="1" applyFont="1" applyFill="1" applyBorder="1" applyAlignment="1">
      <alignment horizontal="center" vertical="top" wrapText="1"/>
    </xf>
    <xf numFmtId="3" fontId="5" fillId="5" borderId="50" xfId="0" applyNumberFormat="1" applyFont="1" applyFill="1" applyBorder="1" applyAlignment="1">
      <alignment horizontal="center" vertical="top" wrapText="1"/>
    </xf>
    <xf numFmtId="3" fontId="5" fillId="5" borderId="5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left" vertical="top" wrapText="1"/>
    </xf>
    <xf numFmtId="49" fontId="5" fillId="2" borderId="20" xfId="0" applyNumberFormat="1" applyFont="1" applyFill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left" vertical="top" wrapText="1"/>
    </xf>
    <xf numFmtId="3" fontId="10" fillId="0" borderId="56" xfId="0" applyNumberFormat="1" applyFont="1" applyFill="1" applyBorder="1" applyAlignment="1">
      <alignment horizontal="center" vertical="top" textRotation="90" wrapText="1"/>
    </xf>
    <xf numFmtId="3" fontId="1" fillId="5" borderId="5" xfId="0" applyNumberFormat="1" applyFont="1" applyFill="1" applyBorder="1" applyAlignment="1">
      <alignment vertical="top" wrapText="1"/>
    </xf>
    <xf numFmtId="3" fontId="1" fillId="5" borderId="17" xfId="0" applyNumberFormat="1" applyFont="1" applyFill="1" applyBorder="1" applyAlignment="1">
      <alignment vertical="top" wrapText="1"/>
    </xf>
    <xf numFmtId="3" fontId="1" fillId="0" borderId="29" xfId="0" applyNumberFormat="1" applyFont="1" applyFill="1" applyBorder="1" applyAlignment="1">
      <alignment horizontal="center" vertical="center" textRotation="90" wrapText="1"/>
    </xf>
    <xf numFmtId="3" fontId="1" fillId="0" borderId="1" xfId="0" applyNumberFormat="1" applyFont="1" applyFill="1" applyBorder="1" applyAlignment="1">
      <alignment horizontal="center" vertical="center" textRotation="90" wrapText="1"/>
    </xf>
    <xf numFmtId="3" fontId="1" fillId="0" borderId="62" xfId="0" applyNumberFormat="1" applyFont="1" applyFill="1" applyBorder="1" applyAlignment="1">
      <alignment horizontal="center" vertical="center" textRotation="90" wrapText="1"/>
    </xf>
    <xf numFmtId="3" fontId="1" fillId="0" borderId="61" xfId="0" applyNumberFormat="1" applyFont="1" applyFill="1" applyBorder="1" applyAlignment="1">
      <alignment horizontal="center" vertical="center" textRotation="90" wrapText="1"/>
    </xf>
    <xf numFmtId="3" fontId="3" fillId="0" borderId="40" xfId="0" applyNumberFormat="1" applyFont="1" applyBorder="1" applyAlignment="1">
      <alignment horizontal="center" vertical="top"/>
    </xf>
    <xf numFmtId="3" fontId="3" fillId="0" borderId="41" xfId="0" applyNumberFormat="1" applyFont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3" fillId="0" borderId="31" xfId="0" applyNumberFormat="1" applyFont="1" applyBorder="1" applyAlignment="1">
      <alignment horizontal="center" vertical="top"/>
    </xf>
    <xf numFmtId="3" fontId="3" fillId="0" borderId="39" xfId="0" applyNumberFormat="1" applyFont="1" applyBorder="1" applyAlignment="1">
      <alignment horizontal="center" vertical="top"/>
    </xf>
    <xf numFmtId="3" fontId="1" fillId="6" borderId="35" xfId="0" applyNumberFormat="1" applyFont="1" applyFill="1" applyBorder="1" applyAlignment="1">
      <alignment horizontal="center" vertical="top" wrapText="1"/>
    </xf>
    <xf numFmtId="3" fontId="1" fillId="6" borderId="59" xfId="0" applyNumberFormat="1" applyFont="1" applyFill="1" applyBorder="1" applyAlignment="1">
      <alignment horizontal="center" vertical="top" wrapText="1"/>
    </xf>
    <xf numFmtId="3" fontId="1" fillId="6" borderId="33" xfId="0" applyNumberFormat="1" applyFont="1" applyFill="1" applyBorder="1" applyAlignment="1">
      <alignment horizontal="center" vertical="top" wrapText="1"/>
    </xf>
    <xf numFmtId="3" fontId="4" fillId="0" borderId="54" xfId="0" applyNumberFormat="1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 wrapText="1"/>
    </xf>
    <xf numFmtId="3" fontId="4" fillId="0" borderId="15" xfId="0" applyNumberFormat="1" applyFont="1" applyBorder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5" fillId="4" borderId="35" xfId="0" applyNumberFormat="1" applyFont="1" applyFill="1" applyBorder="1" applyAlignment="1">
      <alignment horizontal="right" vertical="top"/>
    </xf>
    <xf numFmtId="3" fontId="5" fillId="4" borderId="59" xfId="0" applyNumberFormat="1" applyFont="1" applyFill="1" applyBorder="1" applyAlignment="1">
      <alignment horizontal="right" vertical="top"/>
    </xf>
    <xf numFmtId="3" fontId="5" fillId="4" borderId="33" xfId="0" applyNumberFormat="1" applyFont="1" applyFill="1" applyBorder="1" applyAlignment="1">
      <alignment horizontal="right" vertical="top"/>
    </xf>
    <xf numFmtId="3" fontId="1" fillId="5" borderId="47" xfId="0" applyNumberFormat="1" applyFont="1" applyFill="1" applyBorder="1" applyAlignment="1">
      <alignment horizontal="left" vertical="top" wrapText="1"/>
    </xf>
    <xf numFmtId="0" fontId="1" fillId="5" borderId="34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left" vertical="top" wrapText="1"/>
    </xf>
    <xf numFmtId="3" fontId="1" fillId="5" borderId="18" xfId="0" applyNumberFormat="1" applyFont="1" applyFill="1" applyBorder="1" applyAlignment="1">
      <alignment horizontal="left" vertical="top" wrapText="1"/>
    </xf>
    <xf numFmtId="3" fontId="5" fillId="7" borderId="54" xfId="0" applyNumberFormat="1" applyFont="1" applyFill="1" applyBorder="1" applyAlignment="1">
      <alignment horizontal="right" vertical="top"/>
    </xf>
    <xf numFmtId="3" fontId="5" fillId="7" borderId="14" xfId="0" applyNumberFormat="1" applyFont="1" applyFill="1" applyBorder="1" applyAlignment="1">
      <alignment horizontal="right" vertical="top"/>
    </xf>
    <xf numFmtId="3" fontId="5" fillId="7" borderId="15" xfId="0" applyNumberFormat="1" applyFont="1" applyFill="1" applyBorder="1" applyAlignment="1">
      <alignment horizontal="right" vertical="top"/>
    </xf>
    <xf numFmtId="3" fontId="4" fillId="0" borderId="26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left" vertical="top"/>
    </xf>
    <xf numFmtId="3" fontId="4" fillId="0" borderId="10" xfId="0" applyNumberFormat="1" applyFont="1" applyBorder="1" applyAlignment="1">
      <alignment horizontal="left" vertical="top"/>
    </xf>
    <xf numFmtId="3" fontId="4" fillId="0" borderId="54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/>
    </xf>
    <xf numFmtId="3" fontId="1" fillId="6" borderId="19" xfId="0" applyNumberFormat="1" applyFont="1" applyFill="1" applyBorder="1" applyAlignment="1">
      <alignment horizontal="center" vertical="top" wrapText="1"/>
    </xf>
    <xf numFmtId="3" fontId="1" fillId="6" borderId="20" xfId="0" applyNumberFormat="1" applyFont="1" applyFill="1" applyBorder="1" applyAlignment="1">
      <alignment horizontal="center" vertical="top" wrapText="1"/>
    </xf>
    <xf numFmtId="3" fontId="1" fillId="6" borderId="21" xfId="0" applyNumberFormat="1" applyFont="1" applyFill="1" applyBorder="1" applyAlignment="1">
      <alignment horizontal="center" vertical="top" wrapText="1"/>
    </xf>
    <xf numFmtId="3" fontId="5" fillId="9" borderId="43" xfId="0" applyNumberFormat="1" applyFont="1" applyFill="1" applyBorder="1" applyAlignment="1">
      <alignment horizontal="right" vertical="top"/>
    </xf>
    <xf numFmtId="3" fontId="5" fillId="9" borderId="20" xfId="0" applyNumberFormat="1" applyFont="1" applyFill="1" applyBorder="1" applyAlignment="1">
      <alignment horizontal="right" vertical="top"/>
    </xf>
    <xf numFmtId="3" fontId="5" fillId="7" borderId="43" xfId="0" applyNumberFormat="1" applyFont="1" applyFill="1" applyBorder="1" applyAlignment="1">
      <alignment horizontal="right" vertical="top"/>
    </xf>
    <xf numFmtId="3" fontId="5" fillId="7" borderId="20" xfId="0" applyNumberFormat="1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center" wrapText="1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9" fillId="0" borderId="5" xfId="0" applyNumberFormat="1" applyFont="1" applyBorder="1" applyAlignment="1">
      <alignment horizontal="center" vertical="top" wrapText="1"/>
    </xf>
    <xf numFmtId="3" fontId="19" fillId="0" borderId="12" xfId="0" applyNumberFormat="1" applyFont="1" applyBorder="1" applyAlignment="1">
      <alignment horizontal="center" vertical="top" wrapText="1"/>
    </xf>
    <xf numFmtId="3" fontId="20" fillId="0" borderId="12" xfId="0" applyNumberFormat="1" applyFont="1" applyBorder="1" applyAlignment="1">
      <alignment horizontal="center" vertical="top" wrapText="1"/>
    </xf>
    <xf numFmtId="3" fontId="20" fillId="0" borderId="17" xfId="0" applyNumberFormat="1" applyFont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3" fontId="11" fillId="0" borderId="49" xfId="0" applyNumberFormat="1" applyFont="1" applyFill="1" applyBorder="1" applyAlignment="1">
      <alignment horizontal="center" vertical="center" textRotation="90"/>
    </xf>
    <xf numFmtId="3" fontId="11" fillId="0" borderId="56" xfId="0" applyNumberFormat="1" applyFont="1" applyFill="1" applyBorder="1" applyAlignment="1">
      <alignment horizontal="center" vertical="center" textRotation="90"/>
    </xf>
    <xf numFmtId="3" fontId="5" fillId="4" borderId="32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horizontal="right" vertical="top"/>
    </xf>
    <xf numFmtId="3" fontId="5" fillId="7" borderId="26" xfId="0" applyNumberFormat="1" applyFont="1" applyFill="1" applyBorder="1" applyAlignment="1">
      <alignment horizontal="right" vertical="top"/>
    </xf>
    <xf numFmtId="3" fontId="5" fillId="7" borderId="0" xfId="0" applyNumberFormat="1" applyFont="1" applyFill="1" applyBorder="1" applyAlignment="1">
      <alignment horizontal="right" vertical="top"/>
    </xf>
    <xf numFmtId="3" fontId="11" fillId="0" borderId="4" xfId="0" applyNumberFormat="1" applyFont="1" applyFill="1" applyBorder="1" applyAlignment="1">
      <alignment horizontal="center" vertical="top" textRotation="90"/>
    </xf>
    <xf numFmtId="3" fontId="1" fillId="5" borderId="13" xfId="0" applyNumberFormat="1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/>
    </xf>
    <xf numFmtId="3" fontId="1" fillId="5" borderId="12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center" vertical="center" textRotation="90" wrapText="1"/>
    </xf>
    <xf numFmtId="3" fontId="3" fillId="0" borderId="37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3" fontId="5" fillId="5" borderId="12" xfId="0" applyNumberFormat="1" applyFont="1" applyFill="1" applyBorder="1" applyAlignment="1">
      <alignment horizontal="left" vertical="top"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22" xfId="0" applyNumberFormat="1" applyFont="1" applyFill="1" applyBorder="1" applyAlignment="1">
      <alignment horizontal="center" vertical="top" wrapText="1"/>
    </xf>
    <xf numFmtId="3" fontId="10" fillId="0" borderId="11" xfId="0" applyNumberFormat="1" applyFont="1" applyFill="1" applyBorder="1" applyAlignment="1">
      <alignment horizontal="center" vertical="top" textRotation="90" wrapText="1"/>
    </xf>
    <xf numFmtId="3" fontId="19" fillId="5" borderId="12" xfId="0" applyNumberFormat="1" applyFont="1" applyFill="1" applyBorder="1" applyAlignment="1">
      <alignment horizontal="center" vertical="top" wrapText="1"/>
    </xf>
    <xf numFmtId="3" fontId="19" fillId="5" borderId="51" xfId="0" applyNumberFormat="1" applyFont="1" applyFill="1" applyBorder="1" applyAlignment="1">
      <alignment horizontal="center" vertical="top" wrapText="1"/>
    </xf>
    <xf numFmtId="3" fontId="3" fillId="0" borderId="12" xfId="0" applyNumberFormat="1" applyFont="1" applyFill="1" applyBorder="1" applyAlignment="1">
      <alignment horizontal="left" vertical="top" wrapText="1"/>
    </xf>
    <xf numFmtId="3" fontId="3" fillId="0" borderId="13" xfId="0" applyNumberFormat="1" applyFont="1" applyBorder="1" applyAlignment="1">
      <alignment horizontal="center" vertical="top"/>
    </xf>
    <xf numFmtId="3" fontId="3" fillId="0" borderId="45" xfId="0" applyNumberFormat="1" applyFont="1" applyBorder="1" applyAlignment="1">
      <alignment horizontal="center" vertical="top"/>
    </xf>
    <xf numFmtId="3" fontId="10" fillId="0" borderId="49" xfId="0" applyNumberFormat="1" applyFont="1" applyBorder="1" applyAlignment="1">
      <alignment horizontal="center" vertical="top" textRotation="90"/>
    </xf>
    <xf numFmtId="3" fontId="10" fillId="0" borderId="11" xfId="0" applyNumberFormat="1" applyFont="1" applyBorder="1" applyAlignment="1">
      <alignment horizontal="center" vertical="top" textRotation="90"/>
    </xf>
    <xf numFmtId="3" fontId="19" fillId="0" borderId="26" xfId="0" applyNumberFormat="1" applyFont="1" applyFill="1" applyBorder="1" applyAlignment="1">
      <alignment horizontal="center" vertical="top" wrapText="1"/>
    </xf>
    <xf numFmtId="3" fontId="19" fillId="0" borderId="22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5" fillId="0" borderId="48" xfId="0" applyNumberFormat="1" applyFont="1" applyFill="1" applyBorder="1" applyAlignment="1">
      <alignment horizontal="center" vertical="top" wrapText="1"/>
    </xf>
    <xf numFmtId="3" fontId="5" fillId="0" borderId="50" xfId="0" applyNumberFormat="1" applyFont="1" applyFill="1" applyBorder="1" applyAlignment="1">
      <alignment horizontal="center" vertical="top" wrapText="1"/>
    </xf>
    <xf numFmtId="3" fontId="5" fillId="0" borderId="57" xfId="0" applyNumberFormat="1" applyFont="1" applyFill="1" applyBorder="1" applyAlignment="1">
      <alignment horizontal="center" vertical="top" wrapText="1"/>
    </xf>
    <xf numFmtId="3" fontId="1" fillId="5" borderId="51" xfId="0" applyNumberFormat="1" applyFont="1" applyFill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center" vertical="top" textRotation="90"/>
    </xf>
    <xf numFmtId="3" fontId="10" fillId="0" borderId="56" xfId="0" applyNumberFormat="1" applyFont="1" applyBorder="1" applyAlignment="1">
      <alignment horizontal="center" vertical="top" textRotation="90"/>
    </xf>
    <xf numFmtId="3" fontId="20" fillId="0" borderId="28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10" fillId="0" borderId="49" xfId="0" applyNumberFormat="1" applyFont="1" applyFill="1" applyBorder="1" applyAlignment="1">
      <alignment horizontal="center" vertical="center" textRotation="90" wrapText="1"/>
    </xf>
    <xf numFmtId="3" fontId="20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3" fontId="20" fillId="0" borderId="5" xfId="0" applyNumberFormat="1" applyFont="1" applyBorder="1" applyAlignment="1">
      <alignment horizontal="center" vertical="center" textRotation="90" wrapText="1"/>
    </xf>
    <xf numFmtId="3" fontId="20" fillId="0" borderId="12" xfId="0" applyNumberFormat="1" applyFont="1" applyBorder="1" applyAlignment="1">
      <alignment horizontal="center" vertical="center" textRotation="90" wrapText="1"/>
    </xf>
    <xf numFmtId="3" fontId="20" fillId="0" borderId="17" xfId="0" applyNumberFormat="1" applyFont="1" applyBorder="1" applyAlignment="1">
      <alignment horizontal="center" vertical="center" textRotation="90" wrapText="1"/>
    </xf>
    <xf numFmtId="3" fontId="5" fillId="8" borderId="19" xfId="0" applyNumberFormat="1" applyFont="1" applyFill="1" applyBorder="1" applyAlignment="1">
      <alignment horizontal="left" vertical="top" wrapText="1"/>
    </xf>
    <xf numFmtId="3" fontId="5" fillId="8" borderId="20" xfId="0" applyNumberFormat="1" applyFont="1" applyFill="1" applyBorder="1" applyAlignment="1">
      <alignment horizontal="left" vertical="top" wrapText="1"/>
    </xf>
    <xf numFmtId="3" fontId="5" fillId="8" borderId="1" xfId="0" applyNumberFormat="1" applyFont="1" applyFill="1" applyBorder="1" applyAlignment="1">
      <alignment horizontal="left" vertical="top" wrapText="1"/>
    </xf>
    <xf numFmtId="3" fontId="5" fillId="8" borderId="21" xfId="0" applyNumberFormat="1" applyFont="1" applyFill="1" applyBorder="1" applyAlignment="1">
      <alignment horizontal="left" vertical="top" wrapText="1"/>
    </xf>
    <xf numFmtId="3" fontId="6" fillId="7" borderId="22" xfId="0" applyNumberFormat="1" applyFont="1" applyFill="1" applyBorder="1" applyAlignment="1">
      <alignment horizontal="left" vertical="top" wrapText="1"/>
    </xf>
    <xf numFmtId="3" fontId="6" fillId="7" borderId="23" xfId="0" applyNumberFormat="1" applyFont="1" applyFill="1" applyBorder="1" applyAlignment="1">
      <alignment horizontal="left" vertical="top" wrapText="1"/>
    </xf>
    <xf numFmtId="3" fontId="6" fillId="7" borderId="24" xfId="0" applyNumberFormat="1" applyFont="1" applyFill="1" applyBorder="1" applyAlignment="1">
      <alignment horizontal="left" vertical="top" wrapText="1"/>
    </xf>
    <xf numFmtId="3" fontId="5" fillId="9" borderId="20" xfId="0" applyNumberFormat="1" applyFont="1" applyFill="1" applyBorder="1" applyAlignment="1">
      <alignment horizontal="left" vertical="top" wrapText="1"/>
    </xf>
    <xf numFmtId="3" fontId="2" fillId="9" borderId="20" xfId="0" applyNumberFormat="1" applyFont="1" applyFill="1" applyBorder="1" applyAlignment="1">
      <alignment horizontal="left" vertical="top" wrapText="1"/>
    </xf>
    <xf numFmtId="3" fontId="2" fillId="9" borderId="21" xfId="0" applyNumberFormat="1" applyFont="1" applyFill="1" applyBorder="1" applyAlignment="1">
      <alignment horizontal="left" vertical="top" wrapText="1"/>
    </xf>
    <xf numFmtId="3" fontId="3" fillId="2" borderId="43" xfId="0" applyNumberFormat="1" applyFont="1" applyFill="1" applyBorder="1" applyAlignment="1">
      <alignment horizontal="left" vertical="top" wrapText="1"/>
    </xf>
    <xf numFmtId="3" fontId="3" fillId="2" borderId="20" xfId="0" applyNumberFormat="1" applyFont="1" applyFill="1" applyBorder="1" applyAlignment="1">
      <alignment horizontal="left" vertical="top" wrapText="1"/>
    </xf>
    <xf numFmtId="3" fontId="3" fillId="2" borderId="21" xfId="0" applyNumberFormat="1" applyFont="1" applyFill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left" vertical="top" wrapText="1"/>
    </xf>
    <xf numFmtId="3" fontId="1" fillId="0" borderId="48" xfId="0" applyNumberFormat="1" applyFont="1" applyBorder="1" applyAlignment="1">
      <alignment horizontal="left" vertical="top" wrapText="1"/>
    </xf>
    <xf numFmtId="3" fontId="19" fillId="0" borderId="17" xfId="0" applyNumberFormat="1" applyFont="1" applyBorder="1" applyAlignment="1">
      <alignment horizontal="center" vertical="top" wrapText="1"/>
    </xf>
    <xf numFmtId="3" fontId="21" fillId="5" borderId="5" xfId="0" applyNumberFormat="1" applyFont="1" applyFill="1" applyBorder="1" applyAlignment="1">
      <alignment horizontal="center" vertical="top" wrapText="1"/>
    </xf>
    <xf numFmtId="3" fontId="21" fillId="5" borderId="17" xfId="0" applyNumberFormat="1" applyFont="1" applyFill="1" applyBorder="1" applyAlignment="1">
      <alignment horizontal="center" vertical="top" wrapText="1"/>
    </xf>
    <xf numFmtId="3" fontId="13" fillId="0" borderId="0" xfId="0" applyNumberFormat="1" applyFont="1" applyAlignment="1">
      <alignment horizontal="right" vertical="top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3" fontId="20" fillId="0" borderId="5" xfId="0" applyNumberFormat="1" applyFont="1" applyFill="1" applyBorder="1" applyAlignment="1">
      <alignment horizontal="center" vertical="top" wrapText="1"/>
    </xf>
    <xf numFmtId="3" fontId="20" fillId="0" borderId="1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3" fontId="11" fillId="0" borderId="49" xfId="0" applyNumberFormat="1" applyFont="1" applyFill="1" applyBorder="1" applyAlignment="1">
      <alignment horizontal="center" textRotation="90"/>
    </xf>
    <xf numFmtId="3" fontId="11" fillId="0" borderId="11" xfId="0" applyNumberFormat="1" applyFont="1" applyFill="1" applyBorder="1" applyAlignment="1">
      <alignment horizontal="center" textRotation="90"/>
    </xf>
    <xf numFmtId="3" fontId="1" fillId="0" borderId="18" xfId="0" applyNumberFormat="1" applyFont="1" applyBorder="1" applyAlignment="1">
      <alignment horizontal="left" vertical="top" wrapText="1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top" wrapText="1"/>
    </xf>
    <xf numFmtId="3" fontId="1" fillId="5" borderId="30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horizontal="center" vertical="top"/>
    </xf>
    <xf numFmtId="3" fontId="4" fillId="0" borderId="13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1" fillId="5" borderId="45" xfId="0" applyNumberFormat="1" applyFont="1" applyFill="1" applyBorder="1" applyAlignment="1">
      <alignment horizontal="left" vertical="top" wrapText="1"/>
    </xf>
    <xf numFmtId="3" fontId="11" fillId="0" borderId="11" xfId="0" applyNumberFormat="1" applyFont="1" applyFill="1" applyBorder="1" applyAlignment="1">
      <alignment horizontal="center" vertical="top" textRotation="90" wrapText="1"/>
    </xf>
    <xf numFmtId="3" fontId="19" fillId="0" borderId="28" xfId="0" applyNumberFormat="1" applyFont="1" applyBorder="1" applyAlignment="1">
      <alignment horizontal="center" vertical="top" wrapText="1"/>
    </xf>
    <xf numFmtId="3" fontId="19" fillId="0" borderId="32" xfId="0" applyNumberFormat="1" applyFont="1" applyBorder="1" applyAlignment="1">
      <alignment horizontal="center" vertical="top" wrapText="1"/>
    </xf>
    <xf numFmtId="49" fontId="1" fillId="3" borderId="37" xfId="0" applyNumberFormat="1" applyFont="1" applyFill="1" applyBorder="1" applyAlignment="1">
      <alignment horizontal="center" vertical="top" wrapText="1"/>
    </xf>
    <xf numFmtId="3" fontId="5" fillId="5" borderId="45" xfId="0" applyNumberFormat="1" applyFont="1" applyFill="1" applyBorder="1" applyAlignment="1">
      <alignment horizontal="center" vertical="top" wrapText="1"/>
    </xf>
    <xf numFmtId="3" fontId="5" fillId="5" borderId="37" xfId="0" applyNumberFormat="1" applyFont="1" applyFill="1" applyBorder="1" applyAlignment="1">
      <alignment horizontal="center" vertical="top" wrapText="1"/>
    </xf>
    <xf numFmtId="3" fontId="20" fillId="5" borderId="47" xfId="0" applyNumberFormat="1" applyFont="1" applyFill="1" applyBorder="1" applyAlignment="1">
      <alignment horizontal="center" vertical="top" wrapText="1"/>
    </xf>
    <xf numFmtId="3" fontId="20" fillId="5" borderId="12" xfId="0" applyNumberFormat="1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25" fillId="0" borderId="49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165" fontId="24" fillId="0" borderId="49" xfId="0" applyNumberFormat="1" applyFont="1" applyFill="1" applyBorder="1" applyAlignment="1">
      <alignment horizontal="center" vertical="center" wrapText="1"/>
    </xf>
    <xf numFmtId="165" fontId="24" fillId="0" borderId="56" xfId="0" applyNumberFormat="1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8" fillId="0" borderId="67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71" xfId="0" applyFont="1" applyBorder="1" applyAlignment="1">
      <alignment horizontal="center" vertical="top" wrapText="1"/>
    </xf>
    <xf numFmtId="2" fontId="24" fillId="0" borderId="49" xfId="0" applyNumberFormat="1" applyFont="1" applyFill="1" applyBorder="1" applyAlignment="1">
      <alignment horizontal="center" vertical="center" wrapText="1"/>
    </xf>
    <xf numFmtId="2" fontId="24" fillId="0" borderId="56" xfId="0" applyNumberFormat="1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8" fillId="5" borderId="67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71" xfId="0" applyFont="1" applyFill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/>
    </xf>
    <xf numFmtId="0" fontId="28" fillId="0" borderId="71" xfId="0" applyFont="1" applyBorder="1" applyAlignment="1">
      <alignment horizontal="center" vertical="top"/>
    </xf>
    <xf numFmtId="0" fontId="24" fillId="7" borderId="49" xfId="0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right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180975</xdr:colOff>
      <xdr:row>42</xdr:row>
      <xdr:rowOff>19050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0"/>
  <sheetViews>
    <sheetView tabSelected="1" zoomScaleNormal="100" workbookViewId="0"/>
  </sheetViews>
  <sheetFormatPr defaultColWidth="9.140625" defaultRowHeight="12.75" x14ac:dyDescent="0.2"/>
  <cols>
    <col min="1" max="1" width="3.140625" style="53" customWidth="1"/>
    <col min="2" max="4" width="3.140625" style="906" customWidth="1"/>
    <col min="5" max="5" width="28.28515625" style="53" customWidth="1"/>
    <col min="6" max="6" width="3" style="1056" customWidth="1"/>
    <col min="7" max="7" width="3" style="207" hidden="1" customWidth="1"/>
    <col min="8" max="8" width="3" style="906" customWidth="1"/>
    <col min="9" max="9" width="8.140625" style="53" customWidth="1"/>
    <col min="10" max="12" width="8.7109375" style="53" customWidth="1"/>
    <col min="13" max="13" width="24.7109375" style="53" customWidth="1"/>
    <col min="14" max="16" width="5.42578125" style="906" customWidth="1"/>
    <col min="17" max="18" width="10.28515625" style="53" bestFit="1" customWidth="1"/>
    <col min="19" max="16384" width="9.140625" style="53"/>
  </cols>
  <sheetData>
    <row r="1" spans="1:21" s="79" customFormat="1" ht="64.5" customHeight="1" x14ac:dyDescent="0.25">
      <c r="A1" s="76"/>
      <c r="B1" s="78"/>
      <c r="C1" s="78"/>
      <c r="D1" s="78"/>
      <c r="E1" s="76"/>
      <c r="F1" s="1036"/>
      <c r="G1" s="198"/>
      <c r="H1" s="127"/>
      <c r="I1" s="933"/>
      <c r="J1" s="933"/>
      <c r="K1" s="933"/>
      <c r="L1" s="1375" t="s">
        <v>369</v>
      </c>
      <c r="M1" s="1375"/>
      <c r="N1" s="1375"/>
      <c r="O1" s="1375"/>
      <c r="P1" s="1375"/>
    </row>
    <row r="2" spans="1:21" s="1" customFormat="1" ht="14.25" customHeight="1" x14ac:dyDescent="0.2">
      <c r="A2" s="1235" t="s">
        <v>346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51"/>
      <c r="R2" s="1" t="s">
        <v>67</v>
      </c>
    </row>
    <row r="3" spans="1:21" s="1" customFormat="1" ht="14.25" customHeight="1" x14ac:dyDescent="0.2">
      <c r="A3" s="1236" t="s">
        <v>0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51"/>
    </row>
    <row r="4" spans="1:21" s="1" customFormat="1" ht="14.25" customHeight="1" x14ac:dyDescent="0.2">
      <c r="A4" s="1237" t="s">
        <v>1</v>
      </c>
      <c r="B4" s="1237"/>
      <c r="C4" s="1237"/>
      <c r="D4" s="1237"/>
      <c r="E4" s="1237"/>
      <c r="F4" s="1237"/>
      <c r="G4" s="1237"/>
      <c r="H4" s="1237"/>
      <c r="I4" s="1237"/>
      <c r="J4" s="1237"/>
      <c r="K4" s="1237"/>
      <c r="L4" s="1237"/>
      <c r="M4" s="1237"/>
      <c r="N4" s="1237"/>
      <c r="O4" s="1237"/>
      <c r="P4" s="1237"/>
      <c r="Q4" s="929"/>
    </row>
    <row r="5" spans="1:21" s="1" customFormat="1" ht="13.5" thickBot="1" x14ac:dyDescent="0.25">
      <c r="A5" s="2"/>
      <c r="B5" s="2"/>
      <c r="C5" s="2"/>
      <c r="D5" s="2"/>
      <c r="E5" s="932"/>
      <c r="F5" s="1037"/>
      <c r="G5" s="199"/>
      <c r="H5" s="932"/>
      <c r="I5" s="932"/>
      <c r="J5" s="3"/>
      <c r="K5" s="3"/>
      <c r="L5" s="3"/>
      <c r="M5" s="67"/>
      <c r="N5" s="932"/>
      <c r="O5" s="932"/>
      <c r="P5" s="932"/>
      <c r="Q5" s="932"/>
    </row>
    <row r="6" spans="1:21" s="1" customFormat="1" ht="22.5" customHeight="1" x14ac:dyDescent="0.2">
      <c r="A6" s="1238" t="s">
        <v>2</v>
      </c>
      <c r="B6" s="1241" t="s">
        <v>3</v>
      </c>
      <c r="C6" s="1241" t="s">
        <v>4</v>
      </c>
      <c r="D6" s="279"/>
      <c r="E6" s="1244" t="s">
        <v>5</v>
      </c>
      <c r="F6" s="1246" t="s">
        <v>6</v>
      </c>
      <c r="G6" s="1248" t="s">
        <v>132</v>
      </c>
      <c r="H6" s="1251" t="s">
        <v>7</v>
      </c>
      <c r="I6" s="1253" t="s">
        <v>8</v>
      </c>
      <c r="J6" s="1256" t="s">
        <v>163</v>
      </c>
      <c r="K6" s="1259" t="s">
        <v>142</v>
      </c>
      <c r="L6" s="1217" t="s">
        <v>143</v>
      </c>
      <c r="M6" s="1220" t="s">
        <v>9</v>
      </c>
      <c r="N6" s="1221"/>
      <c r="O6" s="1221"/>
      <c r="P6" s="1222"/>
    </row>
    <row r="7" spans="1:21" s="1" customFormat="1" ht="16.5" customHeight="1" x14ac:dyDescent="0.2">
      <c r="A7" s="1239"/>
      <c r="B7" s="1242"/>
      <c r="C7" s="1242"/>
      <c r="D7" s="280"/>
      <c r="E7" s="1245"/>
      <c r="F7" s="1247"/>
      <c r="G7" s="1249"/>
      <c r="H7" s="1252"/>
      <c r="I7" s="1254"/>
      <c r="J7" s="1257"/>
      <c r="K7" s="1260"/>
      <c r="L7" s="1218"/>
      <c r="M7" s="1223" t="s">
        <v>5</v>
      </c>
      <c r="N7" s="1225" t="s">
        <v>10</v>
      </c>
      <c r="O7" s="1226"/>
      <c r="P7" s="1227"/>
    </row>
    <row r="8" spans="1:21" s="1" customFormat="1" ht="76.5" customHeight="1" thickBot="1" x14ac:dyDescent="0.25">
      <c r="A8" s="1240"/>
      <c r="B8" s="1243"/>
      <c r="C8" s="1243"/>
      <c r="D8" s="280"/>
      <c r="E8" s="1245"/>
      <c r="F8" s="1247"/>
      <c r="G8" s="1250"/>
      <c r="H8" s="1252"/>
      <c r="I8" s="1255"/>
      <c r="J8" s="1258"/>
      <c r="K8" s="1261"/>
      <c r="L8" s="1219"/>
      <c r="M8" s="1224"/>
      <c r="N8" s="289" t="s">
        <v>144</v>
      </c>
      <c r="O8" s="289" t="s">
        <v>145</v>
      </c>
      <c r="P8" s="934" t="s">
        <v>146</v>
      </c>
    </row>
    <row r="9" spans="1:21" s="1" customFormat="1" ht="15.75" customHeight="1" x14ac:dyDescent="0.2">
      <c r="A9" s="1228" t="s">
        <v>11</v>
      </c>
      <c r="B9" s="1229"/>
      <c r="C9" s="1229"/>
      <c r="D9" s="1229"/>
      <c r="E9" s="1229"/>
      <c r="F9" s="1229"/>
      <c r="G9" s="1229"/>
      <c r="H9" s="1229"/>
      <c r="I9" s="1230"/>
      <c r="J9" s="1230"/>
      <c r="K9" s="1230"/>
      <c r="L9" s="1230"/>
      <c r="M9" s="1229"/>
      <c r="N9" s="1229"/>
      <c r="O9" s="1229"/>
      <c r="P9" s="1231"/>
    </row>
    <row r="10" spans="1:21" s="1" customFormat="1" ht="15.75" customHeight="1" x14ac:dyDescent="0.2">
      <c r="A10" s="1232" t="s">
        <v>12</v>
      </c>
      <c r="B10" s="1233"/>
      <c r="C10" s="1233"/>
      <c r="D10" s="1233"/>
      <c r="E10" s="1233"/>
      <c r="F10" s="1233"/>
      <c r="G10" s="1233"/>
      <c r="H10" s="1233"/>
      <c r="I10" s="1233"/>
      <c r="J10" s="1233"/>
      <c r="K10" s="1233"/>
      <c r="L10" s="1233"/>
      <c r="M10" s="1233"/>
      <c r="N10" s="1233"/>
      <c r="O10" s="1233"/>
      <c r="P10" s="1234"/>
    </row>
    <row r="11" spans="1:21" s="1" customFormat="1" ht="15.75" customHeight="1" x14ac:dyDescent="0.2">
      <c r="A11" s="1023" t="s">
        <v>13</v>
      </c>
      <c r="B11" s="1198" t="s">
        <v>14</v>
      </c>
      <c r="C11" s="1198"/>
      <c r="D11" s="1198"/>
      <c r="E11" s="1198"/>
      <c r="F11" s="1198"/>
      <c r="G11" s="1198"/>
      <c r="H11" s="1198"/>
      <c r="I11" s="1198"/>
      <c r="J11" s="1199"/>
      <c r="K11" s="1199"/>
      <c r="L11" s="1199"/>
      <c r="M11" s="1199"/>
      <c r="N11" s="1199"/>
      <c r="O11" s="1199"/>
      <c r="P11" s="1200"/>
    </row>
    <row r="12" spans="1:21" s="1" customFormat="1" ht="15.75" customHeight="1" thickBot="1" x14ac:dyDescent="0.25">
      <c r="A12" s="892" t="s">
        <v>13</v>
      </c>
      <c r="B12" s="1022" t="s">
        <v>13</v>
      </c>
      <c r="C12" s="1201" t="s">
        <v>15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3"/>
    </row>
    <row r="13" spans="1:21" s="1" customFormat="1" ht="28.5" customHeight="1" x14ac:dyDescent="0.2">
      <c r="A13" s="137" t="s">
        <v>13</v>
      </c>
      <c r="B13" s="876" t="s">
        <v>13</v>
      </c>
      <c r="C13" s="879" t="s">
        <v>13</v>
      </c>
      <c r="D13" s="451"/>
      <c r="E13" s="1204" t="s">
        <v>111</v>
      </c>
      <c r="F13" s="1206" t="s">
        <v>66</v>
      </c>
      <c r="G13" s="1209">
        <v>11020306</v>
      </c>
      <c r="H13" s="1212" t="s">
        <v>16</v>
      </c>
      <c r="I13" s="4" t="s">
        <v>17</v>
      </c>
      <c r="J13" s="479">
        <v>48</v>
      </c>
      <c r="K13" s="474">
        <v>94</v>
      </c>
      <c r="L13" s="703">
        <v>24.6</v>
      </c>
      <c r="M13" s="475" t="s">
        <v>160</v>
      </c>
      <c r="N13" s="935">
        <v>60</v>
      </c>
      <c r="O13" s="351">
        <v>60</v>
      </c>
      <c r="P13" s="352">
        <v>60</v>
      </c>
    </row>
    <row r="14" spans="1:21" s="1" customFormat="1" ht="42" customHeight="1" x14ac:dyDescent="0.2">
      <c r="A14" s="138"/>
      <c r="B14" s="877"/>
      <c r="C14" s="880"/>
      <c r="D14" s="152"/>
      <c r="E14" s="1205"/>
      <c r="F14" s="1207"/>
      <c r="G14" s="1210"/>
      <c r="H14" s="1213"/>
      <c r="I14" s="13"/>
      <c r="J14" s="487"/>
      <c r="K14" s="260"/>
      <c r="L14" s="664"/>
      <c r="M14" s="468" t="s">
        <v>161</v>
      </c>
      <c r="N14" s="529">
        <v>1</v>
      </c>
      <c r="O14" s="358"/>
      <c r="P14" s="359"/>
      <c r="S14" s="14"/>
    </row>
    <row r="15" spans="1:21" s="1" customFormat="1" ht="30.75" customHeight="1" x14ac:dyDescent="0.2">
      <c r="A15" s="138"/>
      <c r="B15" s="877"/>
      <c r="C15" s="880"/>
      <c r="D15" s="152"/>
      <c r="E15" s="882"/>
      <c r="F15" s="1207"/>
      <c r="G15" s="1210"/>
      <c r="H15" s="1213"/>
      <c r="I15" s="13"/>
      <c r="J15" s="259"/>
      <c r="K15" s="260"/>
      <c r="L15" s="477"/>
      <c r="M15" s="356" t="s">
        <v>147</v>
      </c>
      <c r="N15" s="936"/>
      <c r="O15" s="358">
        <v>1</v>
      </c>
      <c r="P15" s="359"/>
      <c r="S15" s="14"/>
    </row>
    <row r="16" spans="1:21" s="1" customFormat="1" ht="29.25" customHeight="1" x14ac:dyDescent="0.2">
      <c r="A16" s="138"/>
      <c r="B16" s="877"/>
      <c r="C16" s="880"/>
      <c r="D16" s="152"/>
      <c r="E16" s="882"/>
      <c r="F16" s="1207"/>
      <c r="G16" s="1210"/>
      <c r="H16" s="1213"/>
      <c r="I16" s="21"/>
      <c r="J16" s="259"/>
      <c r="K16" s="260"/>
      <c r="L16" s="282"/>
      <c r="M16" s="1215" t="s">
        <v>90</v>
      </c>
      <c r="N16" s="435"/>
      <c r="O16" s="294"/>
      <c r="P16" s="295">
        <v>1</v>
      </c>
      <c r="T16" s="14"/>
      <c r="U16" s="14"/>
    </row>
    <row r="17" spans="1:22" s="1" customFormat="1" ht="15.75" customHeight="1" thickBot="1" x14ac:dyDescent="0.25">
      <c r="A17" s="139"/>
      <c r="B17" s="878"/>
      <c r="C17" s="881"/>
      <c r="D17" s="452"/>
      <c r="E17" s="883"/>
      <c r="F17" s="1208"/>
      <c r="G17" s="1211"/>
      <c r="H17" s="1214"/>
      <c r="I17" s="5" t="s">
        <v>18</v>
      </c>
      <c r="J17" s="211">
        <f>SUM(J13:J16)</f>
        <v>48</v>
      </c>
      <c r="K17" s="222">
        <f>SUM(K13:K16)</f>
        <v>94</v>
      </c>
      <c r="L17" s="218">
        <f>SUM(L13:L16)</f>
        <v>24.6</v>
      </c>
      <c r="M17" s="1216"/>
      <c r="N17" s="558"/>
      <c r="O17" s="297"/>
      <c r="P17" s="298"/>
      <c r="R17" s="14"/>
    </row>
    <row r="18" spans="1:22" s="1" customFormat="1" ht="27" customHeight="1" x14ac:dyDescent="0.2">
      <c r="A18" s="1262" t="s">
        <v>13</v>
      </c>
      <c r="B18" s="1265" t="s">
        <v>13</v>
      </c>
      <c r="C18" s="1268" t="s">
        <v>19</v>
      </c>
      <c r="D18" s="451"/>
      <c r="E18" s="1204" t="s">
        <v>64</v>
      </c>
      <c r="F18" s="1206"/>
      <c r="G18" s="1209">
        <v>11020307</v>
      </c>
      <c r="H18" s="1212" t="s">
        <v>16</v>
      </c>
      <c r="I18" s="4" t="s">
        <v>17</v>
      </c>
      <c r="J18" s="212">
        <v>9</v>
      </c>
      <c r="K18" s="223">
        <v>9</v>
      </c>
      <c r="L18" s="219">
        <v>9</v>
      </c>
      <c r="M18" s="18" t="s">
        <v>20</v>
      </c>
      <c r="N18" s="382">
        <v>20</v>
      </c>
      <c r="O18" s="300">
        <v>20</v>
      </c>
      <c r="P18" s="301">
        <v>20</v>
      </c>
    </row>
    <row r="19" spans="1:22" s="1" customFormat="1" ht="15" customHeight="1" x14ac:dyDescent="0.2">
      <c r="A19" s="1263"/>
      <c r="B19" s="1266"/>
      <c r="C19" s="1269"/>
      <c r="D19" s="152"/>
      <c r="E19" s="1205"/>
      <c r="F19" s="1207"/>
      <c r="G19" s="1210"/>
      <c r="H19" s="1213"/>
      <c r="I19" s="44" t="s">
        <v>79</v>
      </c>
      <c r="J19" s="505">
        <v>6</v>
      </c>
      <c r="K19" s="506"/>
      <c r="L19" s="507"/>
      <c r="M19" s="1215" t="s">
        <v>347</v>
      </c>
      <c r="N19" s="336">
        <v>300</v>
      </c>
      <c r="O19" s="294">
        <v>300</v>
      </c>
      <c r="P19" s="26">
        <v>300</v>
      </c>
      <c r="S19" s="14"/>
    </row>
    <row r="20" spans="1:22" s="1" customFormat="1" ht="15" customHeight="1" thickBot="1" x14ac:dyDescent="0.25">
      <c r="A20" s="1264"/>
      <c r="B20" s="1267"/>
      <c r="C20" s="1269"/>
      <c r="D20" s="152"/>
      <c r="E20" s="1205"/>
      <c r="F20" s="1207"/>
      <c r="G20" s="1211"/>
      <c r="H20" s="1272"/>
      <c r="I20" s="59" t="s">
        <v>18</v>
      </c>
      <c r="J20" s="211">
        <f>SUM(J18:J19)</f>
        <v>15</v>
      </c>
      <c r="K20" s="222">
        <f>+K18</f>
        <v>9</v>
      </c>
      <c r="L20" s="218">
        <f>+L18</f>
        <v>9</v>
      </c>
      <c r="M20" s="1216"/>
      <c r="N20" s="937"/>
      <c r="O20" s="306"/>
      <c r="P20" s="307"/>
      <c r="S20" s="14"/>
    </row>
    <row r="21" spans="1:22" s="1" customFormat="1" ht="30" customHeight="1" x14ac:dyDescent="0.2">
      <c r="A21" s="1262" t="s">
        <v>13</v>
      </c>
      <c r="B21" s="1265" t="s">
        <v>13</v>
      </c>
      <c r="C21" s="1268" t="s">
        <v>21</v>
      </c>
      <c r="D21" s="451"/>
      <c r="E21" s="1204" t="s">
        <v>167</v>
      </c>
      <c r="F21" s="1206"/>
      <c r="G21" s="1209">
        <v>11020310</v>
      </c>
      <c r="H21" s="1212" t="s">
        <v>16</v>
      </c>
      <c r="I21" s="4" t="s">
        <v>17</v>
      </c>
      <c r="J21" s="212">
        <v>33.299999999999997</v>
      </c>
      <c r="K21" s="223">
        <v>33.299999999999997</v>
      </c>
      <c r="L21" s="219">
        <v>33.299999999999997</v>
      </c>
      <c r="M21" s="275" t="s">
        <v>93</v>
      </c>
      <c r="N21" s="351">
        <v>200</v>
      </c>
      <c r="O21" s="309">
        <v>200</v>
      </c>
      <c r="P21" s="175">
        <v>200</v>
      </c>
    </row>
    <row r="22" spans="1:22" s="1" customFormat="1" ht="37.5" customHeight="1" x14ac:dyDescent="0.2">
      <c r="A22" s="1263"/>
      <c r="B22" s="1266"/>
      <c r="C22" s="1269"/>
      <c r="D22" s="152"/>
      <c r="E22" s="1205"/>
      <c r="F22" s="1207"/>
      <c r="G22" s="1210"/>
      <c r="H22" s="1213"/>
      <c r="I22" s="553"/>
      <c r="J22" s="481"/>
      <c r="K22" s="989"/>
      <c r="L22" s="697"/>
      <c r="M22" s="1279" t="s">
        <v>168</v>
      </c>
      <c r="N22" s="518">
        <v>32</v>
      </c>
      <c r="O22" s="311">
        <v>32</v>
      </c>
      <c r="P22" s="312">
        <v>32</v>
      </c>
      <c r="U22" s="14"/>
    </row>
    <row r="23" spans="1:22" s="1" customFormat="1" ht="18" customHeight="1" thickBot="1" x14ac:dyDescent="0.25">
      <c r="A23" s="1264"/>
      <c r="B23" s="1267"/>
      <c r="C23" s="1269"/>
      <c r="D23" s="152"/>
      <c r="E23" s="1205"/>
      <c r="F23" s="1207"/>
      <c r="G23" s="1211"/>
      <c r="H23" s="1272"/>
      <c r="I23" s="59" t="s">
        <v>18</v>
      </c>
      <c r="J23" s="211">
        <f>SUM(J21:J22)</f>
        <v>33.299999999999997</v>
      </c>
      <c r="K23" s="222">
        <f t="shared" ref="K23:L23" si="0">SUM(K21:K22)</f>
        <v>33.299999999999997</v>
      </c>
      <c r="L23" s="218">
        <f t="shared" si="0"/>
        <v>33.299999999999997</v>
      </c>
      <c r="M23" s="1280"/>
      <c r="N23" s="558"/>
      <c r="O23" s="297"/>
      <c r="P23" s="298"/>
      <c r="V23" s="14"/>
    </row>
    <row r="24" spans="1:22" s="1" customFormat="1" ht="28.5" customHeight="1" x14ac:dyDescent="0.2">
      <c r="A24" s="1262" t="s">
        <v>13</v>
      </c>
      <c r="B24" s="1265" t="s">
        <v>13</v>
      </c>
      <c r="C24" s="1268" t="s">
        <v>34</v>
      </c>
      <c r="D24" s="451"/>
      <c r="E24" s="1204" t="s">
        <v>134</v>
      </c>
      <c r="F24" s="1206"/>
      <c r="G24" s="1209">
        <v>11020310</v>
      </c>
      <c r="H24" s="903" t="s">
        <v>16</v>
      </c>
      <c r="I24" s="6" t="s">
        <v>17</v>
      </c>
      <c r="J24" s="250">
        <v>153</v>
      </c>
      <c r="K24" s="257">
        <v>153</v>
      </c>
      <c r="L24" s="488">
        <v>153</v>
      </c>
      <c r="M24" s="275" t="s">
        <v>125</v>
      </c>
      <c r="N24" s="589">
        <v>10904</v>
      </c>
      <c r="O24" s="436">
        <v>10904</v>
      </c>
      <c r="P24" s="175">
        <v>10904</v>
      </c>
      <c r="T24" s="14"/>
    </row>
    <row r="25" spans="1:22" s="1" customFormat="1" ht="16.5" customHeight="1" x14ac:dyDescent="0.2">
      <c r="A25" s="1263"/>
      <c r="B25" s="1266"/>
      <c r="C25" s="1269"/>
      <c r="D25" s="152"/>
      <c r="E25" s="1205"/>
      <c r="F25" s="1207"/>
      <c r="G25" s="1210"/>
      <c r="H25" s="904">
        <v>3</v>
      </c>
      <c r="I25" s="13" t="s">
        <v>17</v>
      </c>
      <c r="J25" s="259">
        <v>10.4</v>
      </c>
      <c r="K25" s="260">
        <v>10.4</v>
      </c>
      <c r="L25" s="478">
        <v>10.4</v>
      </c>
      <c r="M25" s="1270" t="s">
        <v>135</v>
      </c>
      <c r="N25" s="360">
        <v>88</v>
      </c>
      <c r="O25" s="924">
        <v>88</v>
      </c>
      <c r="P25" s="172">
        <v>88</v>
      </c>
    </row>
    <row r="26" spans="1:22" s="1" customFormat="1" ht="15.75" customHeight="1" thickBot="1" x14ac:dyDescent="0.25">
      <c r="A26" s="1264"/>
      <c r="B26" s="1267"/>
      <c r="C26" s="1269"/>
      <c r="D26" s="452"/>
      <c r="E26" s="1205"/>
      <c r="F26" s="1207"/>
      <c r="G26" s="1211"/>
      <c r="H26" s="261"/>
      <c r="I26" s="59" t="s">
        <v>18</v>
      </c>
      <c r="J26" s="211">
        <f t="shared" ref="J26:L26" si="1">SUM(J24:J25)</f>
        <v>163.4</v>
      </c>
      <c r="K26" s="222">
        <f t="shared" si="1"/>
        <v>163.4</v>
      </c>
      <c r="L26" s="218">
        <f t="shared" si="1"/>
        <v>163.4</v>
      </c>
      <c r="M26" s="1271"/>
      <c r="N26" s="437"/>
      <c r="O26" s="437"/>
      <c r="P26" s="438"/>
    </row>
    <row r="27" spans="1:22" s="621" customFormat="1" ht="30" customHeight="1" x14ac:dyDescent="0.2">
      <c r="A27" s="1262" t="s">
        <v>13</v>
      </c>
      <c r="B27" s="1265" t="s">
        <v>13</v>
      </c>
      <c r="C27" s="1268" t="s">
        <v>63</v>
      </c>
      <c r="D27" s="451"/>
      <c r="E27" s="1281" t="s">
        <v>320</v>
      </c>
      <c r="F27" s="1206"/>
      <c r="G27" s="1302">
        <v>11020310</v>
      </c>
      <c r="H27" s="1293" t="s">
        <v>16</v>
      </c>
      <c r="I27" s="625" t="s">
        <v>17</v>
      </c>
      <c r="J27" s="492">
        <v>25</v>
      </c>
      <c r="K27" s="546">
        <f>50-25</f>
        <v>25</v>
      </c>
      <c r="L27" s="704">
        <f>75-50</f>
        <v>25</v>
      </c>
      <c r="M27" s="1295" t="s">
        <v>112</v>
      </c>
      <c r="N27" s="1296">
        <v>2</v>
      </c>
      <c r="O27" s="1298">
        <v>2</v>
      </c>
      <c r="P27" s="1286">
        <v>2</v>
      </c>
      <c r="Q27" s="867"/>
    </row>
    <row r="28" spans="1:22" s="621" customFormat="1" ht="15.75" customHeight="1" thickBot="1" x14ac:dyDescent="0.25">
      <c r="A28" s="1264"/>
      <c r="B28" s="1267"/>
      <c r="C28" s="1269"/>
      <c r="D28" s="452"/>
      <c r="E28" s="1282"/>
      <c r="F28" s="1207"/>
      <c r="G28" s="1303"/>
      <c r="H28" s="1294"/>
      <c r="I28" s="923" t="s">
        <v>18</v>
      </c>
      <c r="J28" s="211">
        <f>SUM(J27:J27)</f>
        <v>25</v>
      </c>
      <c r="K28" s="222">
        <f>SUM(K27:K27)</f>
        <v>25</v>
      </c>
      <c r="L28" s="218">
        <f>SUM(L27:L27)</f>
        <v>25</v>
      </c>
      <c r="M28" s="1280"/>
      <c r="N28" s="1297"/>
      <c r="O28" s="1299"/>
      <c r="P28" s="1287"/>
      <c r="Q28" s="620"/>
    </row>
    <row r="29" spans="1:22" s="1" customFormat="1" ht="13.5" thickBot="1" x14ac:dyDescent="0.25">
      <c r="A29" s="129" t="s">
        <v>13</v>
      </c>
      <c r="B29" s="7" t="s">
        <v>13</v>
      </c>
      <c r="C29" s="1288" t="s">
        <v>22</v>
      </c>
      <c r="D29" s="1289"/>
      <c r="E29" s="1289"/>
      <c r="F29" s="1289"/>
      <c r="G29" s="1289"/>
      <c r="H29" s="1289"/>
      <c r="I29" s="1289"/>
      <c r="J29" s="8">
        <f>J20+J17+J23+J26+J28</f>
        <v>284.7</v>
      </c>
      <c r="K29" s="227">
        <f>K20+K17+K23+K26+K28</f>
        <v>324.70000000000005</v>
      </c>
      <c r="L29" s="560">
        <f>L20+L17+L23+L26+L28</f>
        <v>255.3</v>
      </c>
      <c r="M29" s="1290"/>
      <c r="N29" s="1291"/>
      <c r="O29" s="1291"/>
      <c r="P29" s="1292"/>
    </row>
    <row r="30" spans="1:22" s="1" customFormat="1" ht="13.5" thickBot="1" x14ac:dyDescent="0.25">
      <c r="A30" s="129" t="s">
        <v>13</v>
      </c>
      <c r="B30" s="9" t="s">
        <v>19</v>
      </c>
      <c r="C30" s="1283" t="s">
        <v>23</v>
      </c>
      <c r="D30" s="1284"/>
      <c r="E30" s="1284"/>
      <c r="F30" s="1284"/>
      <c r="G30" s="1284"/>
      <c r="H30" s="1284"/>
      <c r="I30" s="1284"/>
      <c r="J30" s="1284"/>
      <c r="K30" s="1284"/>
      <c r="L30" s="1284"/>
      <c r="M30" s="1284"/>
      <c r="N30" s="1284"/>
      <c r="O30" s="1284"/>
      <c r="P30" s="1285"/>
      <c r="V30" s="14"/>
    </row>
    <row r="31" spans="1:22" s="1" customFormat="1" ht="14.25" customHeight="1" x14ac:dyDescent="0.2">
      <c r="A31" s="130" t="s">
        <v>13</v>
      </c>
      <c r="B31" s="896" t="s">
        <v>19</v>
      </c>
      <c r="C31" s="12" t="s">
        <v>13</v>
      </c>
      <c r="D31" s="451"/>
      <c r="E31" s="1276" t="s">
        <v>24</v>
      </c>
      <c r="F31" s="1038"/>
      <c r="G31" s="200"/>
      <c r="H31" s="918">
        <v>2</v>
      </c>
      <c r="I31" s="189" t="s">
        <v>17</v>
      </c>
      <c r="J31" s="209">
        <v>4783.3</v>
      </c>
      <c r="K31" s="474">
        <v>4832.2</v>
      </c>
      <c r="L31" s="480">
        <v>4794.3</v>
      </c>
      <c r="M31" s="1300" t="s">
        <v>26</v>
      </c>
      <c r="N31" s="1009">
        <v>2917</v>
      </c>
      <c r="O31" s="1009">
        <v>3017</v>
      </c>
      <c r="P31" s="1060">
        <v>3165</v>
      </c>
      <c r="Q31" s="11"/>
      <c r="R31" s="14"/>
      <c r="T31" s="14"/>
    </row>
    <row r="32" spans="1:22" s="1" customFormat="1" ht="14.25" customHeight="1" x14ac:dyDescent="0.2">
      <c r="A32" s="131"/>
      <c r="B32" s="981"/>
      <c r="C32" s="12"/>
      <c r="D32" s="152"/>
      <c r="E32" s="1277"/>
      <c r="F32" s="1038"/>
      <c r="G32" s="201"/>
      <c r="H32" s="984"/>
      <c r="I32" s="191" t="s">
        <v>25</v>
      </c>
      <c r="J32" s="251">
        <v>350.3</v>
      </c>
      <c r="K32" s="840">
        <v>350.3</v>
      </c>
      <c r="L32" s="486">
        <v>350.3</v>
      </c>
      <c r="M32" s="1301"/>
      <c r="N32" s="990"/>
      <c r="O32" s="990"/>
      <c r="P32" s="1061"/>
      <c r="Q32" s="11"/>
      <c r="T32" s="14"/>
    </row>
    <row r="33" spans="1:21" s="1" customFormat="1" ht="40.5" customHeight="1" x14ac:dyDescent="0.2">
      <c r="A33" s="131"/>
      <c r="B33" s="897"/>
      <c r="C33" s="12"/>
      <c r="D33" s="152"/>
      <c r="E33" s="907"/>
      <c r="F33" s="1038"/>
      <c r="G33" s="201"/>
      <c r="H33" s="919"/>
      <c r="I33" s="13"/>
      <c r="J33" s="439"/>
      <c r="K33" s="440"/>
      <c r="L33" s="478"/>
      <c r="M33" s="475" t="s">
        <v>169</v>
      </c>
      <c r="N33" s="496">
        <v>1794</v>
      </c>
      <c r="O33" s="496">
        <v>1828</v>
      </c>
      <c r="P33" s="993">
        <v>1842</v>
      </c>
      <c r="Q33" s="11"/>
      <c r="T33" s="14"/>
    </row>
    <row r="34" spans="1:21" s="1" customFormat="1" ht="30" customHeight="1" x14ac:dyDescent="0.2">
      <c r="A34" s="131"/>
      <c r="B34" s="897"/>
      <c r="C34" s="12"/>
      <c r="D34" s="152"/>
      <c r="E34" s="907"/>
      <c r="F34" s="1038"/>
      <c r="G34" s="201"/>
      <c r="H34" s="919"/>
      <c r="I34" s="13"/>
      <c r="J34" s="439"/>
      <c r="K34" s="440"/>
      <c r="L34" s="478"/>
      <c r="M34" s="475" t="s">
        <v>170</v>
      </c>
      <c r="N34" s="496">
        <v>265</v>
      </c>
      <c r="O34" s="496">
        <v>271</v>
      </c>
      <c r="P34" s="993">
        <v>277</v>
      </c>
      <c r="Q34" s="11"/>
      <c r="U34" s="14"/>
    </row>
    <row r="35" spans="1:21" s="1" customFormat="1" ht="30" customHeight="1" x14ac:dyDescent="0.2">
      <c r="A35" s="131"/>
      <c r="B35" s="897"/>
      <c r="C35" s="12"/>
      <c r="D35" s="152"/>
      <c r="E35" s="907"/>
      <c r="F35" s="1038"/>
      <c r="G35" s="201"/>
      <c r="H35" s="919"/>
      <c r="I35" s="13"/>
      <c r="J35" s="439"/>
      <c r="K35" s="440"/>
      <c r="L35" s="478"/>
      <c r="M35" s="958" t="s">
        <v>94</v>
      </c>
      <c r="N35" s="496">
        <v>114</v>
      </c>
      <c r="O35" s="496">
        <v>116</v>
      </c>
      <c r="P35" s="993">
        <v>118</v>
      </c>
      <c r="Q35" s="11"/>
      <c r="T35" s="14"/>
    </row>
    <row r="36" spans="1:21" s="1" customFormat="1" ht="42.75" customHeight="1" x14ac:dyDescent="0.2">
      <c r="A36" s="131"/>
      <c r="B36" s="981"/>
      <c r="C36" s="12"/>
      <c r="D36" s="152"/>
      <c r="E36" s="983"/>
      <c r="F36" s="1038"/>
      <c r="G36" s="201"/>
      <c r="H36" s="984"/>
      <c r="I36" s="13"/>
      <c r="J36" s="439"/>
      <c r="K36" s="440"/>
      <c r="L36" s="478"/>
      <c r="M36" s="475" t="s">
        <v>348</v>
      </c>
      <c r="N36" s="496">
        <v>24420</v>
      </c>
      <c r="O36" s="496">
        <v>24522</v>
      </c>
      <c r="P36" s="992">
        <v>24537</v>
      </c>
      <c r="Q36" s="11"/>
      <c r="R36" s="11"/>
      <c r="S36" s="11"/>
      <c r="T36" s="14"/>
    </row>
    <row r="37" spans="1:21" s="1" customFormat="1" ht="16.5" customHeight="1" x14ac:dyDescent="0.2">
      <c r="A37" s="131"/>
      <c r="B37" s="897"/>
      <c r="C37" s="12"/>
      <c r="D37" s="453" t="s">
        <v>13</v>
      </c>
      <c r="E37" s="1273" t="s">
        <v>27</v>
      </c>
      <c r="F37" s="1038"/>
      <c r="G37" s="449">
        <v>11030201</v>
      </c>
      <c r="H37" s="919"/>
      <c r="I37" s="272"/>
      <c r="J37" s="487"/>
      <c r="K37" s="260"/>
      <c r="L37" s="664"/>
      <c r="M37" s="475" t="s">
        <v>349</v>
      </c>
      <c r="N37" s="496">
        <v>12</v>
      </c>
      <c r="O37" s="994">
        <v>12</v>
      </c>
      <c r="P37" s="996">
        <v>12</v>
      </c>
      <c r="Q37" s="282"/>
      <c r="R37" s="282"/>
      <c r="T37" s="14"/>
    </row>
    <row r="38" spans="1:21" s="1" customFormat="1" ht="28.5" customHeight="1" x14ac:dyDescent="0.2">
      <c r="A38" s="131"/>
      <c r="B38" s="897"/>
      <c r="C38" s="12"/>
      <c r="D38" s="152"/>
      <c r="E38" s="1274"/>
      <c r="F38" s="1038"/>
      <c r="G38" s="201"/>
      <c r="H38" s="919"/>
      <c r="I38" s="272"/>
      <c r="J38" s="669"/>
      <c r="K38" s="670"/>
      <c r="L38" s="938"/>
      <c r="M38" s="475" t="s">
        <v>350</v>
      </c>
      <c r="N38" s="496">
        <v>2</v>
      </c>
      <c r="O38" s="994">
        <v>3</v>
      </c>
      <c r="P38" s="996">
        <v>2</v>
      </c>
      <c r="Q38" s="11"/>
      <c r="T38" s="14"/>
    </row>
    <row r="39" spans="1:21" s="1" customFormat="1" ht="18" customHeight="1" x14ac:dyDescent="0.2">
      <c r="A39" s="131"/>
      <c r="B39" s="897"/>
      <c r="C39" s="12"/>
      <c r="D39" s="152"/>
      <c r="E39" s="902"/>
      <c r="F39" s="1038"/>
      <c r="G39" s="201"/>
      <c r="H39" s="919"/>
      <c r="I39" s="272"/>
      <c r="J39" s="669"/>
      <c r="K39" s="670"/>
      <c r="L39" s="938"/>
      <c r="M39" s="475" t="s">
        <v>351</v>
      </c>
      <c r="N39" s="496">
        <v>2</v>
      </c>
      <c r="O39" s="994">
        <v>2</v>
      </c>
      <c r="P39" s="996">
        <v>2</v>
      </c>
      <c r="Q39" s="11"/>
      <c r="T39" s="14"/>
      <c r="U39" s="14"/>
    </row>
    <row r="40" spans="1:21" s="1" customFormat="1" ht="18" customHeight="1" x14ac:dyDescent="0.2">
      <c r="A40" s="131"/>
      <c r="B40" s="897"/>
      <c r="C40" s="12"/>
      <c r="D40" s="152"/>
      <c r="E40" s="902"/>
      <c r="F40" s="1038"/>
      <c r="G40" s="201"/>
      <c r="H40" s="919"/>
      <c r="I40" s="272"/>
      <c r="J40" s="669"/>
      <c r="K40" s="670"/>
      <c r="L40" s="938"/>
      <c r="M40" s="475" t="s">
        <v>352</v>
      </c>
      <c r="N40" s="496">
        <v>1</v>
      </c>
      <c r="O40" s="994"/>
      <c r="P40" s="996">
        <v>1</v>
      </c>
      <c r="Q40" s="11"/>
      <c r="T40" s="14"/>
      <c r="U40" s="14"/>
    </row>
    <row r="41" spans="1:21" s="1" customFormat="1" ht="17.25" customHeight="1" x14ac:dyDescent="0.2">
      <c r="A41" s="131"/>
      <c r="B41" s="897"/>
      <c r="C41" s="12"/>
      <c r="D41" s="152"/>
      <c r="E41" s="902"/>
      <c r="F41" s="1038"/>
      <c r="G41" s="201"/>
      <c r="H41" s="919"/>
      <c r="I41" s="272"/>
      <c r="J41" s="669"/>
      <c r="K41" s="670"/>
      <c r="L41" s="938"/>
      <c r="M41" s="475" t="s">
        <v>353</v>
      </c>
      <c r="N41" s="997"/>
      <c r="O41" s="994">
        <v>1</v>
      </c>
      <c r="P41" s="996"/>
      <c r="Q41" s="11"/>
      <c r="T41" s="14"/>
    </row>
    <row r="42" spans="1:21" s="1" customFormat="1" ht="27.75" customHeight="1" x14ac:dyDescent="0.2">
      <c r="A42" s="131"/>
      <c r="B42" s="897"/>
      <c r="C42" s="12"/>
      <c r="D42" s="152"/>
      <c r="E42" s="902"/>
      <c r="F42" s="1038"/>
      <c r="G42" s="201"/>
      <c r="H42" s="919"/>
      <c r="I42" s="272"/>
      <c r="J42" s="669"/>
      <c r="K42" s="670"/>
      <c r="L42" s="938"/>
      <c r="M42" s="475" t="s">
        <v>354</v>
      </c>
      <c r="N42" s="496"/>
      <c r="O42" s="994">
        <v>1</v>
      </c>
      <c r="P42" s="996"/>
      <c r="Q42" s="11"/>
      <c r="T42" s="14"/>
      <c r="U42" s="14"/>
    </row>
    <row r="43" spans="1:21" s="1" customFormat="1" ht="28.5" customHeight="1" x14ac:dyDescent="0.2">
      <c r="A43" s="131"/>
      <c r="B43" s="897"/>
      <c r="C43" s="12"/>
      <c r="D43" s="152"/>
      <c r="E43" s="902"/>
      <c r="F43" s="1038"/>
      <c r="G43" s="201"/>
      <c r="H43" s="919"/>
      <c r="I43" s="272"/>
      <c r="J43" s="669"/>
      <c r="K43" s="670"/>
      <c r="L43" s="938"/>
      <c r="M43" s="475" t="s">
        <v>355</v>
      </c>
      <c r="N43" s="496"/>
      <c r="O43" s="998"/>
      <c r="P43" s="995">
        <v>1</v>
      </c>
      <c r="Q43" s="11"/>
      <c r="T43" s="14"/>
    </row>
    <row r="44" spans="1:21" s="1" customFormat="1" ht="16.5" customHeight="1" x14ac:dyDescent="0.2">
      <c r="A44" s="131"/>
      <c r="B44" s="1194"/>
      <c r="C44" s="12"/>
      <c r="D44" s="453" t="s">
        <v>19</v>
      </c>
      <c r="E44" s="1273" t="s">
        <v>28</v>
      </c>
      <c r="F44" s="1038"/>
      <c r="G44" s="201">
        <v>11030301</v>
      </c>
      <c r="H44" s="1195"/>
      <c r="I44" s="272"/>
      <c r="J44" s="487"/>
      <c r="K44" s="260"/>
      <c r="L44" s="664"/>
      <c r="M44" s="544" t="s">
        <v>356</v>
      </c>
      <c r="N44" s="496">
        <v>4</v>
      </c>
      <c r="O44" s="496"/>
      <c r="P44" s="992"/>
      <c r="Q44" s="11"/>
      <c r="S44" s="14"/>
    </row>
    <row r="45" spans="1:21" s="1" customFormat="1" ht="15" customHeight="1" x14ac:dyDescent="0.2">
      <c r="A45" s="1170"/>
      <c r="B45" s="1171"/>
      <c r="C45" s="1172"/>
      <c r="D45" s="611"/>
      <c r="E45" s="1275"/>
      <c r="F45" s="1173"/>
      <c r="G45" s="1174"/>
      <c r="H45" s="1175"/>
      <c r="I45" s="186"/>
      <c r="J45" s="483"/>
      <c r="K45" s="841"/>
      <c r="L45" s="482"/>
      <c r="M45" s="544" t="s">
        <v>357</v>
      </c>
      <c r="N45" s="496"/>
      <c r="O45" s="496">
        <v>2</v>
      </c>
      <c r="P45" s="993"/>
      <c r="Q45" s="11"/>
      <c r="S45" s="14"/>
    </row>
    <row r="46" spans="1:21" s="1" customFormat="1" ht="30" customHeight="1" x14ac:dyDescent="0.2">
      <c r="A46" s="131"/>
      <c r="B46" s="897"/>
      <c r="C46" s="12"/>
      <c r="D46" s="152"/>
      <c r="E46" s="902"/>
      <c r="F46" s="1038"/>
      <c r="G46" s="201"/>
      <c r="H46" s="919"/>
      <c r="I46" s="272"/>
      <c r="J46" s="259"/>
      <c r="K46" s="260"/>
      <c r="L46" s="477"/>
      <c r="M46" s="544" t="s">
        <v>334</v>
      </c>
      <c r="N46" s="1167"/>
      <c r="O46" s="1168">
        <v>1</v>
      </c>
      <c r="P46" s="1169"/>
      <c r="Q46" s="11"/>
      <c r="S46" s="14"/>
    </row>
    <row r="47" spans="1:21" s="1" customFormat="1" ht="18" customHeight="1" x14ac:dyDescent="0.2">
      <c r="A47" s="131"/>
      <c r="B47" s="897"/>
      <c r="C47" s="12"/>
      <c r="D47" s="453" t="s">
        <v>21</v>
      </c>
      <c r="E47" s="1273" t="s">
        <v>29</v>
      </c>
      <c r="F47" s="1038"/>
      <c r="G47" s="202">
        <v>11030401</v>
      </c>
      <c r="H47" s="919"/>
      <c r="I47" s="272"/>
      <c r="J47" s="1010"/>
      <c r="K47" s="1011"/>
      <c r="L47" s="1012"/>
      <c r="M47" s="959" t="s">
        <v>356</v>
      </c>
      <c r="N47" s="1000">
        <v>1</v>
      </c>
      <c r="O47" s="496"/>
      <c r="P47" s="992"/>
      <c r="Q47" s="11"/>
      <c r="R47" s="14"/>
      <c r="T47" s="14"/>
      <c r="U47" s="14"/>
    </row>
    <row r="48" spans="1:21" s="1" customFormat="1" ht="16.5" customHeight="1" x14ac:dyDescent="0.2">
      <c r="A48" s="131"/>
      <c r="B48" s="897"/>
      <c r="C48" s="12"/>
      <c r="D48" s="152"/>
      <c r="E48" s="1275"/>
      <c r="F48" s="1038"/>
      <c r="G48" s="202"/>
      <c r="H48" s="919"/>
      <c r="I48" s="272"/>
      <c r="J48" s="259"/>
      <c r="K48" s="260"/>
      <c r="L48" s="477"/>
      <c r="M48" s="475" t="s">
        <v>358</v>
      </c>
      <c r="N48" s="1000">
        <v>1</v>
      </c>
      <c r="O48" s="496">
        <v>1</v>
      </c>
      <c r="P48" s="992"/>
      <c r="Q48" s="11"/>
      <c r="R48" s="14"/>
      <c r="T48" s="14"/>
      <c r="U48" s="14"/>
    </row>
    <row r="49" spans="1:24" s="1" customFormat="1" ht="29.25" customHeight="1" x14ac:dyDescent="0.2">
      <c r="A49" s="131"/>
      <c r="B49" s="897"/>
      <c r="C49" s="12"/>
      <c r="D49" s="453" t="s">
        <v>34</v>
      </c>
      <c r="E49" s="901" t="s">
        <v>30</v>
      </c>
      <c r="F49" s="1038"/>
      <c r="G49" s="202">
        <v>11030501</v>
      </c>
      <c r="H49" s="919"/>
      <c r="I49" s="272"/>
      <c r="J49" s="1013"/>
      <c r="K49" s="1011"/>
      <c r="L49" s="1014"/>
      <c r="M49" s="475"/>
      <c r="N49" s="999"/>
      <c r="O49" s="999"/>
      <c r="P49" s="1001"/>
      <c r="Q49" s="11"/>
      <c r="V49" s="14"/>
      <c r="X49" s="14"/>
    </row>
    <row r="50" spans="1:24" s="1" customFormat="1" ht="16.5" customHeight="1" x14ac:dyDescent="0.2">
      <c r="A50" s="131"/>
      <c r="B50" s="897"/>
      <c r="C50" s="12"/>
      <c r="D50" s="453" t="s">
        <v>63</v>
      </c>
      <c r="E50" s="1273" t="s">
        <v>77</v>
      </c>
      <c r="F50" s="1039"/>
      <c r="G50" s="202">
        <v>11030801</v>
      </c>
      <c r="H50" s="919"/>
      <c r="I50" s="272"/>
      <c r="J50" s="1010"/>
      <c r="K50" s="1011"/>
      <c r="L50" s="1012"/>
      <c r="M50" s="475" t="s">
        <v>357</v>
      </c>
      <c r="N50" s="1000">
        <v>4</v>
      </c>
      <c r="O50" s="500"/>
      <c r="P50" s="1003"/>
      <c r="Q50" s="11"/>
      <c r="R50" s="14"/>
      <c r="T50" s="14"/>
    </row>
    <row r="51" spans="1:24" s="1" customFormat="1" ht="15" customHeight="1" x14ac:dyDescent="0.2">
      <c r="A51" s="131"/>
      <c r="B51" s="897"/>
      <c r="C51" s="12"/>
      <c r="D51" s="152"/>
      <c r="E51" s="1274"/>
      <c r="F51" s="1038"/>
      <c r="G51" s="449"/>
      <c r="H51" s="919"/>
      <c r="I51" s="272"/>
      <c r="J51" s="259"/>
      <c r="K51" s="260"/>
      <c r="L51" s="477"/>
      <c r="M51" s="959" t="s">
        <v>359</v>
      </c>
      <c r="N51" s="1000">
        <v>2</v>
      </c>
      <c r="O51" s="1002"/>
      <c r="P51" s="992"/>
      <c r="Q51" s="11"/>
      <c r="R51" s="14"/>
    </row>
    <row r="52" spans="1:24" s="1" customFormat="1" ht="29.25" customHeight="1" x14ac:dyDescent="0.2">
      <c r="A52" s="131"/>
      <c r="B52" s="897"/>
      <c r="C52" s="12"/>
      <c r="D52" s="152"/>
      <c r="E52" s="902"/>
      <c r="F52" s="1038"/>
      <c r="G52" s="449"/>
      <c r="H52" s="919"/>
      <c r="I52" s="272"/>
      <c r="J52" s="233"/>
      <c r="K52" s="242"/>
      <c r="L52" s="533"/>
      <c r="M52" s="104" t="s">
        <v>360</v>
      </c>
      <c r="N52" s="994">
        <v>1</v>
      </c>
      <c r="O52" s="1004"/>
      <c r="P52" s="995"/>
      <c r="Q52" s="11"/>
      <c r="R52" s="14"/>
    </row>
    <row r="53" spans="1:24" s="1" customFormat="1" ht="15.75" customHeight="1" x14ac:dyDescent="0.2">
      <c r="A53" s="131"/>
      <c r="B53" s="897"/>
      <c r="C53" s="12"/>
      <c r="D53" s="453" t="s">
        <v>156</v>
      </c>
      <c r="E53" s="1313" t="s">
        <v>70</v>
      </c>
      <c r="F53" s="1278" t="s">
        <v>344</v>
      </c>
      <c r="G53" s="977">
        <v>11020101</v>
      </c>
      <c r="H53" s="919"/>
      <c r="I53" s="272"/>
      <c r="J53" s="1010"/>
      <c r="K53" s="1011"/>
      <c r="L53" s="1012"/>
      <c r="M53" s="959" t="s">
        <v>336</v>
      </c>
      <c r="N53" s="496">
        <v>13</v>
      </c>
      <c r="O53" s="496">
        <v>15</v>
      </c>
      <c r="P53" s="993">
        <v>16</v>
      </c>
      <c r="R53" s="14"/>
      <c r="S53" s="14"/>
      <c r="T53" s="14"/>
    </row>
    <row r="54" spans="1:24" s="1" customFormat="1" ht="15.75" customHeight="1" x14ac:dyDescent="0.2">
      <c r="A54" s="131"/>
      <c r="B54" s="897"/>
      <c r="C54" s="12"/>
      <c r="D54" s="152"/>
      <c r="E54" s="1282"/>
      <c r="F54" s="1278"/>
      <c r="G54" s="922"/>
      <c r="H54" s="919"/>
      <c r="I54" s="272"/>
      <c r="J54" s="233"/>
      <c r="K54" s="242"/>
      <c r="L54" s="533"/>
      <c r="M54" s="961" t="s">
        <v>357</v>
      </c>
      <c r="N54" s="496">
        <v>2</v>
      </c>
      <c r="O54" s="496"/>
      <c r="P54" s="1005"/>
      <c r="R54" s="14"/>
      <c r="S54" s="14"/>
    </row>
    <row r="55" spans="1:24" s="1" customFormat="1" ht="17.25" customHeight="1" x14ac:dyDescent="0.2">
      <c r="A55" s="131"/>
      <c r="B55" s="897"/>
      <c r="C55" s="12"/>
      <c r="D55" s="152"/>
      <c r="E55" s="926"/>
      <c r="F55" s="1278"/>
      <c r="G55" s="922"/>
      <c r="H55" s="919"/>
      <c r="I55" s="272"/>
      <c r="J55" s="233"/>
      <c r="K55" s="242"/>
      <c r="L55" s="533"/>
      <c r="M55" s="960" t="s">
        <v>338</v>
      </c>
      <c r="N55" s="496">
        <v>2</v>
      </c>
      <c r="O55" s="496"/>
      <c r="P55" s="1005"/>
      <c r="R55" s="14"/>
      <c r="S55" s="14"/>
      <c r="U55" s="14"/>
      <c r="W55" s="14"/>
    </row>
    <row r="56" spans="1:24" s="1" customFormat="1" ht="31.5" customHeight="1" x14ac:dyDescent="0.2">
      <c r="A56" s="131"/>
      <c r="B56" s="897"/>
      <c r="C56" s="12"/>
      <c r="D56" s="152"/>
      <c r="E56" s="926"/>
      <c r="F56" s="1278"/>
      <c r="G56" s="922"/>
      <c r="H56" s="919"/>
      <c r="I56" s="272"/>
      <c r="J56" s="233"/>
      <c r="K56" s="242"/>
      <c r="L56" s="533"/>
      <c r="M56" s="960" t="s">
        <v>361</v>
      </c>
      <c r="N56" s="496"/>
      <c r="O56" s="496">
        <v>1</v>
      </c>
      <c r="P56" s="1005"/>
      <c r="R56" s="14"/>
      <c r="S56" s="14"/>
      <c r="V56" s="14"/>
    </row>
    <row r="57" spans="1:24" s="1" customFormat="1" ht="29.25" customHeight="1" x14ac:dyDescent="0.2">
      <c r="A57" s="131"/>
      <c r="B57" s="897"/>
      <c r="C57" s="12"/>
      <c r="D57" s="450" t="s">
        <v>157</v>
      </c>
      <c r="E57" s="108" t="s">
        <v>123</v>
      </c>
      <c r="F57" s="1038"/>
      <c r="G57" s="201">
        <v>11020102</v>
      </c>
      <c r="H57" s="919"/>
      <c r="I57" s="13"/>
      <c r="J57" s="259"/>
      <c r="K57" s="260"/>
      <c r="L57" s="477"/>
      <c r="M57" s="958" t="s">
        <v>340</v>
      </c>
      <c r="N57" s="500">
        <v>4</v>
      </c>
      <c r="O57" s="496">
        <v>4</v>
      </c>
      <c r="P57" s="1006">
        <v>4</v>
      </c>
      <c r="R57" s="14"/>
      <c r="S57" s="14"/>
    </row>
    <row r="58" spans="1:24" s="1" customFormat="1" ht="29.25" customHeight="1" x14ac:dyDescent="0.2">
      <c r="A58" s="131"/>
      <c r="B58" s="897"/>
      <c r="C58" s="12"/>
      <c r="D58" s="152" t="s">
        <v>158</v>
      </c>
      <c r="E58" s="1313" t="s">
        <v>74</v>
      </c>
      <c r="F58" s="1038"/>
      <c r="G58" s="1315">
        <v>11031001</v>
      </c>
      <c r="H58" s="441"/>
      <c r="I58" s="68"/>
      <c r="J58" s="259"/>
      <c r="K58" s="260"/>
      <c r="L58" s="477"/>
      <c r="M58" s="962" t="s">
        <v>121</v>
      </c>
      <c r="N58" s="1007">
        <v>6</v>
      </c>
      <c r="O58" s="1008">
        <v>6</v>
      </c>
      <c r="P58" s="991">
        <v>6</v>
      </c>
      <c r="R58" s="14"/>
      <c r="S58" s="14"/>
      <c r="T58" s="14"/>
      <c r="U58" s="14"/>
    </row>
    <row r="59" spans="1:24" s="1" customFormat="1" ht="15.75" customHeight="1" thickBot="1" x14ac:dyDescent="0.25">
      <c r="A59" s="132"/>
      <c r="B59" s="898"/>
      <c r="C59" s="15"/>
      <c r="D59" s="452"/>
      <c r="E59" s="1314"/>
      <c r="F59" s="1040"/>
      <c r="G59" s="1316"/>
      <c r="H59" s="442"/>
      <c r="I59" s="16" t="s">
        <v>18</v>
      </c>
      <c r="J59" s="234">
        <f>SUM(J31:J58)</f>
        <v>5133.6000000000004</v>
      </c>
      <c r="K59" s="243">
        <f>SUM(K31:K58)</f>
        <v>5182.5</v>
      </c>
      <c r="L59" s="502">
        <f>SUM(L31:L58)</f>
        <v>5144.6000000000004</v>
      </c>
      <c r="M59" s="963"/>
      <c r="N59" s="558"/>
      <c r="O59" s="297"/>
      <c r="P59" s="298"/>
      <c r="Q59" s="11"/>
    </row>
    <row r="60" spans="1:24" s="1" customFormat="1" ht="17.25" customHeight="1" x14ac:dyDescent="0.2">
      <c r="A60" s="133" t="s">
        <v>13</v>
      </c>
      <c r="B60" s="896" t="s">
        <v>19</v>
      </c>
      <c r="C60" s="10" t="s">
        <v>19</v>
      </c>
      <c r="D60" s="451"/>
      <c r="E60" s="1317" t="s">
        <v>324</v>
      </c>
      <c r="F60" s="179"/>
      <c r="G60" s="194"/>
      <c r="H60" s="443" t="s">
        <v>16</v>
      </c>
      <c r="I60" s="17" t="s">
        <v>17</v>
      </c>
      <c r="J60" s="235">
        <v>670.4</v>
      </c>
      <c r="K60" s="244">
        <f>712.8-42.4</f>
        <v>670.4</v>
      </c>
      <c r="L60" s="503">
        <f>727.8-57.4</f>
        <v>670.4</v>
      </c>
      <c r="M60" s="18" t="s">
        <v>325</v>
      </c>
      <c r="N60" s="300">
        <v>100</v>
      </c>
      <c r="O60" s="300">
        <v>110</v>
      </c>
      <c r="P60" s="301">
        <v>115</v>
      </c>
      <c r="R60" s="14"/>
      <c r="S60" s="14"/>
    </row>
    <row r="61" spans="1:24" s="1" customFormat="1" ht="17.25" customHeight="1" x14ac:dyDescent="0.2">
      <c r="A61" s="134"/>
      <c r="B61" s="897"/>
      <c r="C61" s="12"/>
      <c r="D61" s="152"/>
      <c r="E61" s="1318"/>
      <c r="F61" s="180"/>
      <c r="G61" s="195"/>
      <c r="H61" s="444"/>
      <c r="I61" s="44" t="s">
        <v>43</v>
      </c>
      <c r="J61" s="215">
        <v>18.600000000000001</v>
      </c>
      <c r="K61" s="225">
        <v>18.600000000000001</v>
      </c>
      <c r="L61" s="220">
        <v>18.600000000000001</v>
      </c>
      <c r="M61" s="964"/>
      <c r="N61" s="384"/>
      <c r="O61" s="324"/>
      <c r="P61" s="325"/>
      <c r="R61" s="14"/>
    </row>
    <row r="62" spans="1:24" s="1" customFormat="1" ht="30.75" customHeight="1" x14ac:dyDescent="0.2">
      <c r="A62" s="135"/>
      <c r="B62" s="86"/>
      <c r="C62" s="19"/>
      <c r="D62" s="453" t="s">
        <v>13</v>
      </c>
      <c r="E62" s="497" t="s">
        <v>32</v>
      </c>
      <c r="F62" s="180"/>
      <c r="G62" s="912">
        <v>11030608</v>
      </c>
      <c r="H62" s="445"/>
      <c r="I62" s="13"/>
      <c r="J62" s="259"/>
      <c r="K62" s="260"/>
      <c r="L62" s="477"/>
      <c r="M62" s="958" t="s">
        <v>113</v>
      </c>
      <c r="N62" s="596">
        <v>210</v>
      </c>
      <c r="O62" s="294">
        <v>210</v>
      </c>
      <c r="P62" s="295">
        <v>210</v>
      </c>
      <c r="T62" s="14"/>
      <c r="V62" s="14"/>
    </row>
    <row r="63" spans="1:24" s="1" customFormat="1" ht="30" customHeight="1" x14ac:dyDescent="0.2">
      <c r="A63" s="134"/>
      <c r="B63" s="897"/>
      <c r="C63" s="12"/>
      <c r="D63" s="453" t="s">
        <v>19</v>
      </c>
      <c r="E63" s="20" t="s">
        <v>195</v>
      </c>
      <c r="F63" s="180"/>
      <c r="G63" s="208">
        <v>1102020101</v>
      </c>
      <c r="H63" s="444"/>
      <c r="I63" s="13"/>
      <c r="J63" s="233"/>
      <c r="K63" s="242"/>
      <c r="L63" s="533"/>
      <c r="M63" s="965" t="s">
        <v>112</v>
      </c>
      <c r="N63" s="434">
        <v>40</v>
      </c>
      <c r="O63" s="319">
        <v>40</v>
      </c>
      <c r="P63" s="939">
        <v>40</v>
      </c>
      <c r="R63" s="14"/>
      <c r="S63" s="14" t="s">
        <v>67</v>
      </c>
      <c r="T63" s="14"/>
    </row>
    <row r="64" spans="1:24" s="1" customFormat="1" ht="30" customHeight="1" x14ac:dyDescent="0.2">
      <c r="A64" s="134"/>
      <c r="B64" s="897"/>
      <c r="C64" s="12"/>
      <c r="D64" s="450" t="s">
        <v>21</v>
      </c>
      <c r="E64" s="497" t="s">
        <v>196</v>
      </c>
      <c r="F64" s="180"/>
      <c r="G64" s="617"/>
      <c r="H64" s="444"/>
      <c r="I64" s="13"/>
      <c r="J64" s="233"/>
      <c r="K64" s="242"/>
      <c r="L64" s="533"/>
      <c r="M64" s="965" t="s">
        <v>112</v>
      </c>
      <c r="N64" s="435">
        <v>30</v>
      </c>
      <c r="O64" s="294">
        <v>30</v>
      </c>
      <c r="P64" s="292">
        <v>30</v>
      </c>
      <c r="R64" s="14"/>
      <c r="S64" s="14"/>
      <c r="T64" s="14"/>
      <c r="U64" s="14"/>
    </row>
    <row r="65" spans="1:22" s="1" customFormat="1" ht="30" customHeight="1" x14ac:dyDescent="0.2">
      <c r="A65" s="134"/>
      <c r="B65" s="897"/>
      <c r="C65" s="12"/>
      <c r="D65" s="453" t="s">
        <v>34</v>
      </c>
      <c r="E65" s="497" t="s">
        <v>197</v>
      </c>
      <c r="F65" s="181"/>
      <c r="G65" s="912">
        <v>11020204</v>
      </c>
      <c r="H65" s="444"/>
      <c r="I65" s="13"/>
      <c r="J65" s="509"/>
      <c r="K65" s="260"/>
      <c r="L65" s="477"/>
      <c r="M65" s="957" t="s">
        <v>341</v>
      </c>
      <c r="N65" s="435">
        <v>11</v>
      </c>
      <c r="O65" s="294">
        <v>12</v>
      </c>
      <c r="P65" s="295">
        <v>13</v>
      </c>
      <c r="S65" s="14"/>
      <c r="U65" s="14"/>
    </row>
    <row r="66" spans="1:22" s="1" customFormat="1" ht="15.75" customHeight="1" x14ac:dyDescent="0.2">
      <c r="A66" s="134"/>
      <c r="B66" s="897"/>
      <c r="C66" s="12"/>
      <c r="D66" s="453" t="s">
        <v>63</v>
      </c>
      <c r="E66" s="1379" t="s">
        <v>33</v>
      </c>
      <c r="F66" s="181"/>
      <c r="G66" s="905">
        <v>11020202</v>
      </c>
      <c r="H66" s="444"/>
      <c r="I66" s="60"/>
      <c r="J66" s="233"/>
      <c r="K66" s="260"/>
      <c r="L66" s="477"/>
      <c r="M66" s="1279" t="s">
        <v>342</v>
      </c>
      <c r="N66" s="435">
        <v>313</v>
      </c>
      <c r="O66" s="294">
        <v>320</v>
      </c>
      <c r="P66" s="295">
        <v>320</v>
      </c>
      <c r="S66" s="14"/>
    </row>
    <row r="67" spans="1:22" s="1" customFormat="1" ht="15.75" customHeight="1" thickBot="1" x14ac:dyDescent="0.25">
      <c r="A67" s="136"/>
      <c r="B67" s="898"/>
      <c r="C67" s="15"/>
      <c r="D67" s="452"/>
      <c r="E67" s="1308"/>
      <c r="F67" s="1041"/>
      <c r="G67" s="913"/>
      <c r="H67" s="446"/>
      <c r="I67" s="59" t="s">
        <v>18</v>
      </c>
      <c r="J67" s="512">
        <f>SUM(J60:J66)</f>
        <v>689</v>
      </c>
      <c r="K67" s="513">
        <f>SUM(K60:K66)</f>
        <v>689</v>
      </c>
      <c r="L67" s="373">
        <f>SUM(L60:L66)</f>
        <v>689</v>
      </c>
      <c r="M67" s="1216"/>
      <c r="N67" s="558"/>
      <c r="O67" s="297"/>
      <c r="P67" s="298"/>
      <c r="S67" s="14"/>
      <c r="T67" s="14"/>
    </row>
    <row r="68" spans="1:22" s="1" customFormat="1" ht="27" customHeight="1" x14ac:dyDescent="0.2">
      <c r="A68" s="137" t="s">
        <v>13</v>
      </c>
      <c r="B68" s="896" t="s">
        <v>19</v>
      </c>
      <c r="C68" s="899" t="s">
        <v>21</v>
      </c>
      <c r="D68" s="451"/>
      <c r="E68" s="1304" t="s">
        <v>198</v>
      </c>
      <c r="F68" s="1042"/>
      <c r="G68" s="1311">
        <v>11020205</v>
      </c>
      <c r="H68" s="443" t="s">
        <v>16</v>
      </c>
      <c r="I68" s="6" t="s">
        <v>17</v>
      </c>
      <c r="J68" s="238">
        <v>583.79999999999995</v>
      </c>
      <c r="K68" s="247">
        <v>600</v>
      </c>
      <c r="L68" s="372">
        <v>604</v>
      </c>
      <c r="M68" s="1295" t="s">
        <v>223</v>
      </c>
      <c r="N68" s="847">
        <v>2.9</v>
      </c>
      <c r="O68" s="848">
        <v>3</v>
      </c>
      <c r="P68" s="849">
        <v>3</v>
      </c>
    </row>
    <row r="69" spans="1:22" s="1" customFormat="1" ht="15.75" customHeight="1" thickBot="1" x14ac:dyDescent="0.25">
      <c r="A69" s="139"/>
      <c r="B69" s="898"/>
      <c r="C69" s="931"/>
      <c r="D69" s="452"/>
      <c r="E69" s="1308"/>
      <c r="F69" s="1043"/>
      <c r="G69" s="1312"/>
      <c r="H69" s="446"/>
      <c r="I69" s="925" t="s">
        <v>18</v>
      </c>
      <c r="J69" s="237">
        <f t="shared" ref="J69:L69" si="2">+J68</f>
        <v>583.79999999999995</v>
      </c>
      <c r="K69" s="226">
        <f t="shared" si="2"/>
        <v>600</v>
      </c>
      <c r="L69" s="218">
        <f t="shared" si="2"/>
        <v>604</v>
      </c>
      <c r="M69" s="1280"/>
      <c r="N69" s="558"/>
      <c r="O69" s="297"/>
      <c r="P69" s="298"/>
    </row>
    <row r="70" spans="1:22" s="621" customFormat="1" ht="17.25" customHeight="1" x14ac:dyDescent="0.2">
      <c r="A70" s="138" t="s">
        <v>13</v>
      </c>
      <c r="B70" s="897" t="s">
        <v>19</v>
      </c>
      <c r="C70" s="900" t="s">
        <v>34</v>
      </c>
      <c r="D70" s="152"/>
      <c r="E70" s="1304" t="s">
        <v>199</v>
      </c>
      <c r="F70" s="1044"/>
      <c r="G70" s="1306">
        <v>11020406</v>
      </c>
      <c r="H70" s="918">
        <v>2</v>
      </c>
      <c r="I70" s="625" t="s">
        <v>17</v>
      </c>
      <c r="J70" s="238">
        <f>156.5-63.5</f>
        <v>93</v>
      </c>
      <c r="K70" s="247">
        <v>156.5</v>
      </c>
      <c r="L70" s="426">
        <v>156.5</v>
      </c>
      <c r="M70" s="1295" t="s">
        <v>200</v>
      </c>
      <c r="N70" s="518">
        <v>2019</v>
      </c>
      <c r="O70" s="311">
        <v>2058</v>
      </c>
      <c r="P70" s="312">
        <v>2060</v>
      </c>
      <c r="Q70" s="620"/>
      <c r="U70" s="622"/>
      <c r="V70" s="620"/>
    </row>
    <row r="71" spans="1:22" s="621" customFormat="1" ht="15.75" customHeight="1" thickBot="1" x14ac:dyDescent="0.25">
      <c r="A71" s="138"/>
      <c r="B71" s="897"/>
      <c r="C71" s="900"/>
      <c r="D71" s="152"/>
      <c r="E71" s="1305"/>
      <c r="F71" s="1045"/>
      <c r="G71" s="1307"/>
      <c r="H71" s="920"/>
      <c r="I71" s="923" t="s">
        <v>18</v>
      </c>
      <c r="J71" s="490">
        <f>+J70</f>
        <v>93</v>
      </c>
      <c r="K71" s="489">
        <f>+K70</f>
        <v>156.5</v>
      </c>
      <c r="L71" s="491">
        <f>+L70</f>
        <v>156.5</v>
      </c>
      <c r="M71" s="1280"/>
      <c r="N71" s="518"/>
      <c r="O71" s="311"/>
      <c r="P71" s="312"/>
      <c r="U71" s="622"/>
      <c r="V71" s="620"/>
    </row>
    <row r="72" spans="1:22" s="621" customFormat="1" ht="21" customHeight="1" x14ac:dyDescent="0.2">
      <c r="A72" s="137" t="s">
        <v>13</v>
      </c>
      <c r="B72" s="896" t="s">
        <v>19</v>
      </c>
      <c r="C72" s="899" t="s">
        <v>63</v>
      </c>
      <c r="D72" s="451"/>
      <c r="E72" s="1304" t="s">
        <v>201</v>
      </c>
      <c r="F72" s="1046"/>
      <c r="G72" s="1309">
        <v>11020205</v>
      </c>
      <c r="H72" s="918" t="s">
        <v>16</v>
      </c>
      <c r="I72" s="625" t="s">
        <v>17</v>
      </c>
      <c r="J72" s="238">
        <v>5.4</v>
      </c>
      <c r="K72" s="247">
        <v>5.4</v>
      </c>
      <c r="L72" s="372">
        <v>5.4</v>
      </c>
      <c r="M72" s="966" t="s">
        <v>202</v>
      </c>
      <c r="N72" s="351">
        <v>18</v>
      </c>
      <c r="O72" s="309">
        <v>18</v>
      </c>
      <c r="P72" s="175">
        <v>18</v>
      </c>
      <c r="Q72" s="620"/>
      <c r="S72" s="846"/>
      <c r="V72" s="620"/>
    </row>
    <row r="73" spans="1:22" s="621" customFormat="1" ht="18" customHeight="1" thickBot="1" x14ac:dyDescent="0.25">
      <c r="A73" s="139"/>
      <c r="B73" s="898"/>
      <c r="C73" s="931"/>
      <c r="D73" s="452"/>
      <c r="E73" s="1308"/>
      <c r="F73" s="1047"/>
      <c r="G73" s="1310"/>
      <c r="H73" s="920"/>
      <c r="I73" s="628" t="s">
        <v>18</v>
      </c>
      <c r="J73" s="216">
        <f>+J72</f>
        <v>5.4</v>
      </c>
      <c r="K73" s="226">
        <f>+K72</f>
        <v>5.4</v>
      </c>
      <c r="L73" s="379">
        <f>+L72</f>
        <v>5.4</v>
      </c>
      <c r="M73" s="967" t="s">
        <v>203</v>
      </c>
      <c r="N73" s="969">
        <v>120</v>
      </c>
      <c r="O73" s="632">
        <v>130</v>
      </c>
      <c r="P73" s="633">
        <v>140</v>
      </c>
      <c r="V73" s="620"/>
    </row>
    <row r="74" spans="1:22" s="621" customFormat="1" ht="27" customHeight="1" x14ac:dyDescent="0.2">
      <c r="A74" s="137" t="s">
        <v>13</v>
      </c>
      <c r="B74" s="896" t="s">
        <v>19</v>
      </c>
      <c r="C74" s="899" t="s">
        <v>156</v>
      </c>
      <c r="D74" s="451"/>
      <c r="E74" s="1304" t="s">
        <v>165</v>
      </c>
      <c r="F74" s="1046"/>
      <c r="G74" s="1309">
        <v>11020205</v>
      </c>
      <c r="H74" s="918">
        <v>1</v>
      </c>
      <c r="I74" s="625" t="s">
        <v>17</v>
      </c>
      <c r="J74" s="281">
        <v>12.6</v>
      </c>
      <c r="K74" s="376">
        <v>30</v>
      </c>
      <c r="L74" s="372">
        <v>30</v>
      </c>
      <c r="M74" s="968" t="s">
        <v>318</v>
      </c>
      <c r="N74" s="954">
        <v>100</v>
      </c>
      <c r="O74" s="300">
        <v>100</v>
      </c>
      <c r="P74" s="955">
        <v>100</v>
      </c>
      <c r="Q74" s="620"/>
      <c r="V74" s="620"/>
    </row>
    <row r="75" spans="1:22" s="621" customFormat="1" ht="18" customHeight="1" thickBot="1" x14ac:dyDescent="0.25">
      <c r="A75" s="139"/>
      <c r="B75" s="898"/>
      <c r="C75" s="931"/>
      <c r="D75" s="452"/>
      <c r="E75" s="1308"/>
      <c r="F75" s="1047"/>
      <c r="G75" s="1310"/>
      <c r="H75" s="920"/>
      <c r="I75" s="628" t="s">
        <v>18</v>
      </c>
      <c r="J75" s="211">
        <f>+J74</f>
        <v>12.6</v>
      </c>
      <c r="K75" s="222">
        <f>+K74</f>
        <v>30</v>
      </c>
      <c r="L75" s="379">
        <f>+L74</f>
        <v>30</v>
      </c>
      <c r="M75" s="963"/>
      <c r="N75" s="317"/>
      <c r="O75" s="297"/>
      <c r="P75" s="956"/>
      <c r="V75" s="620"/>
    </row>
    <row r="76" spans="1:22" s="1" customFormat="1" ht="15.75" customHeight="1" x14ac:dyDescent="0.2">
      <c r="A76" s="137" t="s">
        <v>13</v>
      </c>
      <c r="B76" s="896" t="s">
        <v>19</v>
      </c>
      <c r="C76" s="899" t="s">
        <v>157</v>
      </c>
      <c r="D76" s="152"/>
      <c r="E76" s="1327" t="s">
        <v>124</v>
      </c>
      <c r="F76" s="1048"/>
      <c r="G76" s="1329">
        <v>11020406</v>
      </c>
      <c r="H76" s="448">
        <v>2</v>
      </c>
      <c r="I76" s="44" t="s">
        <v>79</v>
      </c>
      <c r="J76" s="239">
        <v>17.7</v>
      </c>
      <c r="K76" s="248"/>
      <c r="L76" s="231"/>
      <c r="M76" s="1279" t="s">
        <v>122</v>
      </c>
      <c r="N76" s="435">
        <v>2</v>
      </c>
      <c r="O76" s="294"/>
      <c r="P76" s="295"/>
    </row>
    <row r="77" spans="1:22" s="1" customFormat="1" ht="15.75" customHeight="1" thickBot="1" x14ac:dyDescent="0.25">
      <c r="A77" s="139"/>
      <c r="B77" s="898"/>
      <c r="C77" s="931"/>
      <c r="D77" s="452"/>
      <c r="E77" s="1328"/>
      <c r="F77" s="1043"/>
      <c r="G77" s="1330"/>
      <c r="H77" s="446"/>
      <c r="I77" s="59" t="s">
        <v>18</v>
      </c>
      <c r="J77" s="237">
        <f>SUM(J76:J76)</f>
        <v>17.7</v>
      </c>
      <c r="K77" s="246"/>
      <c r="L77" s="516"/>
      <c r="M77" s="1280"/>
      <c r="N77" s="558"/>
      <c r="O77" s="297"/>
      <c r="P77" s="298"/>
    </row>
    <row r="78" spans="1:22" s="1" customFormat="1" ht="13.5" thickBot="1" x14ac:dyDescent="0.25">
      <c r="A78" s="893" t="s">
        <v>13</v>
      </c>
      <c r="B78" s="898" t="s">
        <v>19</v>
      </c>
      <c r="C78" s="1323" t="s">
        <v>22</v>
      </c>
      <c r="D78" s="1323"/>
      <c r="E78" s="1323"/>
      <c r="F78" s="1323"/>
      <c r="G78" s="1323"/>
      <c r="H78" s="1323"/>
      <c r="I78" s="1323"/>
      <c r="J78" s="240">
        <f>+J77+J69+J67+J59+J71+J73+J75</f>
        <v>6535.1</v>
      </c>
      <c r="K78" s="227">
        <f>+K77+K69+K67+K59+K71+K73+K75</f>
        <v>6663.4</v>
      </c>
      <c r="L78" s="494">
        <f>+L77+L69+L67+L59+L71+L73+L75</f>
        <v>6629.5</v>
      </c>
      <c r="M78" s="1324"/>
      <c r="N78" s="1325"/>
      <c r="O78" s="1325"/>
      <c r="P78" s="1326"/>
      <c r="T78" s="14"/>
    </row>
    <row r="79" spans="1:22" s="1" customFormat="1" ht="15.75" customHeight="1" thickBot="1" x14ac:dyDescent="0.25">
      <c r="A79" s="140" t="s">
        <v>13</v>
      </c>
      <c r="B79" s="24" t="s">
        <v>21</v>
      </c>
      <c r="C79" s="1284" t="s">
        <v>35</v>
      </c>
      <c r="D79" s="1284"/>
      <c r="E79" s="1284"/>
      <c r="F79" s="1284"/>
      <c r="G79" s="1319"/>
      <c r="H79" s="1319"/>
      <c r="I79" s="1319"/>
      <c r="J79" s="1319"/>
      <c r="K79" s="1319"/>
      <c r="L79" s="1319"/>
      <c r="M79" s="1284"/>
      <c r="N79" s="1284"/>
      <c r="O79" s="1284"/>
      <c r="P79" s="1285"/>
      <c r="T79" s="14"/>
    </row>
    <row r="80" spans="1:22" s="621" customFormat="1" ht="27" customHeight="1" x14ac:dyDescent="0.2">
      <c r="A80" s="133" t="s">
        <v>13</v>
      </c>
      <c r="B80" s="1265" t="s">
        <v>21</v>
      </c>
      <c r="C80" s="1320" t="s">
        <v>13</v>
      </c>
      <c r="D80" s="911"/>
      <c r="E80" s="1304" t="s">
        <v>204</v>
      </c>
      <c r="F80" s="672"/>
      <c r="G80" s="673"/>
      <c r="H80" s="634">
        <v>2</v>
      </c>
      <c r="I80" s="942" t="s">
        <v>17</v>
      </c>
      <c r="J80" s="372">
        <v>18</v>
      </c>
      <c r="K80" s="636"/>
      <c r="L80" s="637"/>
      <c r="M80" s="638" t="s">
        <v>362</v>
      </c>
      <c r="N80" s="954">
        <v>1</v>
      </c>
      <c r="O80" s="341"/>
      <c r="P80" s="342"/>
      <c r="Q80" s="620"/>
    </row>
    <row r="81" spans="1:24" s="621" customFormat="1" ht="16.5" customHeight="1" thickBot="1" x14ac:dyDescent="0.25">
      <c r="A81" s="136"/>
      <c r="B81" s="1267"/>
      <c r="C81" s="1321"/>
      <c r="D81" s="911"/>
      <c r="E81" s="1308"/>
      <c r="F81" s="676"/>
      <c r="G81" s="677"/>
      <c r="H81" s="678"/>
      <c r="I81" s="943" t="s">
        <v>18</v>
      </c>
      <c r="J81" s="639">
        <f>+J80</f>
        <v>18</v>
      </c>
      <c r="K81" s="243"/>
      <c r="L81" s="501"/>
      <c r="M81" s="679"/>
      <c r="N81" s="437"/>
      <c r="O81" s="317"/>
      <c r="P81" s="318"/>
      <c r="Q81" s="620"/>
    </row>
    <row r="82" spans="1:24" s="1" customFormat="1" ht="15.75" customHeight="1" x14ac:dyDescent="0.2">
      <c r="A82" s="141" t="s">
        <v>13</v>
      </c>
      <c r="B82" s="88" t="s">
        <v>21</v>
      </c>
      <c r="C82" s="25" t="s">
        <v>19</v>
      </c>
      <c r="D82" s="454"/>
      <c r="E82" s="1317" t="s">
        <v>39</v>
      </c>
      <c r="F82" s="1049"/>
      <c r="G82" s="204"/>
      <c r="H82" s="57"/>
      <c r="I82" s="1016" t="s">
        <v>17</v>
      </c>
      <c r="J82" s="372">
        <v>793.9</v>
      </c>
      <c r="K82" s="376">
        <v>500</v>
      </c>
      <c r="L82" s="661">
        <v>4500</v>
      </c>
      <c r="M82" s="262"/>
      <c r="N82" s="974"/>
      <c r="O82" s="329"/>
      <c r="P82" s="330"/>
      <c r="Q82" s="72"/>
      <c r="R82" s="72"/>
      <c r="S82" s="72"/>
      <c r="U82" s="14"/>
      <c r="V82" s="1059"/>
      <c r="W82" s="14"/>
    </row>
    <row r="83" spans="1:24" s="1" customFormat="1" ht="15.75" customHeight="1" x14ac:dyDescent="0.2">
      <c r="A83" s="142"/>
      <c r="B83" s="1064"/>
      <c r="C83" s="1063"/>
      <c r="D83" s="1062"/>
      <c r="E83" s="1322"/>
      <c r="F83" s="1050"/>
      <c r="G83" s="205"/>
      <c r="H83" s="124"/>
      <c r="I83" s="944" t="s">
        <v>225</v>
      </c>
      <c r="J83" s="427">
        <v>1500</v>
      </c>
      <c r="K83" s="248">
        <v>1913.5</v>
      </c>
      <c r="L83" s="723"/>
      <c r="M83" s="263"/>
      <c r="N83" s="975"/>
      <c r="O83" s="363"/>
      <c r="P83" s="364"/>
      <c r="Q83" s="72"/>
      <c r="R83" s="72"/>
      <c r="S83" s="72"/>
      <c r="U83" s="14"/>
      <c r="V83" s="1059"/>
      <c r="W83" s="14"/>
    </row>
    <row r="84" spans="1:24" s="1" customFormat="1" ht="15.75" customHeight="1" x14ac:dyDescent="0.2">
      <c r="A84" s="142"/>
      <c r="B84" s="930"/>
      <c r="C84" s="921"/>
      <c r="D84" s="911"/>
      <c r="E84" s="1322"/>
      <c r="F84" s="1050"/>
      <c r="G84" s="205"/>
      <c r="H84" s="124"/>
      <c r="I84" s="944" t="s">
        <v>79</v>
      </c>
      <c r="J84" s="427">
        <v>544.79999999999995</v>
      </c>
      <c r="K84" s="248"/>
      <c r="L84" s="723"/>
      <c r="M84" s="263"/>
      <c r="N84" s="975"/>
      <c r="O84" s="363"/>
      <c r="P84" s="364"/>
      <c r="Q84" s="72"/>
      <c r="R84" s="72"/>
      <c r="S84" s="72"/>
    </row>
    <row r="85" spans="1:24" s="1" customFormat="1" ht="15.75" customHeight="1" x14ac:dyDescent="0.2">
      <c r="A85" s="142"/>
      <c r="B85" s="1187"/>
      <c r="C85" s="1186"/>
      <c r="D85" s="1185"/>
      <c r="E85" s="1183"/>
      <c r="F85" s="1050"/>
      <c r="G85" s="205"/>
      <c r="H85" s="124"/>
      <c r="I85" s="1188" t="s">
        <v>37</v>
      </c>
      <c r="J85" s="721">
        <v>51.5</v>
      </c>
      <c r="K85" s="1189">
        <v>54.9</v>
      </c>
      <c r="L85" s="1015"/>
      <c r="M85" s="263"/>
      <c r="N85" s="975"/>
      <c r="O85" s="363"/>
      <c r="P85" s="364"/>
      <c r="Q85" s="72"/>
      <c r="R85" s="72"/>
      <c r="S85" s="72"/>
    </row>
    <row r="86" spans="1:24" s="1" customFormat="1" ht="15.75" customHeight="1" x14ac:dyDescent="0.2">
      <c r="A86" s="142"/>
      <c r="B86" s="1187"/>
      <c r="C86" s="1186"/>
      <c r="D86" s="1185"/>
      <c r="E86" s="1183"/>
      <c r="F86" s="1050"/>
      <c r="G86" s="205"/>
      <c r="H86" s="124"/>
      <c r="I86" s="1188" t="s">
        <v>81</v>
      </c>
      <c r="J86" s="721">
        <v>583.20000000000005</v>
      </c>
      <c r="K86" s="1189">
        <v>621.70000000000005</v>
      </c>
      <c r="L86" s="540"/>
      <c r="M86" s="263"/>
      <c r="N86" s="975"/>
      <c r="O86" s="363"/>
      <c r="P86" s="364"/>
      <c r="Q86" s="72"/>
      <c r="R86" s="72"/>
      <c r="S86" s="72"/>
    </row>
    <row r="87" spans="1:24" s="1" customFormat="1" ht="15.75" customHeight="1" x14ac:dyDescent="0.2">
      <c r="A87" s="142"/>
      <c r="B87" s="985"/>
      <c r="C87" s="978"/>
      <c r="D87" s="979"/>
      <c r="E87" s="980"/>
      <c r="F87" s="1050"/>
      <c r="G87" s="205"/>
      <c r="H87" s="124"/>
      <c r="I87" s="1190" t="s">
        <v>43</v>
      </c>
      <c r="J87" s="402">
        <f>151.5-51.5</f>
        <v>100</v>
      </c>
      <c r="K87" s="539">
        <f>1172-54.9</f>
        <v>1117.0999999999999</v>
      </c>
      <c r="L87" s="1015">
        <v>716.5</v>
      </c>
      <c r="M87" s="263"/>
      <c r="N87" s="975"/>
      <c r="O87" s="363"/>
      <c r="P87" s="364"/>
      <c r="Q87" s="72"/>
      <c r="R87" s="72"/>
      <c r="S87" s="72"/>
    </row>
    <row r="88" spans="1:24" s="1" customFormat="1" ht="29.25" customHeight="1" x14ac:dyDescent="0.2">
      <c r="A88" s="138"/>
      <c r="B88" s="897"/>
      <c r="C88" s="921"/>
      <c r="D88" s="910" t="s">
        <v>13</v>
      </c>
      <c r="E88" s="909" t="s">
        <v>88</v>
      </c>
      <c r="F88" s="125" t="s">
        <v>36</v>
      </c>
      <c r="G88" s="1329">
        <v>1101012101</v>
      </c>
      <c r="H88" s="27"/>
      <c r="I88" s="945"/>
      <c r="J88" s="941"/>
      <c r="K88" s="524"/>
      <c r="L88" s="525"/>
      <c r="M88" s="1017"/>
      <c r="N88" s="534"/>
      <c r="O88" s="535"/>
      <c r="P88" s="536"/>
      <c r="Q88" s="112"/>
      <c r="R88" s="95"/>
      <c r="S88" s="113"/>
      <c r="T88" s="159"/>
      <c r="U88" s="160"/>
      <c r="V88" s="113"/>
      <c r="W88" s="113"/>
    </row>
    <row r="89" spans="1:24" s="1" customFormat="1" ht="17.25" customHeight="1" x14ac:dyDescent="0.2">
      <c r="A89" s="138"/>
      <c r="B89" s="897"/>
      <c r="C89" s="921"/>
      <c r="D89" s="911"/>
      <c r="E89" s="106" t="s">
        <v>86</v>
      </c>
      <c r="F89" s="1342" t="s">
        <v>42</v>
      </c>
      <c r="G89" s="1341"/>
      <c r="H89" s="27"/>
      <c r="I89" s="945"/>
      <c r="J89" s="941"/>
      <c r="K89" s="1018"/>
      <c r="L89" s="525"/>
      <c r="M89" s="265" t="s">
        <v>40</v>
      </c>
      <c r="N89" s="334">
        <v>50</v>
      </c>
      <c r="O89" s="333">
        <v>100</v>
      </c>
      <c r="P89" s="278"/>
      <c r="R89" s="114"/>
      <c r="S89" s="313"/>
      <c r="T89" s="519"/>
      <c r="U89" s="839"/>
      <c r="V89" s="113"/>
      <c r="W89" s="113"/>
    </row>
    <row r="90" spans="1:24" s="1" customFormat="1" ht="17.25" customHeight="1" x14ac:dyDescent="0.2">
      <c r="A90" s="138"/>
      <c r="B90" s="897"/>
      <c r="C90" s="921"/>
      <c r="D90" s="911"/>
      <c r="E90" s="106" t="s">
        <v>108</v>
      </c>
      <c r="F90" s="1343"/>
      <c r="G90" s="196"/>
      <c r="H90" s="27"/>
      <c r="I90" s="945"/>
      <c r="J90" s="941"/>
      <c r="K90" s="1019"/>
      <c r="L90" s="1020"/>
      <c r="M90" s="265" t="s">
        <v>40</v>
      </c>
      <c r="N90" s="531"/>
      <c r="O90" s="657"/>
      <c r="P90" s="278">
        <v>80</v>
      </c>
      <c r="Q90" s="112"/>
      <c r="R90" s="113"/>
      <c r="S90" s="113"/>
      <c r="T90" s="114"/>
      <c r="U90" s="114"/>
      <c r="V90" s="113"/>
      <c r="W90" s="113"/>
    </row>
    <row r="91" spans="1:24" s="1" customFormat="1" ht="15.75" customHeight="1" x14ac:dyDescent="0.2">
      <c r="A91" s="138"/>
      <c r="B91" s="1194"/>
      <c r="C91" s="1196"/>
      <c r="D91" s="1344" t="s">
        <v>19</v>
      </c>
      <c r="E91" s="1346" t="s">
        <v>222</v>
      </c>
      <c r="F91" s="1348" t="s">
        <v>36</v>
      </c>
      <c r="G91" s="865">
        <v>11010116</v>
      </c>
      <c r="H91" s="1350"/>
      <c r="I91" s="945"/>
      <c r="J91" s="940"/>
      <c r="K91" s="524"/>
      <c r="L91" s="525"/>
      <c r="M91" s="1270" t="s">
        <v>44</v>
      </c>
      <c r="N91" s="529">
        <v>60</v>
      </c>
      <c r="O91" s="336">
        <v>100</v>
      </c>
      <c r="P91" s="337"/>
      <c r="Q91" s="112"/>
      <c r="R91" s="95"/>
      <c r="S91" s="113"/>
      <c r="T91" s="95"/>
      <c r="U91" s="113"/>
      <c r="V91" s="95"/>
      <c r="W91" s="113"/>
    </row>
    <row r="92" spans="1:24" s="1" customFormat="1" ht="15.75" customHeight="1" x14ac:dyDescent="0.2">
      <c r="A92" s="1178"/>
      <c r="B92" s="1171"/>
      <c r="C92" s="1179"/>
      <c r="D92" s="1345"/>
      <c r="E92" s="1347"/>
      <c r="F92" s="1349"/>
      <c r="G92" s="865"/>
      <c r="H92" s="1351"/>
      <c r="I92" s="1180"/>
      <c r="J92" s="1181"/>
      <c r="K92" s="527"/>
      <c r="L92" s="528"/>
      <c r="M92" s="1340"/>
      <c r="N92" s="542"/>
      <c r="O92" s="338"/>
      <c r="P92" s="339"/>
      <c r="Q92" s="112"/>
      <c r="R92" s="95"/>
      <c r="S92" s="113"/>
      <c r="T92" s="95"/>
      <c r="U92" s="113"/>
      <c r="V92" s="95"/>
      <c r="W92" s="95"/>
      <c r="X92" s="14"/>
    </row>
    <row r="93" spans="1:24" s="1" customFormat="1" ht="30" customHeight="1" x14ac:dyDescent="0.2">
      <c r="A93" s="138"/>
      <c r="B93" s="1030"/>
      <c r="C93" s="1033"/>
      <c r="D93" s="1165" t="s">
        <v>21</v>
      </c>
      <c r="E93" s="1166" t="s">
        <v>148</v>
      </c>
      <c r="F93" s="125" t="s">
        <v>36</v>
      </c>
      <c r="G93" s="1176"/>
      <c r="H93" s="1177"/>
      <c r="I93" s="945"/>
      <c r="J93" s="282"/>
      <c r="K93" s="1021"/>
      <c r="L93" s="682"/>
      <c r="M93" s="83" t="s">
        <v>150</v>
      </c>
      <c r="N93" s="334"/>
      <c r="O93" s="334">
        <v>50</v>
      </c>
      <c r="P93" s="173">
        <v>100</v>
      </c>
      <c r="U93" s="14"/>
    </row>
    <row r="94" spans="1:24" s="1" customFormat="1" ht="15.75" customHeight="1" thickBot="1" x14ac:dyDescent="0.25">
      <c r="A94" s="138"/>
      <c r="B94" s="897"/>
      <c r="C94" s="978"/>
      <c r="D94" s="1031" t="s">
        <v>34</v>
      </c>
      <c r="E94" s="1032" t="s">
        <v>114</v>
      </c>
      <c r="F94" s="1034" t="s">
        <v>36</v>
      </c>
      <c r="G94" s="1057">
        <v>11010135</v>
      </c>
      <c r="H94" s="1035"/>
      <c r="I94" s="943" t="s">
        <v>18</v>
      </c>
      <c r="J94" s="502">
        <f>SUM(J82:J93)</f>
        <v>3573.3999999999996</v>
      </c>
      <c r="K94" s="243">
        <f>SUM(K82:K93)</f>
        <v>4207.2000000000007</v>
      </c>
      <c r="L94" s="502">
        <f>SUM(L82:L93)</f>
        <v>5216.5</v>
      </c>
      <c r="M94" s="1058" t="s">
        <v>166</v>
      </c>
      <c r="N94" s="530"/>
      <c r="O94" s="531"/>
      <c r="P94" s="532">
        <v>10</v>
      </c>
      <c r="Q94" s="72"/>
      <c r="S94" s="14"/>
      <c r="T94" s="14"/>
      <c r="U94" s="14"/>
      <c r="V94" s="14"/>
    </row>
    <row r="95" spans="1:24" s="1" customFormat="1" ht="43.5" customHeight="1" x14ac:dyDescent="0.2">
      <c r="A95" s="141" t="s">
        <v>13</v>
      </c>
      <c r="B95" s="88" t="s">
        <v>21</v>
      </c>
      <c r="C95" s="25" t="s">
        <v>21</v>
      </c>
      <c r="D95" s="454"/>
      <c r="E95" s="97" t="s">
        <v>46</v>
      </c>
      <c r="F95" s="184"/>
      <c r="G95" s="197"/>
      <c r="H95" s="950"/>
      <c r="I95" s="17"/>
      <c r="J95" s="946"/>
      <c r="K95" s="650"/>
      <c r="L95" s="651"/>
      <c r="M95" s="18"/>
      <c r="N95" s="382"/>
      <c r="O95" s="300"/>
      <c r="P95" s="301"/>
      <c r="T95" s="14"/>
      <c r="U95" s="14"/>
    </row>
    <row r="96" spans="1:24" s="1" customFormat="1" ht="16.5" customHeight="1" x14ac:dyDescent="0.2">
      <c r="A96" s="142"/>
      <c r="B96" s="930"/>
      <c r="C96" s="921"/>
      <c r="D96" s="910" t="s">
        <v>13</v>
      </c>
      <c r="E96" s="1331" t="s">
        <v>71</v>
      </c>
      <c r="F96" s="103"/>
      <c r="G96" s="908">
        <v>11010130</v>
      </c>
      <c r="H96" s="951">
        <v>2</v>
      </c>
      <c r="I96" s="101" t="s">
        <v>17</v>
      </c>
      <c r="J96" s="251">
        <v>96</v>
      </c>
      <c r="K96" s="840">
        <v>245.2</v>
      </c>
      <c r="L96" s="486">
        <v>232</v>
      </c>
      <c r="M96" s="1215" t="s">
        <v>329</v>
      </c>
      <c r="N96" s="435">
        <v>4</v>
      </c>
      <c r="O96" s="294">
        <v>4</v>
      </c>
      <c r="P96" s="295">
        <v>1</v>
      </c>
      <c r="Q96" s="259"/>
      <c r="S96" s="50"/>
    </row>
    <row r="97" spans="1:22" s="1" customFormat="1" ht="16.5" customHeight="1" x14ac:dyDescent="0.2">
      <c r="A97" s="142"/>
      <c r="B97" s="985"/>
      <c r="C97" s="978"/>
      <c r="D97" s="979"/>
      <c r="E97" s="1332"/>
      <c r="F97" s="103"/>
      <c r="G97" s="982"/>
      <c r="H97" s="396">
        <v>6</v>
      </c>
      <c r="I97" s="101" t="s">
        <v>17</v>
      </c>
      <c r="J97" s="251">
        <v>65.599999999999994</v>
      </c>
      <c r="K97" s="840"/>
      <c r="L97" s="486"/>
      <c r="M97" s="1336"/>
      <c r="N97" s="383"/>
      <c r="O97" s="311"/>
      <c r="P97" s="312"/>
      <c r="Q97" s="282"/>
      <c r="S97" s="50"/>
    </row>
    <row r="98" spans="1:22" s="1" customFormat="1" ht="14.25" customHeight="1" x14ac:dyDescent="0.2">
      <c r="A98" s="134"/>
      <c r="B98" s="897"/>
      <c r="C98" s="917"/>
      <c r="D98" s="458"/>
      <c r="E98" s="1333"/>
      <c r="F98" s="1051"/>
      <c r="G98" s="206"/>
      <c r="H98" s="917"/>
      <c r="I98" s="188" t="s">
        <v>18</v>
      </c>
      <c r="J98" s="252">
        <f>SUM(J96:J97)</f>
        <v>161.6</v>
      </c>
      <c r="K98" s="258">
        <f>SUM(K96:K97)</f>
        <v>245.2</v>
      </c>
      <c r="L98" s="254">
        <f>SUM(L96:L96)</f>
        <v>232</v>
      </c>
      <c r="M98" s="970"/>
      <c r="N98" s="404"/>
      <c r="O98" s="346"/>
      <c r="P98" s="347"/>
      <c r="Q98" s="31"/>
      <c r="R98" s="52"/>
      <c r="S98" s="14"/>
      <c r="T98" s="14"/>
    </row>
    <row r="99" spans="1:22" s="1" customFormat="1" ht="29.25" customHeight="1" x14ac:dyDescent="0.2">
      <c r="A99" s="134"/>
      <c r="B99" s="897"/>
      <c r="C99" s="917"/>
      <c r="D99" s="457" t="s">
        <v>19</v>
      </c>
      <c r="E99" s="1331" t="s">
        <v>104</v>
      </c>
      <c r="F99" s="1052"/>
      <c r="G99" s="1334" t="s">
        <v>133</v>
      </c>
      <c r="H99" s="715" t="s">
        <v>16</v>
      </c>
      <c r="I99" s="101" t="s">
        <v>17</v>
      </c>
      <c r="J99" s="485">
        <v>9.4</v>
      </c>
      <c r="K99" s="840">
        <v>64.3</v>
      </c>
      <c r="L99" s="486"/>
      <c r="M99" s="971" t="s">
        <v>363</v>
      </c>
      <c r="N99" s="596">
        <v>100</v>
      </c>
      <c r="O99" s="645"/>
      <c r="P99" s="337"/>
      <c r="Q99" s="948"/>
      <c r="R99" s="948"/>
      <c r="S99" s="14"/>
      <c r="T99" s="14"/>
      <c r="U99" s="14"/>
    </row>
    <row r="100" spans="1:22" s="1" customFormat="1" ht="29.25" customHeight="1" x14ac:dyDescent="0.2">
      <c r="A100" s="134"/>
      <c r="B100" s="897"/>
      <c r="C100" s="917"/>
      <c r="D100" s="457"/>
      <c r="E100" s="1332"/>
      <c r="F100" s="1051"/>
      <c r="G100" s="1335"/>
      <c r="H100" s="917"/>
      <c r="I100" s="543"/>
      <c r="J100" s="487"/>
      <c r="K100" s="260"/>
      <c r="L100" s="477"/>
      <c r="M100" s="972" t="s">
        <v>364</v>
      </c>
      <c r="N100" s="529">
        <v>100</v>
      </c>
      <c r="O100" s="645"/>
      <c r="P100" s="337"/>
      <c r="Q100" s="31"/>
      <c r="R100" s="52"/>
      <c r="S100" s="14"/>
      <c r="T100" s="14"/>
      <c r="U100" s="14"/>
      <c r="V100" s="14"/>
    </row>
    <row r="101" spans="1:22" s="1" customFormat="1" ht="42" customHeight="1" x14ac:dyDescent="0.2">
      <c r="A101" s="134"/>
      <c r="B101" s="897"/>
      <c r="C101" s="917"/>
      <c r="D101" s="457"/>
      <c r="E101" s="98"/>
      <c r="F101" s="1051"/>
      <c r="G101" s="206"/>
      <c r="H101" s="498"/>
      <c r="I101" s="543"/>
      <c r="J101" s="949"/>
      <c r="K101" s="260"/>
      <c r="L101" s="477"/>
      <c r="M101" s="971" t="s">
        <v>365</v>
      </c>
      <c r="N101" s="529"/>
      <c r="O101" s="654">
        <v>100</v>
      </c>
      <c r="P101" s="337"/>
      <c r="Q101" s="31"/>
      <c r="S101" s="14"/>
      <c r="T101" s="14"/>
    </row>
    <row r="102" spans="1:22" s="1" customFormat="1" ht="30.75" customHeight="1" x14ac:dyDescent="0.2">
      <c r="A102" s="134"/>
      <c r="B102" s="897"/>
      <c r="C102" s="917"/>
      <c r="D102" s="457"/>
      <c r="E102" s="98"/>
      <c r="F102" s="1051"/>
      <c r="G102" s="206"/>
      <c r="H102" s="498"/>
      <c r="I102" s="543"/>
      <c r="J102" s="949"/>
      <c r="K102" s="260"/>
      <c r="L102" s="477"/>
      <c r="M102" s="972" t="s">
        <v>366</v>
      </c>
      <c r="N102" s="529"/>
      <c r="O102" s="644">
        <v>100</v>
      </c>
      <c r="P102" s="118"/>
      <c r="Q102" s="31"/>
      <c r="T102" s="14"/>
    </row>
    <row r="103" spans="1:22" s="1" customFormat="1" ht="41.25" customHeight="1" x14ac:dyDescent="0.2">
      <c r="A103" s="134"/>
      <c r="B103" s="897"/>
      <c r="C103" s="917"/>
      <c r="D103" s="457"/>
      <c r="E103" s="98"/>
      <c r="F103" s="1051"/>
      <c r="G103" s="206"/>
      <c r="H103" s="498"/>
      <c r="I103" s="543"/>
      <c r="J103" s="949"/>
      <c r="K103" s="260"/>
      <c r="L103" s="477"/>
      <c r="M103" s="972" t="s">
        <v>367</v>
      </c>
      <c r="N103" s="529"/>
      <c r="O103" s="644">
        <v>100</v>
      </c>
      <c r="P103" s="315"/>
      <c r="Q103" s="31"/>
      <c r="R103" s="14"/>
      <c r="T103" s="14"/>
    </row>
    <row r="104" spans="1:22" s="1" customFormat="1" ht="17.25" customHeight="1" x14ac:dyDescent="0.2">
      <c r="A104" s="134"/>
      <c r="B104" s="897"/>
      <c r="C104" s="917"/>
      <c r="D104" s="457"/>
      <c r="E104" s="98"/>
      <c r="F104" s="1051"/>
      <c r="G104" s="206"/>
      <c r="H104" s="498"/>
      <c r="I104" s="538"/>
      <c r="J104" s="483"/>
      <c r="K104" s="841"/>
      <c r="L104" s="482"/>
      <c r="M104" s="1380" t="s">
        <v>368</v>
      </c>
      <c r="N104" s="529"/>
      <c r="O104" s="521">
        <v>100</v>
      </c>
      <c r="P104" s="168"/>
      <c r="Q104" s="31"/>
      <c r="T104" s="14"/>
    </row>
    <row r="105" spans="1:22" s="1" customFormat="1" ht="14.25" customHeight="1" x14ac:dyDescent="0.2">
      <c r="A105" s="134"/>
      <c r="B105" s="897"/>
      <c r="C105" s="917"/>
      <c r="D105" s="457"/>
      <c r="E105" s="98"/>
      <c r="F105" s="1051"/>
      <c r="G105" s="206"/>
      <c r="H105" s="498"/>
      <c r="I105" s="188" t="s">
        <v>18</v>
      </c>
      <c r="J105" s="252">
        <f>SUM(J99:J104)</f>
        <v>9.4</v>
      </c>
      <c r="K105" s="258">
        <f>SUM(K99:K104)</f>
        <v>64.3</v>
      </c>
      <c r="L105" s="254">
        <f>SUM(L99:L104)</f>
        <v>0</v>
      </c>
      <c r="M105" s="1381"/>
      <c r="N105" s="542"/>
      <c r="O105" s="338"/>
      <c r="P105" s="339"/>
      <c r="Q105" s="55"/>
      <c r="R105" s="14"/>
      <c r="S105" s="14"/>
      <c r="U105" s="14"/>
      <c r="V105" s="14"/>
    </row>
    <row r="106" spans="1:22" s="1" customFormat="1" ht="30" customHeight="1" x14ac:dyDescent="0.2">
      <c r="A106" s="138"/>
      <c r="B106" s="897"/>
      <c r="C106" s="917"/>
      <c r="D106" s="459" t="s">
        <v>21</v>
      </c>
      <c r="E106" s="1331" t="s">
        <v>154</v>
      </c>
      <c r="F106" s="1052"/>
      <c r="G106" s="418"/>
      <c r="H106" s="714" t="s">
        <v>16</v>
      </c>
      <c r="I106" s="538" t="s">
        <v>17</v>
      </c>
      <c r="J106" s="210">
        <v>100</v>
      </c>
      <c r="K106" s="221">
        <v>100</v>
      </c>
      <c r="L106" s="947"/>
      <c r="M106" s="1355" t="s">
        <v>155</v>
      </c>
      <c r="N106" s="521">
        <v>50</v>
      </c>
      <c r="O106" s="314">
        <v>100</v>
      </c>
      <c r="P106" s="315"/>
      <c r="Q106" s="55"/>
      <c r="R106" s="14"/>
      <c r="S106" s="14"/>
      <c r="U106" s="14"/>
      <c r="V106" s="14"/>
    </row>
    <row r="107" spans="1:22" s="1" customFormat="1" ht="14.25" customHeight="1" x14ac:dyDescent="0.2">
      <c r="A107" s="138"/>
      <c r="B107" s="897"/>
      <c r="C107" s="917"/>
      <c r="D107" s="458"/>
      <c r="E107" s="1333"/>
      <c r="F107" s="1053"/>
      <c r="G107" s="420"/>
      <c r="H107" s="716"/>
      <c r="I107" s="120" t="s">
        <v>18</v>
      </c>
      <c r="J107" s="252">
        <f>SUM(J106)</f>
        <v>100</v>
      </c>
      <c r="K107" s="258">
        <f>K106</f>
        <v>100</v>
      </c>
      <c r="L107" s="254"/>
      <c r="M107" s="1356"/>
      <c r="N107" s="360"/>
      <c r="O107" s="314"/>
      <c r="P107" s="315"/>
      <c r="Q107" s="55"/>
      <c r="R107" s="14"/>
      <c r="S107" s="14"/>
      <c r="U107" s="14"/>
      <c r="V107" s="14"/>
    </row>
    <row r="108" spans="1:22" s="1" customFormat="1" ht="15.75" customHeight="1" x14ac:dyDescent="0.2">
      <c r="A108" s="138"/>
      <c r="B108" s="897"/>
      <c r="C108" s="921"/>
      <c r="D108" s="911" t="s">
        <v>34</v>
      </c>
      <c r="E108" s="104" t="s">
        <v>72</v>
      </c>
      <c r="F108" s="190"/>
      <c r="G108" s="1315">
        <v>11010100</v>
      </c>
      <c r="H108" s="554">
        <v>6</v>
      </c>
      <c r="I108" s="122" t="s">
        <v>17</v>
      </c>
      <c r="J108" s="952">
        <v>181.8</v>
      </c>
      <c r="K108" s="953">
        <v>181.8</v>
      </c>
      <c r="L108" s="540">
        <v>181.8</v>
      </c>
      <c r="M108" s="80" t="s">
        <v>73</v>
      </c>
      <c r="N108" s="408">
        <v>6</v>
      </c>
      <c r="O108" s="423">
        <v>6</v>
      </c>
      <c r="P108" s="424">
        <v>6</v>
      </c>
      <c r="Q108" s="55"/>
      <c r="R108" s="14"/>
      <c r="V108" s="14"/>
    </row>
    <row r="109" spans="1:22" s="1" customFormat="1" ht="15.75" customHeight="1" x14ac:dyDescent="0.2">
      <c r="A109" s="138"/>
      <c r="B109" s="897"/>
      <c r="C109" s="921"/>
      <c r="D109" s="911"/>
      <c r="E109" s="83"/>
      <c r="F109" s="81"/>
      <c r="G109" s="1357"/>
      <c r="H109" s="555"/>
      <c r="I109" s="120" t="s">
        <v>18</v>
      </c>
      <c r="J109" s="430">
        <f>SUM(J108:J108)</f>
        <v>181.8</v>
      </c>
      <c r="K109" s="368">
        <f>SUM(K108:K108)</f>
        <v>181.8</v>
      </c>
      <c r="L109" s="431">
        <f>SUM(L108:L108)</f>
        <v>181.8</v>
      </c>
      <c r="M109" s="80"/>
      <c r="N109" s="411"/>
      <c r="O109" s="290"/>
      <c r="P109" s="291"/>
      <c r="Q109" s="31"/>
    </row>
    <row r="110" spans="1:22" s="1" customFormat="1" ht="13.5" customHeight="1" thickBot="1" x14ac:dyDescent="0.25">
      <c r="A110" s="134"/>
      <c r="B110" s="897"/>
      <c r="C110" s="917"/>
      <c r="D110" s="457"/>
      <c r="E110" s="914"/>
      <c r="F110" s="1337" t="s">
        <v>45</v>
      </c>
      <c r="G110" s="1338"/>
      <c r="H110" s="1338"/>
      <c r="I110" s="1339"/>
      <c r="J110" s="211">
        <f>+J109+J105+J98+J107</f>
        <v>452.8</v>
      </c>
      <c r="K110" s="222">
        <f>+K109+K105+K98+K107</f>
        <v>591.29999999999995</v>
      </c>
      <c r="L110" s="218">
        <f>+L109+L105+L98+L107</f>
        <v>413.8</v>
      </c>
      <c r="M110" s="973"/>
      <c r="N110" s="976"/>
      <c r="O110" s="655"/>
      <c r="P110" s="656"/>
      <c r="Q110" s="33"/>
    </row>
    <row r="111" spans="1:22" s="1" customFormat="1" ht="26.25" customHeight="1" x14ac:dyDescent="0.2">
      <c r="A111" s="133" t="s">
        <v>13</v>
      </c>
      <c r="B111" s="1265" t="s">
        <v>21</v>
      </c>
      <c r="C111" s="1320" t="s">
        <v>34</v>
      </c>
      <c r="D111" s="455"/>
      <c r="E111" s="1358" t="s">
        <v>105</v>
      </c>
      <c r="F111" s="1360"/>
      <c r="G111" s="1209">
        <v>11020404</v>
      </c>
      <c r="H111" s="1367">
        <v>1</v>
      </c>
      <c r="I111" s="545" t="s">
        <v>79</v>
      </c>
      <c r="J111" s="259">
        <v>250.3</v>
      </c>
      <c r="K111" s="257"/>
      <c r="L111" s="493"/>
      <c r="M111" s="1366" t="s">
        <v>107</v>
      </c>
      <c r="N111" s="954">
        <v>100</v>
      </c>
      <c r="O111" s="341"/>
      <c r="P111" s="342"/>
    </row>
    <row r="112" spans="1:22" s="1" customFormat="1" ht="15.75" customHeight="1" thickBot="1" x14ac:dyDescent="0.25">
      <c r="A112" s="136"/>
      <c r="B112" s="1267"/>
      <c r="C112" s="1321"/>
      <c r="D112" s="456"/>
      <c r="E112" s="1359"/>
      <c r="F112" s="1361"/>
      <c r="G112" s="1211"/>
      <c r="H112" s="1368"/>
      <c r="I112" s="123" t="s">
        <v>18</v>
      </c>
      <c r="J112" s="211">
        <f>SUM(J111:J111)</f>
        <v>250.3</v>
      </c>
      <c r="K112" s="222">
        <f>SUM(K111:K111)</f>
        <v>0</v>
      </c>
      <c r="L112" s="218">
        <f>SUM(L111:L111)</f>
        <v>0</v>
      </c>
      <c r="M112" s="1271"/>
      <c r="N112" s="437"/>
      <c r="O112" s="317"/>
      <c r="P112" s="318"/>
    </row>
    <row r="113" spans="1:21" s="1" customFormat="1" ht="14.25" customHeight="1" thickBot="1" x14ac:dyDescent="0.25">
      <c r="A113" s="129" t="s">
        <v>13</v>
      </c>
      <c r="B113" s="32" t="s">
        <v>21</v>
      </c>
      <c r="C113" s="1289" t="s">
        <v>22</v>
      </c>
      <c r="D113" s="1289"/>
      <c r="E113" s="1289"/>
      <c r="F113" s="1289"/>
      <c r="G113" s="1289"/>
      <c r="H113" s="1289"/>
      <c r="I113" s="1323"/>
      <c r="J113" s="240">
        <f>+J110+J94+J112+J81</f>
        <v>4294.5</v>
      </c>
      <c r="K113" s="249">
        <f>+K110+K94+K112+K81</f>
        <v>4798.5000000000009</v>
      </c>
      <c r="L113" s="432">
        <f>+L110+L94+L112+L81</f>
        <v>5630.3</v>
      </c>
      <c r="M113" s="1369"/>
      <c r="N113" s="1370"/>
      <c r="O113" s="1370"/>
      <c r="P113" s="1371"/>
      <c r="Q113" s="1352"/>
      <c r="S113" s="14"/>
    </row>
    <row r="114" spans="1:21" s="1" customFormat="1" ht="14.25" customHeight="1" thickBot="1" x14ac:dyDescent="0.25">
      <c r="A114" s="144" t="s">
        <v>13</v>
      </c>
      <c r="B114" s="32" t="s">
        <v>34</v>
      </c>
      <c r="C114" s="1353" t="s">
        <v>47</v>
      </c>
      <c r="D114" s="1354"/>
      <c r="E114" s="1354"/>
      <c r="F114" s="1354"/>
      <c r="G114" s="1354"/>
      <c r="H114" s="1354"/>
      <c r="I114" s="1354"/>
      <c r="J114" s="1354"/>
      <c r="K114" s="1354"/>
      <c r="L114" s="1354"/>
      <c r="M114" s="1354"/>
      <c r="N114" s="348"/>
      <c r="O114" s="348"/>
      <c r="P114" s="349"/>
      <c r="Q114" s="1352"/>
      <c r="S114" s="14"/>
    </row>
    <row r="115" spans="1:21" s="1" customFormat="1" ht="29.25" customHeight="1" x14ac:dyDescent="0.2">
      <c r="A115" s="133" t="s">
        <v>13</v>
      </c>
      <c r="B115" s="896" t="s">
        <v>34</v>
      </c>
      <c r="C115" s="10" t="s">
        <v>13</v>
      </c>
      <c r="D115" s="451"/>
      <c r="E115" s="1281" t="s">
        <v>217</v>
      </c>
      <c r="F115" s="1054"/>
      <c r="G115" s="915">
        <v>11030607</v>
      </c>
      <c r="H115" s="63" t="s">
        <v>16</v>
      </c>
      <c r="I115" s="121" t="s">
        <v>17</v>
      </c>
      <c r="J115" s="209">
        <f>755.3+250-30</f>
        <v>975.3</v>
      </c>
      <c r="K115" s="474">
        <f>755.3+250.7-250</f>
        <v>756</v>
      </c>
      <c r="L115" s="480">
        <f>755.3+250.7-250</f>
        <v>756</v>
      </c>
      <c r="M115" s="1382" t="s">
        <v>118</v>
      </c>
      <c r="N115" s="954">
        <v>6</v>
      </c>
      <c r="O115" s="341">
        <v>6</v>
      </c>
      <c r="P115" s="342">
        <v>7</v>
      </c>
      <c r="Q115" s="1352"/>
      <c r="T115" s="14"/>
    </row>
    <row r="116" spans="1:21" s="1" customFormat="1" ht="15" customHeight="1" thickBot="1" x14ac:dyDescent="0.25">
      <c r="A116" s="136"/>
      <c r="B116" s="898"/>
      <c r="C116" s="15"/>
      <c r="D116" s="452"/>
      <c r="E116" s="1314"/>
      <c r="F116" s="1055"/>
      <c r="G116" s="916"/>
      <c r="H116" s="64"/>
      <c r="I116" s="123" t="s">
        <v>18</v>
      </c>
      <c r="J116" s="211">
        <f>SUM(J115:J115)</f>
        <v>975.3</v>
      </c>
      <c r="K116" s="222">
        <f>SUM(K115:K115)</f>
        <v>756</v>
      </c>
      <c r="L116" s="218">
        <f>SUM(L115:L115)</f>
        <v>756</v>
      </c>
      <c r="M116" s="1383"/>
      <c r="N116" s="316"/>
      <c r="O116" s="317"/>
      <c r="P116" s="318"/>
      <c r="Q116" s="924"/>
      <c r="R116" s="31"/>
    </row>
    <row r="117" spans="1:21" s="1" customFormat="1" ht="32.25" customHeight="1" x14ac:dyDescent="0.2">
      <c r="A117" s="133" t="s">
        <v>13</v>
      </c>
      <c r="B117" s="1265" t="s">
        <v>34</v>
      </c>
      <c r="C117" s="1320" t="s">
        <v>19</v>
      </c>
      <c r="D117" s="455"/>
      <c r="E117" s="1358" t="s">
        <v>218</v>
      </c>
      <c r="F117" s="1362"/>
      <c r="G117" s="894">
        <v>11030701</v>
      </c>
      <c r="H117" s="1364" t="s">
        <v>16</v>
      </c>
      <c r="I117" s="47" t="s">
        <v>17</v>
      </c>
      <c r="J117" s="209">
        <v>50</v>
      </c>
      <c r="K117" s="257">
        <f>60-10</f>
        <v>50</v>
      </c>
      <c r="L117" s="283">
        <f>70-20</f>
        <v>50</v>
      </c>
      <c r="M117" s="1366" t="s">
        <v>48</v>
      </c>
      <c r="N117" s="341">
        <v>25</v>
      </c>
      <c r="O117" s="341">
        <v>25</v>
      </c>
      <c r="P117" s="1026">
        <v>25</v>
      </c>
      <c r="T117" s="14"/>
      <c r="U117" s="14"/>
    </row>
    <row r="118" spans="1:21" s="1" customFormat="1" ht="13.5" thickBot="1" x14ac:dyDescent="0.25">
      <c r="A118" s="136"/>
      <c r="B118" s="1267"/>
      <c r="C118" s="1321"/>
      <c r="D118" s="456"/>
      <c r="E118" s="1359"/>
      <c r="F118" s="1363"/>
      <c r="G118" s="895"/>
      <c r="H118" s="1365"/>
      <c r="I118" s="46" t="s">
        <v>18</v>
      </c>
      <c r="J118" s="211">
        <f t="shared" ref="J118:L118" si="3">SUM(J117:J117)</f>
        <v>50</v>
      </c>
      <c r="K118" s="222">
        <f t="shared" si="3"/>
        <v>50</v>
      </c>
      <c r="L118" s="218">
        <f t="shared" si="3"/>
        <v>50</v>
      </c>
      <c r="M118" s="1271"/>
      <c r="N118" s="317"/>
      <c r="O118" s="317"/>
      <c r="P118" s="318"/>
    </row>
    <row r="119" spans="1:21" s="1" customFormat="1" ht="13.5" thickBot="1" x14ac:dyDescent="0.25">
      <c r="A119" s="129" t="s">
        <v>13</v>
      </c>
      <c r="B119" s="32" t="s">
        <v>34</v>
      </c>
      <c r="C119" s="1289" t="s">
        <v>22</v>
      </c>
      <c r="D119" s="1289"/>
      <c r="E119" s="1289"/>
      <c r="F119" s="1289"/>
      <c r="G119" s="1289"/>
      <c r="H119" s="1289"/>
      <c r="I119" s="1289"/>
      <c r="J119" s="8">
        <f t="shared" ref="J119:L119" si="4">J118+J116</f>
        <v>1025.3</v>
      </c>
      <c r="K119" s="227">
        <f t="shared" si="4"/>
        <v>806</v>
      </c>
      <c r="L119" s="560">
        <f t="shared" si="4"/>
        <v>806</v>
      </c>
      <c r="M119" s="1393"/>
      <c r="N119" s="1394"/>
      <c r="O119" s="1394"/>
      <c r="P119" s="1395"/>
    </row>
    <row r="120" spans="1:21" s="95" customFormat="1" ht="13.5" thickBot="1" x14ac:dyDescent="0.25">
      <c r="A120" s="129" t="s">
        <v>13</v>
      </c>
      <c r="B120" s="1396" t="s">
        <v>49</v>
      </c>
      <c r="C120" s="1397"/>
      <c r="D120" s="1397"/>
      <c r="E120" s="1397"/>
      <c r="F120" s="1397"/>
      <c r="G120" s="1397"/>
      <c r="H120" s="1397"/>
      <c r="I120" s="1397"/>
      <c r="J120" s="561">
        <f>J113+J78+J29+J119</f>
        <v>12139.6</v>
      </c>
      <c r="K120" s="562">
        <f>K113+K78+K29+K119</f>
        <v>12592.600000000002</v>
      </c>
      <c r="L120" s="709">
        <f>L113+L78+L29+L119</f>
        <v>13321.099999999999</v>
      </c>
      <c r="M120" s="145"/>
      <c r="N120" s="353"/>
      <c r="O120" s="353"/>
      <c r="P120" s="146"/>
    </row>
    <row r="121" spans="1:21" s="95" customFormat="1" ht="13.5" thickBot="1" x14ac:dyDescent="0.25">
      <c r="A121" s="147" t="s">
        <v>50</v>
      </c>
      <c r="B121" s="1398" t="s">
        <v>51</v>
      </c>
      <c r="C121" s="1399"/>
      <c r="D121" s="1399"/>
      <c r="E121" s="1399"/>
      <c r="F121" s="1399"/>
      <c r="G121" s="1399"/>
      <c r="H121" s="1399"/>
      <c r="I121" s="1399"/>
      <c r="J121" s="563">
        <f t="shared" ref="J121:L121" si="5">J120</f>
        <v>12139.6</v>
      </c>
      <c r="K121" s="564">
        <f t="shared" si="5"/>
        <v>12592.600000000002</v>
      </c>
      <c r="L121" s="710">
        <f t="shared" si="5"/>
        <v>13321.099999999999</v>
      </c>
      <c r="M121" s="148"/>
      <c r="N121" s="354"/>
      <c r="O121" s="354"/>
      <c r="P121" s="149"/>
    </row>
    <row r="122" spans="1:21" s="1" customFormat="1" ht="21.75" customHeight="1" thickBot="1" x14ac:dyDescent="0.25">
      <c r="A122" s="36"/>
      <c r="B122" s="1400" t="s">
        <v>52</v>
      </c>
      <c r="C122" s="1400"/>
      <c r="D122" s="1400"/>
      <c r="E122" s="1400"/>
      <c r="F122" s="1400"/>
      <c r="G122" s="1400"/>
      <c r="H122" s="1400"/>
      <c r="I122" s="1400"/>
      <c r="J122" s="1400"/>
      <c r="K122" s="1400"/>
      <c r="L122" s="1400"/>
      <c r="M122" s="38"/>
      <c r="N122" s="927"/>
      <c r="O122" s="927"/>
      <c r="P122" s="927"/>
    </row>
    <row r="123" spans="1:21" s="1" customFormat="1" ht="38.25" customHeight="1" x14ac:dyDescent="0.2">
      <c r="A123" s="37"/>
      <c r="B123" s="1401" t="s">
        <v>53</v>
      </c>
      <c r="C123" s="1402"/>
      <c r="D123" s="1402"/>
      <c r="E123" s="1402"/>
      <c r="F123" s="1402"/>
      <c r="G123" s="1402"/>
      <c r="H123" s="1402"/>
      <c r="I123" s="1402"/>
      <c r="J123" s="729" t="s">
        <v>139</v>
      </c>
      <c r="K123" s="730" t="s">
        <v>140</v>
      </c>
      <c r="L123" s="731" t="s">
        <v>141</v>
      </c>
      <c r="M123" s="39"/>
      <c r="N123" s="157"/>
      <c r="O123" s="157"/>
      <c r="P123" s="157"/>
    </row>
    <row r="124" spans="1:21" s="1" customFormat="1" x14ac:dyDescent="0.2">
      <c r="A124" s="37"/>
      <c r="B124" s="1384" t="s">
        <v>54</v>
      </c>
      <c r="C124" s="1385"/>
      <c r="D124" s="1385"/>
      <c r="E124" s="1385"/>
      <c r="F124" s="1385"/>
      <c r="G124" s="1385"/>
      <c r="H124" s="1385"/>
      <c r="I124" s="1385"/>
      <c r="J124" s="566">
        <f>SUM(J125:J130)</f>
        <v>12020.999999999998</v>
      </c>
      <c r="K124" s="565">
        <f>SUM(K125:K130)</f>
        <v>11456.9</v>
      </c>
      <c r="L124" s="724">
        <f>SUM(L125:L130)</f>
        <v>12585.999999999998</v>
      </c>
      <c r="M124" s="40"/>
      <c r="N124" s="155"/>
      <c r="O124" s="155"/>
      <c r="P124" s="155"/>
      <c r="S124" s="14"/>
    </row>
    <row r="125" spans="1:21" s="1" customFormat="1" ht="12.75" customHeight="1" x14ac:dyDescent="0.2">
      <c r="A125" s="37"/>
      <c r="B125" s="1387" t="s">
        <v>55</v>
      </c>
      <c r="C125" s="1388"/>
      <c r="D125" s="1388"/>
      <c r="E125" s="1388"/>
      <c r="F125" s="1388"/>
      <c r="G125" s="1388"/>
      <c r="H125" s="1388"/>
      <c r="I125" s="1388"/>
      <c r="J125" s="568">
        <f>SUMIF(I13:I117,"sb",J13:J117)</f>
        <v>8717.1999999999989</v>
      </c>
      <c r="K125" s="569">
        <f>SUMIF(I13:I117,"sb",K13:K117)</f>
        <v>8516.5</v>
      </c>
      <c r="L125" s="570">
        <f>SUMIF(I13:I117,"sb",L13:L117)</f>
        <v>12235.699999999999</v>
      </c>
      <c r="M125" s="193"/>
      <c r="N125" s="355"/>
      <c r="O125" s="355"/>
      <c r="P125" s="355"/>
    </row>
    <row r="126" spans="1:21" s="1" customFormat="1" ht="29.25" customHeight="1" x14ac:dyDescent="0.2">
      <c r="A126" s="37"/>
      <c r="B126" s="1372" t="s">
        <v>370</v>
      </c>
      <c r="C126" s="1373"/>
      <c r="D126" s="1373"/>
      <c r="E126" s="1373"/>
      <c r="F126" s="1373"/>
      <c r="G126" s="1373"/>
      <c r="H126" s="1373"/>
      <c r="I126" s="1374"/>
      <c r="J126" s="568">
        <f>SUMIF(I14:I118,"sb(es)",J14:J118)</f>
        <v>583.20000000000005</v>
      </c>
      <c r="K126" s="579">
        <f>SUMIF(I14:I118,"sb(es)",K14:K118)</f>
        <v>621.70000000000005</v>
      </c>
      <c r="L126" s="570">
        <f>SUMIF(I14:I118,"sb(es)",L14:L118)</f>
        <v>0</v>
      </c>
      <c r="M126" s="193"/>
      <c r="N126" s="355"/>
      <c r="O126" s="355"/>
      <c r="P126" s="355"/>
    </row>
    <row r="127" spans="1:21" s="1" customFormat="1" ht="15.75" customHeight="1" x14ac:dyDescent="0.2">
      <c r="A127" s="37"/>
      <c r="B127" s="1372" t="s">
        <v>371</v>
      </c>
      <c r="C127" s="1373"/>
      <c r="D127" s="1373"/>
      <c r="E127" s="1373"/>
      <c r="F127" s="1373"/>
      <c r="G127" s="1373"/>
      <c r="H127" s="1373"/>
      <c r="I127" s="1374"/>
      <c r="J127" s="568">
        <f>SUMIF(I15:I119,"sb(vb)",J15:J119)</f>
        <v>51.5</v>
      </c>
      <c r="K127" s="579">
        <f>SUMIF(I15:I119,"sb(vb)",K15:K119)</f>
        <v>54.9</v>
      </c>
      <c r="L127" s="570">
        <f>SUMIF(I15:I119,"sb(vb)",L15:L119)</f>
        <v>0</v>
      </c>
      <c r="M127" s="193"/>
      <c r="N127" s="355"/>
      <c r="O127" s="355"/>
      <c r="P127" s="355"/>
    </row>
    <row r="128" spans="1:21" s="1" customFormat="1" ht="12.75" customHeight="1" x14ac:dyDescent="0.2">
      <c r="A128" s="37"/>
      <c r="B128" s="1389" t="s">
        <v>313</v>
      </c>
      <c r="C128" s="1390"/>
      <c r="D128" s="1390"/>
      <c r="E128" s="1390"/>
      <c r="F128" s="1390"/>
      <c r="G128" s="1390"/>
      <c r="H128" s="1390"/>
      <c r="I128" s="1390"/>
      <c r="J128" s="568">
        <f>SUMIF(I13:I118,"sb(p)",J13:J118)</f>
        <v>1500</v>
      </c>
      <c r="K128" s="579">
        <f>SUMIF(I13:I118,"sb(p)",K13:K118)</f>
        <v>1913.5</v>
      </c>
      <c r="L128" s="570"/>
      <c r="M128" s="193"/>
      <c r="N128" s="355"/>
      <c r="O128" s="355"/>
      <c r="P128" s="355"/>
    </row>
    <row r="129" spans="1:28" s="1" customFormat="1" ht="12.75" customHeight="1" x14ac:dyDescent="0.2">
      <c r="A129" s="37"/>
      <c r="B129" s="1391" t="s">
        <v>80</v>
      </c>
      <c r="C129" s="1392"/>
      <c r="D129" s="1392"/>
      <c r="E129" s="1392"/>
      <c r="F129" s="1392"/>
      <c r="G129" s="1392"/>
      <c r="H129" s="1392"/>
      <c r="I129" s="1392"/>
      <c r="J129" s="236">
        <f>SUMIF(I17:I118,"sb(l)",J17:J118)</f>
        <v>818.8</v>
      </c>
      <c r="K129" s="245">
        <f>SUMIF(I17:I118,"sb(l)",K17:K118)</f>
        <v>0</v>
      </c>
      <c r="L129" s="495">
        <f>SUMIF(I17:I118,"sb(l)",L17:L118)</f>
        <v>0</v>
      </c>
      <c r="M129" s="928"/>
      <c r="N129" s="156"/>
      <c r="O129" s="156"/>
      <c r="P129" s="156"/>
      <c r="U129" s="14"/>
    </row>
    <row r="130" spans="1:28" s="1" customFormat="1" ht="15" customHeight="1" x14ac:dyDescent="0.2">
      <c r="A130" s="37"/>
      <c r="B130" s="1372" t="s">
        <v>56</v>
      </c>
      <c r="C130" s="1373"/>
      <c r="D130" s="1373"/>
      <c r="E130" s="1373"/>
      <c r="F130" s="1373"/>
      <c r="G130" s="1373"/>
      <c r="H130" s="1373"/>
      <c r="I130" s="1373"/>
      <c r="J130" s="573">
        <f>SUMIF(I13:I117,"sb(sp)",J13:J117)</f>
        <v>350.3</v>
      </c>
      <c r="K130" s="572">
        <f>SUMIF(I13:I117,"sb(sp)",K13:K117)</f>
        <v>350.3</v>
      </c>
      <c r="L130" s="725">
        <f>SUMIF(I13:I117,"sb(sp)",L13:L117)</f>
        <v>350.3</v>
      </c>
      <c r="M130" s="928"/>
      <c r="N130" s="156"/>
      <c r="O130" s="156"/>
      <c r="P130" s="156"/>
    </row>
    <row r="131" spans="1:28" s="1" customFormat="1" x14ac:dyDescent="0.2">
      <c r="A131" s="37"/>
      <c r="B131" s="1384" t="s">
        <v>58</v>
      </c>
      <c r="C131" s="1385"/>
      <c r="D131" s="1385"/>
      <c r="E131" s="1385"/>
      <c r="F131" s="1385"/>
      <c r="G131" s="1385"/>
      <c r="H131" s="1385"/>
      <c r="I131" s="1386"/>
      <c r="J131" s="577">
        <f>SUM(J132:J132)</f>
        <v>118.6</v>
      </c>
      <c r="K131" s="576">
        <f>SUM(K132:K132)</f>
        <v>1135.6999999999998</v>
      </c>
      <c r="L131" s="727">
        <f>SUM(L132:L132)</f>
        <v>735.1</v>
      </c>
      <c r="M131" s="40"/>
      <c r="N131" s="155"/>
      <c r="O131" s="155"/>
      <c r="P131" s="155"/>
    </row>
    <row r="132" spans="1:28" s="1" customFormat="1" x14ac:dyDescent="0.2">
      <c r="A132" s="37"/>
      <c r="B132" s="1387" t="s">
        <v>60</v>
      </c>
      <c r="C132" s="1388"/>
      <c r="D132" s="1388"/>
      <c r="E132" s="1388"/>
      <c r="F132" s="1388"/>
      <c r="G132" s="1388"/>
      <c r="H132" s="1388"/>
      <c r="I132" s="1388"/>
      <c r="J132" s="580">
        <f>SUMIF(I13:I117,"lrvb",J13:J117)</f>
        <v>118.6</v>
      </c>
      <c r="K132" s="579">
        <f>SUMIF(I13:I117,"lrvb",K13:K117)</f>
        <v>1135.6999999999998</v>
      </c>
      <c r="L132" s="581">
        <f>SUMIF(I13:I117,"lrvb",L13:L117)</f>
        <v>735.1</v>
      </c>
      <c r="M132" s="928"/>
      <c r="N132" s="156"/>
      <c r="O132" s="156"/>
      <c r="P132" s="156"/>
      <c r="V132" s="14"/>
      <c r="AB132" s="14"/>
    </row>
    <row r="133" spans="1:28" ht="13.5" thickBot="1" x14ac:dyDescent="0.25">
      <c r="A133" s="41"/>
      <c r="B133" s="1376" t="s">
        <v>18</v>
      </c>
      <c r="C133" s="1377"/>
      <c r="D133" s="1377"/>
      <c r="E133" s="1377"/>
      <c r="F133" s="1377"/>
      <c r="G133" s="1377"/>
      <c r="H133" s="1377"/>
      <c r="I133" s="1378"/>
      <c r="J133" s="512">
        <f>J131+J124</f>
        <v>12139.599999999999</v>
      </c>
      <c r="K133" s="513">
        <f>K131+K124</f>
        <v>12592.599999999999</v>
      </c>
      <c r="L133" s="373">
        <f>L131+L124</f>
        <v>13321.099999999999</v>
      </c>
      <c r="M133" s="42"/>
      <c r="N133" s="154"/>
      <c r="O133" s="154"/>
      <c r="P133" s="154"/>
    </row>
    <row r="134" spans="1:28" x14ac:dyDescent="0.2">
      <c r="J134" s="54"/>
      <c r="K134" s="54"/>
      <c r="L134" s="54"/>
    </row>
    <row r="135" spans="1:28" x14ac:dyDescent="0.2">
      <c r="F135" s="1193" t="s">
        <v>137</v>
      </c>
      <c r="G135" s="1193"/>
      <c r="H135" s="1193"/>
      <c r="I135" s="1193"/>
      <c r="J135" s="1192"/>
      <c r="K135" s="1192"/>
      <c r="L135" s="1192"/>
    </row>
    <row r="136" spans="1:28" x14ac:dyDescent="0.2">
      <c r="J136" s="54"/>
      <c r="K136" s="54"/>
      <c r="L136" s="54"/>
    </row>
    <row r="137" spans="1:28" x14ac:dyDescent="0.2">
      <c r="J137" s="54"/>
      <c r="K137" s="54"/>
      <c r="L137" s="54"/>
    </row>
    <row r="138" spans="1:28" x14ac:dyDescent="0.2">
      <c r="J138" s="54"/>
      <c r="K138" s="54"/>
      <c r="L138" s="54"/>
    </row>
    <row r="139" spans="1:28" x14ac:dyDescent="0.2">
      <c r="J139" s="54"/>
      <c r="K139" s="54"/>
      <c r="L139" s="54"/>
    </row>
    <row r="140" spans="1:28" x14ac:dyDescent="0.2">
      <c r="J140" s="54"/>
      <c r="K140" s="54"/>
      <c r="L140" s="54"/>
    </row>
  </sheetData>
  <mergeCells count="148">
    <mergeCell ref="B126:I126"/>
    <mergeCell ref="B127:I127"/>
    <mergeCell ref="L1:P1"/>
    <mergeCell ref="M19:M20"/>
    <mergeCell ref="E53:E54"/>
    <mergeCell ref="B133:I133"/>
    <mergeCell ref="E66:E67"/>
    <mergeCell ref="M104:M105"/>
    <mergeCell ref="E115:E116"/>
    <mergeCell ref="M115:M116"/>
    <mergeCell ref="B131:I131"/>
    <mergeCell ref="B132:I132"/>
    <mergeCell ref="B124:I124"/>
    <mergeCell ref="B125:I125"/>
    <mergeCell ref="B128:I128"/>
    <mergeCell ref="B129:I129"/>
    <mergeCell ref="B130:I130"/>
    <mergeCell ref="C119:I119"/>
    <mergeCell ref="M119:P119"/>
    <mergeCell ref="B120:I120"/>
    <mergeCell ref="B121:I121"/>
    <mergeCell ref="B122:L122"/>
    <mergeCell ref="B123:I123"/>
    <mergeCell ref="B117:B118"/>
    <mergeCell ref="C117:C118"/>
    <mergeCell ref="E117:E118"/>
    <mergeCell ref="F117:F118"/>
    <mergeCell ref="H117:H118"/>
    <mergeCell ref="M117:M118"/>
    <mergeCell ref="H111:H112"/>
    <mergeCell ref="M111:M112"/>
    <mergeCell ref="C113:I113"/>
    <mergeCell ref="M113:P113"/>
    <mergeCell ref="Q113:Q115"/>
    <mergeCell ref="C114:M114"/>
    <mergeCell ref="E106:E107"/>
    <mergeCell ref="M106:M107"/>
    <mergeCell ref="G108:G109"/>
    <mergeCell ref="B111:B112"/>
    <mergeCell ref="C111:C112"/>
    <mergeCell ref="E111:E112"/>
    <mergeCell ref="F111:F112"/>
    <mergeCell ref="G111:G112"/>
    <mergeCell ref="E96:E98"/>
    <mergeCell ref="E99:E100"/>
    <mergeCell ref="G99:G100"/>
    <mergeCell ref="M96:M97"/>
    <mergeCell ref="F110:I110"/>
    <mergeCell ref="M91:M92"/>
    <mergeCell ref="G88:G89"/>
    <mergeCell ref="F89:F90"/>
    <mergeCell ref="D91:D92"/>
    <mergeCell ref="E91:E92"/>
    <mergeCell ref="F91:F92"/>
    <mergeCell ref="H91:H92"/>
    <mergeCell ref="C79:P79"/>
    <mergeCell ref="B80:B81"/>
    <mergeCell ref="C80:C81"/>
    <mergeCell ref="E80:E81"/>
    <mergeCell ref="E82:E84"/>
    <mergeCell ref="M76:M77"/>
    <mergeCell ref="C78:I78"/>
    <mergeCell ref="M78:P78"/>
    <mergeCell ref="E74:E75"/>
    <mergeCell ref="G74:G75"/>
    <mergeCell ref="E76:E77"/>
    <mergeCell ref="G76:G77"/>
    <mergeCell ref="M68:M69"/>
    <mergeCell ref="E70:E71"/>
    <mergeCell ref="G70:G71"/>
    <mergeCell ref="M70:M71"/>
    <mergeCell ref="E72:E73"/>
    <mergeCell ref="G72:G73"/>
    <mergeCell ref="E68:E69"/>
    <mergeCell ref="G68:G69"/>
    <mergeCell ref="E58:E59"/>
    <mergeCell ref="G58:G59"/>
    <mergeCell ref="E60:E61"/>
    <mergeCell ref="M66:M67"/>
    <mergeCell ref="E50:E51"/>
    <mergeCell ref="E44:E45"/>
    <mergeCell ref="E37:E38"/>
    <mergeCell ref="E31:E32"/>
    <mergeCell ref="F53:F56"/>
    <mergeCell ref="M22:M23"/>
    <mergeCell ref="A27:A28"/>
    <mergeCell ref="B27:B28"/>
    <mergeCell ref="C27:C28"/>
    <mergeCell ref="E27:E28"/>
    <mergeCell ref="F27:F28"/>
    <mergeCell ref="C30:P30"/>
    <mergeCell ref="E47:E48"/>
    <mergeCell ref="P27:P28"/>
    <mergeCell ref="C29:I29"/>
    <mergeCell ref="M29:P29"/>
    <mergeCell ref="H27:H28"/>
    <mergeCell ref="M27:M28"/>
    <mergeCell ref="N27:N28"/>
    <mergeCell ref="O27:O28"/>
    <mergeCell ref="M31:M32"/>
    <mergeCell ref="G27:G28"/>
    <mergeCell ref="A24:A26"/>
    <mergeCell ref="B24:B26"/>
    <mergeCell ref="C24:C26"/>
    <mergeCell ref="E24:E26"/>
    <mergeCell ref="F24:F26"/>
    <mergeCell ref="G24:G26"/>
    <mergeCell ref="M25:M26"/>
    <mergeCell ref="H18:H20"/>
    <mergeCell ref="A21:A23"/>
    <mergeCell ref="B21:B23"/>
    <mergeCell ref="C21:C23"/>
    <mergeCell ref="E21:E23"/>
    <mergeCell ref="F21:F23"/>
    <mergeCell ref="G21:G23"/>
    <mergeCell ref="H21:H23"/>
    <mergeCell ref="A18:A20"/>
    <mergeCell ref="B18:B20"/>
    <mergeCell ref="C18:C20"/>
    <mergeCell ref="E18:E20"/>
    <mergeCell ref="F18:F20"/>
    <mergeCell ref="G18:G20"/>
    <mergeCell ref="A2:P2"/>
    <mergeCell ref="A3:P3"/>
    <mergeCell ref="A4:P4"/>
    <mergeCell ref="A6:A8"/>
    <mergeCell ref="B6:B8"/>
    <mergeCell ref="C6:C8"/>
    <mergeCell ref="E6:E8"/>
    <mergeCell ref="F6:F8"/>
    <mergeCell ref="G6:G8"/>
    <mergeCell ref="H6:H8"/>
    <mergeCell ref="I6:I8"/>
    <mergeCell ref="J6:J8"/>
    <mergeCell ref="K6:K8"/>
    <mergeCell ref="B11:P11"/>
    <mergeCell ref="C12:P12"/>
    <mergeCell ref="E13:E14"/>
    <mergeCell ref="F13:F17"/>
    <mergeCell ref="G13:G17"/>
    <mergeCell ref="H13:H17"/>
    <mergeCell ref="M16:M17"/>
    <mergeCell ref="L6:L8"/>
    <mergeCell ref="M6:P6"/>
    <mergeCell ref="M7:M8"/>
    <mergeCell ref="N7:P7"/>
    <mergeCell ref="A9:P9"/>
    <mergeCell ref="A10:P10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4" orientation="portrait" r:id="rId1"/>
  <rowBreaks count="1" manualBreakCount="1">
    <brk id="45" max="15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19"/>
  <sheetViews>
    <sheetView zoomScaleNormal="100" zoomScaleSheetLayoutView="70" workbookViewId="0"/>
  </sheetViews>
  <sheetFormatPr defaultColWidth="9.140625" defaultRowHeight="12.75" x14ac:dyDescent="0.2"/>
  <cols>
    <col min="1" max="1" width="3.140625" style="53" customWidth="1"/>
    <col min="2" max="4" width="3.140625" style="1093" customWidth="1"/>
    <col min="5" max="5" width="28.28515625" style="53" customWidth="1"/>
    <col min="6" max="6" width="3" style="53" customWidth="1"/>
    <col min="7" max="7" width="3" style="207" hidden="1" customWidth="1"/>
    <col min="8" max="8" width="3" style="1093" customWidth="1"/>
    <col min="9" max="9" width="16.42578125" style="766" customWidth="1"/>
    <col min="10" max="10" width="8.140625" style="53" customWidth="1"/>
    <col min="11" max="14" width="8.7109375" style="53" customWidth="1"/>
    <col min="15" max="15" width="24.7109375" style="53" customWidth="1"/>
    <col min="16" max="16" width="5.42578125" style="53" customWidth="1"/>
    <col min="17" max="19" width="5.42578125" style="1093" customWidth="1"/>
    <col min="20" max="21" width="10.28515625" style="53" bestFit="1" customWidth="1"/>
    <col min="22" max="16384" width="9.140625" style="53"/>
  </cols>
  <sheetData>
    <row r="1" spans="1:24" s="79" customFormat="1" ht="33.75" customHeight="1" x14ac:dyDescent="0.25">
      <c r="A1" s="76"/>
      <c r="B1" s="78"/>
      <c r="C1" s="78"/>
      <c r="D1" s="78"/>
      <c r="E1" s="76"/>
      <c r="F1" s="77"/>
      <c r="G1" s="198"/>
      <c r="H1" s="127"/>
      <c r="I1" s="1470" t="s">
        <v>138</v>
      </c>
      <c r="J1" s="1470"/>
      <c r="K1" s="1470"/>
      <c r="L1" s="1470"/>
      <c r="M1" s="1470"/>
      <c r="N1" s="1470"/>
      <c r="O1" s="1470"/>
      <c r="P1" s="1470"/>
      <c r="Q1" s="1470"/>
      <c r="R1" s="1470"/>
      <c r="S1" s="1470"/>
    </row>
    <row r="2" spans="1:24" s="1" customFormat="1" ht="14.25" customHeight="1" x14ac:dyDescent="0.2">
      <c r="A2" s="1235" t="s">
        <v>159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51"/>
      <c r="U2" s="1" t="s">
        <v>67</v>
      </c>
    </row>
    <row r="3" spans="1:24" s="1" customFormat="1" ht="14.25" customHeight="1" x14ac:dyDescent="0.2">
      <c r="A3" s="1236" t="s">
        <v>0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51"/>
    </row>
    <row r="4" spans="1:24" s="1" customFormat="1" ht="14.25" customHeight="1" x14ac:dyDescent="0.2">
      <c r="A4" s="1237" t="s">
        <v>1</v>
      </c>
      <c r="B4" s="1237"/>
      <c r="C4" s="1237"/>
      <c r="D4" s="1237"/>
      <c r="E4" s="1237"/>
      <c r="F4" s="1237"/>
      <c r="G4" s="1237"/>
      <c r="H4" s="1237"/>
      <c r="I4" s="1237"/>
      <c r="J4" s="1237"/>
      <c r="K4" s="1237"/>
      <c r="L4" s="1237"/>
      <c r="M4" s="1237"/>
      <c r="N4" s="1237"/>
      <c r="O4" s="1237"/>
      <c r="P4" s="1237"/>
      <c r="Q4" s="1237"/>
      <c r="R4" s="1237"/>
      <c r="S4" s="1237"/>
      <c r="T4" s="1157"/>
    </row>
    <row r="5" spans="1:24" s="1" customFormat="1" ht="13.5" thickBot="1" x14ac:dyDescent="0.25">
      <c r="A5" s="2"/>
      <c r="B5" s="2"/>
      <c r="C5" s="2"/>
      <c r="D5" s="2"/>
      <c r="E5" s="1162"/>
      <c r="F5" s="1162"/>
      <c r="G5" s="199"/>
      <c r="H5" s="1162"/>
      <c r="I5" s="732"/>
      <c r="J5" s="1162"/>
      <c r="K5" s="3"/>
      <c r="L5" s="3"/>
      <c r="M5" s="3"/>
      <c r="N5" s="3"/>
      <c r="O5" s="67"/>
      <c r="P5" s="1163"/>
      <c r="Q5" s="1162"/>
      <c r="R5" s="1162"/>
      <c r="S5" s="1162"/>
      <c r="T5" s="1162"/>
    </row>
    <row r="6" spans="1:24" s="1" customFormat="1" ht="22.5" customHeight="1" x14ac:dyDescent="0.2">
      <c r="A6" s="1238" t="s">
        <v>2</v>
      </c>
      <c r="B6" s="1241" t="s">
        <v>3</v>
      </c>
      <c r="C6" s="1241" t="s">
        <v>4</v>
      </c>
      <c r="D6" s="279"/>
      <c r="E6" s="1244" t="s">
        <v>5</v>
      </c>
      <c r="F6" s="1246" t="s">
        <v>6</v>
      </c>
      <c r="G6" s="1248" t="s">
        <v>132</v>
      </c>
      <c r="H6" s="1251" t="s">
        <v>7</v>
      </c>
      <c r="I6" s="1449" t="s">
        <v>130</v>
      </c>
      <c r="J6" s="1253" t="s">
        <v>8</v>
      </c>
      <c r="K6" s="1473" t="s">
        <v>219</v>
      </c>
      <c r="L6" s="1473" t="s">
        <v>163</v>
      </c>
      <c r="M6" s="1473" t="s">
        <v>142</v>
      </c>
      <c r="N6" s="1473" t="s">
        <v>143</v>
      </c>
      <c r="O6" s="1220" t="s">
        <v>9</v>
      </c>
      <c r="P6" s="1221"/>
      <c r="Q6" s="1221"/>
      <c r="R6" s="1221"/>
      <c r="S6" s="1222"/>
    </row>
    <row r="7" spans="1:24" s="1" customFormat="1" ht="16.5" customHeight="1" x14ac:dyDescent="0.2">
      <c r="A7" s="1239"/>
      <c r="B7" s="1242"/>
      <c r="C7" s="1242"/>
      <c r="D7" s="280"/>
      <c r="E7" s="1245"/>
      <c r="F7" s="1247"/>
      <c r="G7" s="1249"/>
      <c r="H7" s="1252"/>
      <c r="I7" s="1450"/>
      <c r="J7" s="1254"/>
      <c r="K7" s="1474"/>
      <c r="L7" s="1476"/>
      <c r="M7" s="1476"/>
      <c r="N7" s="1476"/>
      <c r="O7" s="1471" t="s">
        <v>5</v>
      </c>
      <c r="P7" s="1225" t="s">
        <v>10</v>
      </c>
      <c r="Q7" s="1226"/>
      <c r="R7" s="1226"/>
      <c r="S7" s="1227"/>
    </row>
    <row r="8" spans="1:24" s="1" customFormat="1" ht="76.5" customHeight="1" thickBot="1" x14ac:dyDescent="0.25">
      <c r="A8" s="1240"/>
      <c r="B8" s="1243"/>
      <c r="C8" s="1243"/>
      <c r="D8" s="280"/>
      <c r="E8" s="1245"/>
      <c r="F8" s="1247"/>
      <c r="G8" s="1250"/>
      <c r="H8" s="1252"/>
      <c r="I8" s="1451"/>
      <c r="J8" s="1255"/>
      <c r="K8" s="1475"/>
      <c r="L8" s="1477"/>
      <c r="M8" s="1477"/>
      <c r="N8" s="1477"/>
      <c r="O8" s="1472"/>
      <c r="P8" s="161" t="s">
        <v>76</v>
      </c>
      <c r="Q8" s="288" t="s">
        <v>144</v>
      </c>
      <c r="R8" s="289" t="s">
        <v>145</v>
      </c>
      <c r="S8" s="287" t="s">
        <v>146</v>
      </c>
    </row>
    <row r="9" spans="1:24" s="1" customFormat="1" ht="16.5" customHeight="1" thickBot="1" x14ac:dyDescent="0.25">
      <c r="A9" s="1452" t="s">
        <v>11</v>
      </c>
      <c r="B9" s="1453"/>
      <c r="C9" s="1453"/>
      <c r="D9" s="1453"/>
      <c r="E9" s="1453"/>
      <c r="F9" s="1453"/>
      <c r="G9" s="1453"/>
      <c r="H9" s="1453"/>
      <c r="I9" s="1454"/>
      <c r="J9" s="1454"/>
      <c r="K9" s="1454"/>
      <c r="L9" s="1454"/>
      <c r="M9" s="1454"/>
      <c r="N9" s="1454"/>
      <c r="O9" s="1453"/>
      <c r="P9" s="1453"/>
      <c r="Q9" s="1453"/>
      <c r="R9" s="1453"/>
      <c r="S9" s="1455"/>
    </row>
    <row r="10" spans="1:24" s="1" customFormat="1" ht="13.5" thickBot="1" x14ac:dyDescent="0.25">
      <c r="A10" s="1456" t="s">
        <v>12</v>
      </c>
      <c r="B10" s="1457"/>
      <c r="C10" s="1457"/>
      <c r="D10" s="1457"/>
      <c r="E10" s="1457"/>
      <c r="F10" s="1457"/>
      <c r="G10" s="1457"/>
      <c r="H10" s="1457"/>
      <c r="I10" s="1457"/>
      <c r="J10" s="1457"/>
      <c r="K10" s="1457"/>
      <c r="L10" s="1457"/>
      <c r="M10" s="1457"/>
      <c r="N10" s="1457"/>
      <c r="O10" s="1457"/>
      <c r="P10" s="1457"/>
      <c r="Q10" s="1457"/>
      <c r="R10" s="1457"/>
      <c r="S10" s="1458"/>
    </row>
    <row r="11" spans="1:24" s="1" customFormat="1" ht="15" customHeight="1" thickBot="1" x14ac:dyDescent="0.25">
      <c r="A11" s="128" t="s">
        <v>13</v>
      </c>
      <c r="B11" s="1459" t="s">
        <v>14</v>
      </c>
      <c r="C11" s="1459"/>
      <c r="D11" s="1459"/>
      <c r="E11" s="1459"/>
      <c r="F11" s="1459"/>
      <c r="G11" s="1459"/>
      <c r="H11" s="1459"/>
      <c r="I11" s="1459"/>
      <c r="J11" s="1459"/>
      <c r="K11" s="1460"/>
      <c r="L11" s="1460"/>
      <c r="M11" s="1460"/>
      <c r="N11" s="1460"/>
      <c r="O11" s="1460"/>
      <c r="P11" s="1460"/>
      <c r="Q11" s="1460"/>
      <c r="R11" s="1460"/>
      <c r="S11" s="1461"/>
    </row>
    <row r="12" spans="1:24" s="1" customFormat="1" ht="16.5" customHeight="1" thickBot="1" x14ac:dyDescent="0.25">
      <c r="A12" s="1129" t="s">
        <v>13</v>
      </c>
      <c r="B12" s="85" t="s">
        <v>13</v>
      </c>
      <c r="C12" s="1462" t="s">
        <v>15</v>
      </c>
      <c r="D12" s="1463"/>
      <c r="E12" s="1463"/>
      <c r="F12" s="1463"/>
      <c r="G12" s="1463"/>
      <c r="H12" s="1463"/>
      <c r="I12" s="1463"/>
      <c r="J12" s="1463"/>
      <c r="K12" s="1463"/>
      <c r="L12" s="1463"/>
      <c r="M12" s="1463"/>
      <c r="N12" s="1463"/>
      <c r="O12" s="1463"/>
      <c r="P12" s="1463"/>
      <c r="Q12" s="1463"/>
      <c r="R12" s="1463"/>
      <c r="S12" s="1464"/>
    </row>
    <row r="13" spans="1:24" s="1" customFormat="1" ht="28.5" customHeight="1" x14ac:dyDescent="0.2">
      <c r="A13" s="137" t="s">
        <v>13</v>
      </c>
      <c r="B13" s="876" t="s">
        <v>13</v>
      </c>
      <c r="C13" s="879" t="s">
        <v>13</v>
      </c>
      <c r="D13" s="451"/>
      <c r="E13" s="1204" t="s">
        <v>319</v>
      </c>
      <c r="F13" s="1206" t="s">
        <v>66</v>
      </c>
      <c r="G13" s="1209">
        <v>11020306</v>
      </c>
      <c r="H13" s="1212" t="s">
        <v>16</v>
      </c>
      <c r="I13" s="1139" t="s">
        <v>101</v>
      </c>
      <c r="J13" s="43" t="s">
        <v>17</v>
      </c>
      <c r="K13" s="465"/>
      <c r="L13" s="464">
        <v>4</v>
      </c>
      <c r="M13" s="221">
        <v>4</v>
      </c>
      <c r="N13" s="465">
        <v>4</v>
      </c>
      <c r="O13" s="267" t="s">
        <v>160</v>
      </c>
      <c r="P13" s="467"/>
      <c r="Q13" s="321">
        <v>60</v>
      </c>
      <c r="R13" s="322">
        <v>60</v>
      </c>
      <c r="S13" s="323">
        <v>60</v>
      </c>
    </row>
    <row r="14" spans="1:24" s="1" customFormat="1" ht="42" customHeight="1" x14ac:dyDescent="0.2">
      <c r="A14" s="138"/>
      <c r="B14" s="877"/>
      <c r="C14" s="880"/>
      <c r="D14" s="152"/>
      <c r="E14" s="1205"/>
      <c r="F14" s="1207"/>
      <c r="G14" s="1210"/>
      <c r="H14" s="1213"/>
      <c r="I14" s="733"/>
      <c r="J14" s="21" t="s">
        <v>17</v>
      </c>
      <c r="K14" s="662"/>
      <c r="L14" s="464">
        <v>44</v>
      </c>
      <c r="M14" s="221"/>
      <c r="N14" s="465"/>
      <c r="O14" s="468" t="s">
        <v>161</v>
      </c>
      <c r="P14" s="469"/>
      <c r="Q14" s="470">
        <v>1</v>
      </c>
      <c r="R14" s="358"/>
      <c r="S14" s="359"/>
      <c r="V14" s="14"/>
    </row>
    <row r="15" spans="1:24" s="1" customFormat="1" ht="30.75" customHeight="1" x14ac:dyDescent="0.2">
      <c r="A15" s="138"/>
      <c r="B15" s="877"/>
      <c r="C15" s="880"/>
      <c r="D15" s="152"/>
      <c r="E15" s="882"/>
      <c r="F15" s="1207"/>
      <c r="G15" s="1210"/>
      <c r="H15" s="1213"/>
      <c r="I15" s="733"/>
      <c r="J15" s="21" t="s">
        <v>17</v>
      </c>
      <c r="K15" s="662"/>
      <c r="L15" s="259"/>
      <c r="M15" s="260">
        <v>90</v>
      </c>
      <c r="N15" s="282"/>
      <c r="O15" s="1101" t="s">
        <v>147</v>
      </c>
      <c r="P15" s="164"/>
      <c r="Q15" s="357"/>
      <c r="R15" s="358">
        <v>1</v>
      </c>
      <c r="S15" s="359"/>
      <c r="V15" s="14"/>
    </row>
    <row r="16" spans="1:24" s="1" customFormat="1" ht="29.25" customHeight="1" thickBot="1" x14ac:dyDescent="0.25">
      <c r="A16" s="138"/>
      <c r="B16" s="877"/>
      <c r="C16" s="880"/>
      <c r="D16" s="152"/>
      <c r="E16" s="882"/>
      <c r="F16" s="1207"/>
      <c r="G16" s="1210"/>
      <c r="H16" s="1213"/>
      <c r="I16" s="734"/>
      <c r="J16" s="21" t="s">
        <v>17</v>
      </c>
      <c r="K16" s="465">
        <v>20.6</v>
      </c>
      <c r="L16" s="251"/>
      <c r="M16" s="840"/>
      <c r="N16" s="285">
        <v>20.6</v>
      </c>
      <c r="O16" s="463" t="s">
        <v>90</v>
      </c>
      <c r="P16" s="164">
        <v>1</v>
      </c>
      <c r="Q16" s="293"/>
      <c r="R16" s="294"/>
      <c r="S16" s="295">
        <v>1</v>
      </c>
      <c r="W16" s="14"/>
      <c r="X16" s="14"/>
    </row>
    <row r="17" spans="1:24" s="1" customFormat="1" ht="29.25" customHeight="1" x14ac:dyDescent="0.2">
      <c r="A17" s="138"/>
      <c r="B17" s="877"/>
      <c r="C17" s="880"/>
      <c r="D17" s="152"/>
      <c r="E17" s="882"/>
      <c r="F17" s="1207"/>
      <c r="G17" s="1210"/>
      <c r="H17" s="1213"/>
      <c r="I17" s="734"/>
      <c r="J17" s="4" t="s">
        <v>17</v>
      </c>
      <c r="K17" s="703">
        <v>4</v>
      </c>
      <c r="L17" s="369"/>
      <c r="M17" s="223"/>
      <c r="N17" s="283"/>
      <c r="O17" s="110" t="s">
        <v>112</v>
      </c>
      <c r="P17" s="162">
        <v>3</v>
      </c>
      <c r="Q17" s="770"/>
      <c r="R17" s="300"/>
      <c r="S17" s="301"/>
      <c r="W17" s="14"/>
      <c r="X17" s="14"/>
    </row>
    <row r="18" spans="1:24" s="1" customFormat="1" ht="29.25" customHeight="1" x14ac:dyDescent="0.2">
      <c r="A18" s="138"/>
      <c r="B18" s="877"/>
      <c r="C18" s="880"/>
      <c r="D18" s="152"/>
      <c r="E18" s="882"/>
      <c r="F18" s="1207"/>
      <c r="G18" s="1210"/>
      <c r="H18" s="1213"/>
      <c r="I18" s="734"/>
      <c r="J18" s="13"/>
      <c r="K18" s="664"/>
      <c r="L18" s="259"/>
      <c r="M18" s="260"/>
      <c r="N18" s="282"/>
      <c r="O18" s="1465" t="s">
        <v>69</v>
      </c>
      <c r="P18" s="163">
        <v>40</v>
      </c>
      <c r="Q18" s="842"/>
      <c r="R18" s="294"/>
      <c r="S18" s="295"/>
      <c r="W18" s="14"/>
      <c r="X18" s="14"/>
    </row>
    <row r="19" spans="1:24" s="1" customFormat="1" ht="15.75" customHeight="1" thickBot="1" x14ac:dyDescent="0.25">
      <c r="A19" s="139"/>
      <c r="B19" s="878"/>
      <c r="C19" s="881"/>
      <c r="D19" s="452"/>
      <c r="E19" s="883"/>
      <c r="F19" s="1208"/>
      <c r="G19" s="1211"/>
      <c r="H19" s="1214"/>
      <c r="I19" s="735"/>
      <c r="J19" s="5" t="s">
        <v>18</v>
      </c>
      <c r="K19" s="471">
        <f>SUM(K13:K18)</f>
        <v>24.6</v>
      </c>
      <c r="L19" s="211">
        <f>SUM(L13:L16)</f>
        <v>48</v>
      </c>
      <c r="M19" s="222">
        <f>SUM(M13:M16)</f>
        <v>94</v>
      </c>
      <c r="N19" s="218">
        <f>SUM(N13:N16)</f>
        <v>24.6</v>
      </c>
      <c r="O19" s="1484"/>
      <c r="P19" s="165"/>
      <c r="Q19" s="588"/>
      <c r="R19" s="297"/>
      <c r="S19" s="298"/>
      <c r="U19" s="14"/>
    </row>
    <row r="20" spans="1:24" s="1" customFormat="1" ht="27" customHeight="1" x14ac:dyDescent="0.2">
      <c r="A20" s="1262" t="s">
        <v>13</v>
      </c>
      <c r="B20" s="1265" t="s">
        <v>13</v>
      </c>
      <c r="C20" s="1268" t="s">
        <v>19</v>
      </c>
      <c r="D20" s="451"/>
      <c r="E20" s="1204" t="s">
        <v>64</v>
      </c>
      <c r="F20" s="1206"/>
      <c r="G20" s="1209">
        <v>11020307</v>
      </c>
      <c r="H20" s="1212" t="s">
        <v>16</v>
      </c>
      <c r="I20" s="1478" t="s">
        <v>101</v>
      </c>
      <c r="J20" s="4" t="s">
        <v>17</v>
      </c>
      <c r="K20" s="96">
        <v>25.9</v>
      </c>
      <c r="L20" s="369">
        <v>9</v>
      </c>
      <c r="M20" s="223">
        <v>9</v>
      </c>
      <c r="N20" s="369">
        <v>9</v>
      </c>
      <c r="O20" s="1112" t="s">
        <v>20</v>
      </c>
      <c r="P20" s="166">
        <v>20</v>
      </c>
      <c r="Q20" s="299">
        <v>20</v>
      </c>
      <c r="R20" s="300">
        <v>20</v>
      </c>
      <c r="S20" s="301">
        <v>20</v>
      </c>
    </row>
    <row r="21" spans="1:24" s="1" customFormat="1" ht="27" customHeight="1" x14ac:dyDescent="0.2">
      <c r="A21" s="1263"/>
      <c r="B21" s="1266"/>
      <c r="C21" s="1269"/>
      <c r="D21" s="152"/>
      <c r="E21" s="1205"/>
      <c r="F21" s="1207"/>
      <c r="G21" s="1210"/>
      <c r="H21" s="1213"/>
      <c r="I21" s="1479"/>
      <c r="J21" s="44" t="s">
        <v>79</v>
      </c>
      <c r="K21" s="695"/>
      <c r="L21" s="508">
        <v>6</v>
      </c>
      <c r="M21" s="506"/>
      <c r="N21" s="508"/>
      <c r="O21" s="94" t="s">
        <v>162</v>
      </c>
      <c r="P21" s="58"/>
      <c r="Q21" s="472">
        <v>300</v>
      </c>
      <c r="R21" s="319">
        <v>300</v>
      </c>
      <c r="S21" s="29">
        <v>300</v>
      </c>
    </row>
    <row r="22" spans="1:24" s="1" customFormat="1" ht="36" customHeight="1" x14ac:dyDescent="0.2">
      <c r="A22" s="1263"/>
      <c r="B22" s="1266"/>
      <c r="C22" s="1269"/>
      <c r="D22" s="152"/>
      <c r="E22" s="1205"/>
      <c r="F22" s="1207"/>
      <c r="G22" s="1210"/>
      <c r="H22" s="1213"/>
      <c r="I22" s="1479"/>
      <c r="J22" s="13"/>
      <c r="K22" s="696"/>
      <c r="L22" s="213"/>
      <c r="M22" s="224"/>
      <c r="N22" s="377"/>
      <c r="O22" s="1480" t="s">
        <v>117</v>
      </c>
      <c r="P22" s="164">
        <v>100</v>
      </c>
      <c r="Q22" s="302"/>
      <c r="R22" s="303"/>
      <c r="S22" s="304"/>
      <c r="X22" s="14"/>
    </row>
    <row r="23" spans="1:24" s="1" customFormat="1" ht="18.75" customHeight="1" thickBot="1" x14ac:dyDescent="0.25">
      <c r="A23" s="1264"/>
      <c r="B23" s="1267"/>
      <c r="C23" s="1269"/>
      <c r="D23" s="152"/>
      <c r="E23" s="1205"/>
      <c r="F23" s="1207"/>
      <c r="G23" s="1211"/>
      <c r="H23" s="1272"/>
      <c r="I23" s="735"/>
      <c r="J23" s="1092" t="s">
        <v>18</v>
      </c>
      <c r="K23" s="471">
        <f t="shared" ref="K23:N23" si="0">+K20</f>
        <v>25.9</v>
      </c>
      <c r="L23" s="211">
        <f>SUM(L20:L22)</f>
        <v>15</v>
      </c>
      <c r="M23" s="222">
        <f t="shared" si="0"/>
        <v>9</v>
      </c>
      <c r="N23" s="218">
        <f t="shared" si="0"/>
        <v>9</v>
      </c>
      <c r="O23" s="1481"/>
      <c r="P23" s="167"/>
      <c r="Q23" s="305"/>
      <c r="R23" s="306"/>
      <c r="S23" s="307"/>
      <c r="V23" s="14"/>
    </row>
    <row r="24" spans="1:24" s="1" customFormat="1" ht="30" customHeight="1" x14ac:dyDescent="0.2">
      <c r="A24" s="1262" t="s">
        <v>13</v>
      </c>
      <c r="B24" s="1265" t="s">
        <v>13</v>
      </c>
      <c r="C24" s="1268" t="s">
        <v>21</v>
      </c>
      <c r="D24" s="451"/>
      <c r="E24" s="1204" t="s">
        <v>167</v>
      </c>
      <c r="F24" s="1206"/>
      <c r="G24" s="1209">
        <v>11020310</v>
      </c>
      <c r="H24" s="1212" t="s">
        <v>16</v>
      </c>
      <c r="I24" s="736" t="s">
        <v>101</v>
      </c>
      <c r="J24" s="4" t="s">
        <v>17</v>
      </c>
      <c r="K24" s="96">
        <v>29.2</v>
      </c>
      <c r="L24" s="212">
        <v>10</v>
      </c>
      <c r="M24" s="223">
        <v>10</v>
      </c>
      <c r="N24" s="369">
        <v>10</v>
      </c>
      <c r="O24" s="584" t="s">
        <v>93</v>
      </c>
      <c r="P24" s="585">
        <v>851</v>
      </c>
      <c r="Q24" s="586">
        <v>200</v>
      </c>
      <c r="R24" s="309">
        <v>200</v>
      </c>
      <c r="S24" s="175">
        <v>200</v>
      </c>
    </row>
    <row r="25" spans="1:24" s="1" customFormat="1" ht="37.5" customHeight="1" x14ac:dyDescent="0.2">
      <c r="A25" s="1263"/>
      <c r="B25" s="1266"/>
      <c r="C25" s="1269"/>
      <c r="D25" s="152"/>
      <c r="E25" s="1205"/>
      <c r="F25" s="1207"/>
      <c r="G25" s="1210"/>
      <c r="H25" s="1213"/>
      <c r="I25" s="733"/>
      <c r="J25" s="857" t="s">
        <v>17</v>
      </c>
      <c r="K25" s="859"/>
      <c r="L25" s="464">
        <v>23.3</v>
      </c>
      <c r="M25" s="858">
        <f>+L25</f>
        <v>23.3</v>
      </c>
      <c r="N25" s="859">
        <f>+L25</f>
        <v>23.3</v>
      </c>
      <c r="O25" s="1215" t="s">
        <v>168</v>
      </c>
      <c r="P25" s="411"/>
      <c r="Q25" s="387">
        <v>32</v>
      </c>
      <c r="R25" s="311">
        <v>32</v>
      </c>
      <c r="S25" s="312">
        <v>32</v>
      </c>
      <c r="X25" s="14"/>
    </row>
    <row r="26" spans="1:24" s="1" customFormat="1" ht="18" customHeight="1" thickBot="1" x14ac:dyDescent="0.25">
      <c r="A26" s="1264"/>
      <c r="B26" s="1267"/>
      <c r="C26" s="1269"/>
      <c r="D26" s="152"/>
      <c r="E26" s="1205"/>
      <c r="F26" s="1207"/>
      <c r="G26" s="1211"/>
      <c r="H26" s="1272"/>
      <c r="I26" s="735"/>
      <c r="J26" s="1092" t="s">
        <v>18</v>
      </c>
      <c r="K26" s="471">
        <f t="shared" ref="K26" si="1">+K24</f>
        <v>29.2</v>
      </c>
      <c r="L26" s="211">
        <f>SUM(L24:L25)</f>
        <v>33.299999999999997</v>
      </c>
      <c r="M26" s="222">
        <f t="shared" ref="M26:N26" si="2">SUM(M24:M25)</f>
        <v>33.299999999999997</v>
      </c>
      <c r="N26" s="379">
        <f t="shared" si="2"/>
        <v>33.299999999999997</v>
      </c>
      <c r="O26" s="1216"/>
      <c r="P26" s="587"/>
      <c r="Q26" s="588"/>
      <c r="R26" s="297"/>
      <c r="S26" s="298"/>
    </row>
    <row r="27" spans="1:24" s="1" customFormat="1" ht="28.5" customHeight="1" x14ac:dyDescent="0.2">
      <c r="A27" s="1262" t="s">
        <v>13</v>
      </c>
      <c r="B27" s="1265" t="s">
        <v>13</v>
      </c>
      <c r="C27" s="1268" t="s">
        <v>34</v>
      </c>
      <c r="D27" s="451"/>
      <c r="E27" s="1204" t="s">
        <v>134</v>
      </c>
      <c r="F27" s="1206"/>
      <c r="G27" s="1209">
        <v>11020310</v>
      </c>
      <c r="H27" s="1133" t="s">
        <v>16</v>
      </c>
      <c r="I27" s="736" t="s">
        <v>101</v>
      </c>
      <c r="J27" s="6" t="s">
        <v>17</v>
      </c>
      <c r="K27" s="704">
        <v>113.8</v>
      </c>
      <c r="L27" s="250">
        <v>153</v>
      </c>
      <c r="M27" s="257">
        <v>153</v>
      </c>
      <c r="N27" s="378">
        <v>153</v>
      </c>
      <c r="O27" s="275" t="s">
        <v>125</v>
      </c>
      <c r="P27" s="276">
        <v>6880</v>
      </c>
      <c r="Q27" s="589">
        <v>10904</v>
      </c>
      <c r="R27" s="436">
        <v>10904</v>
      </c>
      <c r="S27" s="175">
        <v>10904</v>
      </c>
      <c r="W27" s="14"/>
    </row>
    <row r="28" spans="1:24" s="1" customFormat="1" ht="16.5" customHeight="1" x14ac:dyDescent="0.2">
      <c r="A28" s="1263"/>
      <c r="B28" s="1266"/>
      <c r="C28" s="1269"/>
      <c r="D28" s="152"/>
      <c r="E28" s="1205"/>
      <c r="F28" s="1207"/>
      <c r="G28" s="1210"/>
      <c r="H28" s="1134">
        <v>3</v>
      </c>
      <c r="I28" s="733"/>
      <c r="J28" s="13" t="s">
        <v>17</v>
      </c>
      <c r="K28" s="696">
        <v>5.7</v>
      </c>
      <c r="L28" s="259">
        <v>10.4</v>
      </c>
      <c r="M28" s="260">
        <v>10.4</v>
      </c>
      <c r="N28" s="377">
        <v>10.4</v>
      </c>
      <c r="O28" s="1418" t="s">
        <v>135</v>
      </c>
      <c r="P28" s="172">
        <v>64</v>
      </c>
      <c r="Q28" s="360">
        <v>88</v>
      </c>
      <c r="R28" s="1100">
        <v>88</v>
      </c>
      <c r="S28" s="172">
        <v>88</v>
      </c>
    </row>
    <row r="29" spans="1:24" s="1" customFormat="1" ht="15.75" customHeight="1" thickBot="1" x14ac:dyDescent="0.25">
      <c r="A29" s="1264"/>
      <c r="B29" s="1267"/>
      <c r="C29" s="1269"/>
      <c r="D29" s="452"/>
      <c r="E29" s="1205"/>
      <c r="F29" s="1207"/>
      <c r="G29" s="1211"/>
      <c r="H29" s="261"/>
      <c r="I29" s="735"/>
      <c r="J29" s="1092" t="s">
        <v>18</v>
      </c>
      <c r="K29" s="471">
        <f>SUM(K27:K28)</f>
        <v>119.5</v>
      </c>
      <c r="L29" s="211">
        <f t="shared" ref="L29:N29" si="3">SUM(L27:L28)</f>
        <v>163.4</v>
      </c>
      <c r="M29" s="222">
        <f t="shared" si="3"/>
        <v>163.4</v>
      </c>
      <c r="N29" s="379">
        <f t="shared" si="3"/>
        <v>163.4</v>
      </c>
      <c r="O29" s="1383"/>
      <c r="P29" s="167"/>
      <c r="Q29" s="316"/>
      <c r="R29" s="437"/>
      <c r="S29" s="438"/>
    </row>
    <row r="30" spans="1:24" s="621" customFormat="1" ht="30" customHeight="1" x14ac:dyDescent="0.2">
      <c r="A30" s="1262" t="s">
        <v>13</v>
      </c>
      <c r="B30" s="1265" t="s">
        <v>13</v>
      </c>
      <c r="C30" s="1268" t="s">
        <v>63</v>
      </c>
      <c r="D30" s="451"/>
      <c r="E30" s="1281" t="s">
        <v>320</v>
      </c>
      <c r="F30" s="1206"/>
      <c r="G30" s="1302">
        <v>11020310</v>
      </c>
      <c r="H30" s="1293" t="s">
        <v>16</v>
      </c>
      <c r="I30" s="1403" t="s">
        <v>101</v>
      </c>
      <c r="J30" s="625" t="s">
        <v>17</v>
      </c>
      <c r="K30" s="704"/>
      <c r="L30" s="257">
        <f>+K30+25</f>
        <v>25</v>
      </c>
      <c r="M30" s="546">
        <v>25</v>
      </c>
      <c r="N30" s="704">
        <v>25</v>
      </c>
      <c r="O30" s="1300" t="s">
        <v>321</v>
      </c>
      <c r="P30" s="1485"/>
      <c r="Q30" s="1487">
        <v>2</v>
      </c>
      <c r="R30" s="1298">
        <v>2</v>
      </c>
      <c r="S30" s="1286">
        <v>2</v>
      </c>
      <c r="T30" s="867"/>
    </row>
    <row r="31" spans="1:24" s="621" customFormat="1" ht="15.75" customHeight="1" thickBot="1" x14ac:dyDescent="0.25">
      <c r="A31" s="1264"/>
      <c r="B31" s="1267"/>
      <c r="C31" s="1269"/>
      <c r="D31" s="452"/>
      <c r="E31" s="1282"/>
      <c r="F31" s="1207"/>
      <c r="G31" s="1303"/>
      <c r="H31" s="1294"/>
      <c r="I31" s="1404"/>
      <c r="J31" s="1148" t="s">
        <v>18</v>
      </c>
      <c r="K31" s="471">
        <f>SUM(K30:K30)</f>
        <v>0</v>
      </c>
      <c r="L31" s="211">
        <f>SUM(L30:L30)</f>
        <v>25</v>
      </c>
      <c r="M31" s="222">
        <f>SUM(M30:M30)</f>
        <v>25</v>
      </c>
      <c r="N31" s="379">
        <f>SUM(N30:N30)</f>
        <v>25</v>
      </c>
      <c r="O31" s="1216"/>
      <c r="P31" s="1486"/>
      <c r="Q31" s="1488"/>
      <c r="R31" s="1299"/>
      <c r="S31" s="1287"/>
      <c r="T31" s="620"/>
    </row>
    <row r="32" spans="1:24" s="1" customFormat="1" ht="30.75" customHeight="1" x14ac:dyDescent="0.2">
      <c r="A32" s="1121"/>
      <c r="B32" s="1094"/>
      <c r="C32" s="1123"/>
      <c r="D32" s="451"/>
      <c r="E32" s="1131" t="s">
        <v>83</v>
      </c>
      <c r="F32" s="1115"/>
      <c r="G32" s="1209">
        <v>11020502</v>
      </c>
      <c r="H32" s="63">
        <v>3</v>
      </c>
      <c r="I32" s="1139"/>
      <c r="J32" s="6" t="s">
        <v>17</v>
      </c>
      <c r="K32" s="704">
        <f>39.8+40</f>
        <v>79.8</v>
      </c>
      <c r="L32" s="214"/>
      <c r="M32" s="375"/>
      <c r="N32" s="378"/>
      <c r="O32" s="49" t="s">
        <v>84</v>
      </c>
      <c r="P32" s="162">
        <v>100</v>
      </c>
      <c r="Q32" s="308"/>
      <c r="R32" s="309"/>
      <c r="S32" s="310"/>
      <c r="W32" s="14"/>
    </row>
    <row r="33" spans="1:24" s="1" customFormat="1" ht="30" customHeight="1" x14ac:dyDescent="0.2">
      <c r="A33" s="1129"/>
      <c r="B33" s="1130"/>
      <c r="C33" s="1124"/>
      <c r="D33" s="152"/>
      <c r="E33" s="1132"/>
      <c r="F33" s="1116"/>
      <c r="G33" s="1210"/>
      <c r="H33" s="1134"/>
      <c r="I33" s="734"/>
      <c r="J33" s="13" t="s">
        <v>17</v>
      </c>
      <c r="K33" s="465">
        <v>86.1</v>
      </c>
      <c r="L33" s="251"/>
      <c r="M33" s="840"/>
      <c r="N33" s="285"/>
      <c r="O33" s="1215" t="s">
        <v>91</v>
      </c>
      <c r="P33" s="164">
        <v>100</v>
      </c>
      <c r="Q33" s="293"/>
      <c r="R33" s="294"/>
      <c r="S33" s="295"/>
      <c r="U33" s="14"/>
    </row>
    <row r="34" spans="1:24" s="1" customFormat="1" ht="15.75" customHeight="1" x14ac:dyDescent="0.2">
      <c r="A34" s="1129"/>
      <c r="B34" s="1130"/>
      <c r="C34" s="1124"/>
      <c r="D34" s="152"/>
      <c r="E34" s="1132"/>
      <c r="F34" s="1116"/>
      <c r="G34" s="1117"/>
      <c r="H34" s="1134"/>
      <c r="I34" s="734"/>
      <c r="J34" s="44" t="s">
        <v>79</v>
      </c>
      <c r="K34" s="1152">
        <v>31.8</v>
      </c>
      <c r="L34" s="215"/>
      <c r="M34" s="225"/>
      <c r="N34" s="220"/>
      <c r="O34" s="1336"/>
      <c r="P34" s="163"/>
      <c r="Q34" s="1154"/>
      <c r="R34" s="311"/>
      <c r="S34" s="312"/>
      <c r="U34" s="14"/>
    </row>
    <row r="35" spans="1:24" s="1" customFormat="1" ht="43.5" customHeight="1" x14ac:dyDescent="0.2">
      <c r="A35" s="1129"/>
      <c r="B35" s="1130"/>
      <c r="C35" s="1124"/>
      <c r="D35" s="152"/>
      <c r="E35" s="1132"/>
      <c r="F35" s="1116"/>
      <c r="G35" s="1117"/>
      <c r="H35" s="1135">
        <v>2</v>
      </c>
      <c r="I35" s="737"/>
      <c r="J35" s="44" t="s">
        <v>17</v>
      </c>
      <c r="K35" s="465">
        <v>65</v>
      </c>
      <c r="L35" s="210"/>
      <c r="M35" s="221"/>
      <c r="N35" s="217"/>
      <c r="O35" s="1215" t="s">
        <v>92</v>
      </c>
      <c r="P35" s="164">
        <v>1</v>
      </c>
      <c r="Q35" s="293"/>
      <c r="R35" s="294"/>
      <c r="S35" s="295"/>
      <c r="V35" s="14"/>
    </row>
    <row r="36" spans="1:24" s="1" customFormat="1" ht="15.75" customHeight="1" thickBot="1" x14ac:dyDescent="0.25">
      <c r="A36" s="1122"/>
      <c r="B36" s="1095"/>
      <c r="C36" s="1161"/>
      <c r="D36" s="452"/>
      <c r="E36" s="126"/>
      <c r="F36" s="1137"/>
      <c r="G36" s="1103"/>
      <c r="H36" s="158"/>
      <c r="I36" s="738"/>
      <c r="J36" s="1148" t="s">
        <v>18</v>
      </c>
      <c r="K36" s="471">
        <f>SUM(K32:K35)</f>
        <v>262.7</v>
      </c>
      <c r="L36" s="216"/>
      <c r="M36" s="226"/>
      <c r="N36" s="284"/>
      <c r="O36" s="1216"/>
      <c r="P36" s="167"/>
      <c r="Q36" s="296"/>
      <c r="R36" s="297"/>
      <c r="S36" s="298"/>
    </row>
    <row r="37" spans="1:24" s="1" customFormat="1" ht="13.5" thickBot="1" x14ac:dyDescent="0.25">
      <c r="A37" s="129" t="s">
        <v>13</v>
      </c>
      <c r="B37" s="7" t="s">
        <v>13</v>
      </c>
      <c r="C37" s="1288" t="s">
        <v>22</v>
      </c>
      <c r="D37" s="1289"/>
      <c r="E37" s="1289"/>
      <c r="F37" s="1289"/>
      <c r="G37" s="1289"/>
      <c r="H37" s="1289"/>
      <c r="I37" s="1289"/>
      <c r="J37" s="1289"/>
      <c r="K37" s="691">
        <f>K36+K23+K19+K26+K29</f>
        <v>461.9</v>
      </c>
      <c r="L37" s="8">
        <f>L36+L23+L19+L26+L29+L31</f>
        <v>284.7</v>
      </c>
      <c r="M37" s="227">
        <f t="shared" ref="M37:N37" si="4">M36+M23+M19+M26+M29+M31</f>
        <v>324.70000000000005</v>
      </c>
      <c r="N37" s="559">
        <f t="shared" si="4"/>
        <v>255.3</v>
      </c>
      <c r="O37" s="1290"/>
      <c r="P37" s="1291"/>
      <c r="Q37" s="1291"/>
      <c r="R37" s="1291"/>
      <c r="S37" s="1292"/>
    </row>
    <row r="38" spans="1:24" s="1" customFormat="1" ht="13.5" thickBot="1" x14ac:dyDescent="0.25">
      <c r="A38" s="129" t="s">
        <v>13</v>
      </c>
      <c r="B38" s="9" t="s">
        <v>19</v>
      </c>
      <c r="C38" s="1283" t="s">
        <v>23</v>
      </c>
      <c r="D38" s="1284"/>
      <c r="E38" s="1284"/>
      <c r="F38" s="1284"/>
      <c r="G38" s="1284"/>
      <c r="H38" s="1284"/>
      <c r="I38" s="1284"/>
      <c r="J38" s="1284"/>
      <c r="K38" s="1284"/>
      <c r="L38" s="1284"/>
      <c r="M38" s="1284"/>
      <c r="N38" s="1284"/>
      <c r="O38" s="1284"/>
      <c r="P38" s="1284"/>
      <c r="Q38" s="1284"/>
      <c r="R38" s="1284"/>
      <c r="S38" s="1285"/>
    </row>
    <row r="39" spans="1:24" s="1" customFormat="1" ht="19.5" customHeight="1" x14ac:dyDescent="0.2">
      <c r="A39" s="130" t="s">
        <v>13</v>
      </c>
      <c r="B39" s="1094" t="s">
        <v>19</v>
      </c>
      <c r="C39" s="12" t="s">
        <v>13</v>
      </c>
      <c r="D39" s="451"/>
      <c r="E39" s="1276" t="s">
        <v>24</v>
      </c>
      <c r="F39" s="177"/>
      <c r="G39" s="200"/>
      <c r="H39" s="1098">
        <v>2</v>
      </c>
      <c r="I39" s="1405" t="s">
        <v>101</v>
      </c>
      <c r="J39" s="189" t="s">
        <v>25</v>
      </c>
      <c r="K39" s="96">
        <v>361.4</v>
      </c>
      <c r="L39" s="250">
        <v>350.3</v>
      </c>
      <c r="M39" s="257">
        <v>350.3</v>
      </c>
      <c r="N39" s="283">
        <v>350.3</v>
      </c>
      <c r="O39" s="1300" t="s">
        <v>31</v>
      </c>
      <c r="P39" s="594">
        <v>14.3</v>
      </c>
      <c r="Q39" s="598"/>
      <c r="R39" s="361"/>
      <c r="S39" s="362"/>
      <c r="T39" s="11"/>
      <c r="W39" s="14"/>
    </row>
    <row r="40" spans="1:24" s="1" customFormat="1" ht="21.75" customHeight="1" x14ac:dyDescent="0.2">
      <c r="A40" s="131"/>
      <c r="B40" s="1130"/>
      <c r="C40" s="12"/>
      <c r="D40" s="152"/>
      <c r="E40" s="1277"/>
      <c r="F40" s="177"/>
      <c r="G40" s="201"/>
      <c r="H40" s="1142"/>
      <c r="I40" s="1406"/>
      <c r="J40" s="191" t="s">
        <v>62</v>
      </c>
      <c r="K40" s="694">
        <v>50.9</v>
      </c>
      <c r="L40" s="439"/>
      <c r="M40" s="440"/>
      <c r="N40" s="228"/>
      <c r="O40" s="1301"/>
      <c r="P40" s="595"/>
      <c r="Q40" s="461"/>
      <c r="R40" s="311"/>
      <c r="S40" s="312"/>
      <c r="T40" s="11"/>
    </row>
    <row r="41" spans="1:24" s="1" customFormat="1" ht="30" customHeight="1" x14ac:dyDescent="0.2">
      <c r="A41" s="131"/>
      <c r="B41" s="1130"/>
      <c r="C41" s="12"/>
      <c r="D41" s="152"/>
      <c r="E41" s="1120"/>
      <c r="F41" s="177"/>
      <c r="G41" s="201"/>
      <c r="H41" s="1142"/>
      <c r="I41" s="739"/>
      <c r="J41" s="44"/>
      <c r="K41" s="695"/>
      <c r="L41" s="609"/>
      <c r="M41" s="610"/>
      <c r="N41" s="507"/>
      <c r="O41" s="1089" t="s">
        <v>26</v>
      </c>
      <c r="P41" s="529">
        <v>3023</v>
      </c>
      <c r="Q41" s="599">
        <v>3000</v>
      </c>
      <c r="R41" s="592">
        <v>3100</v>
      </c>
      <c r="S41" s="593">
        <v>3125</v>
      </c>
      <c r="T41" s="718"/>
    </row>
    <row r="42" spans="1:24" s="1" customFormat="1" ht="40.5" customHeight="1" x14ac:dyDescent="0.2">
      <c r="A42" s="131"/>
      <c r="B42" s="1130"/>
      <c r="C42" s="12"/>
      <c r="D42" s="152"/>
      <c r="E42" s="1120"/>
      <c r="F42" s="177"/>
      <c r="G42" s="201"/>
      <c r="H42" s="1142"/>
      <c r="I42" s="739"/>
      <c r="J42" s="13"/>
      <c r="K42" s="696"/>
      <c r="L42" s="439"/>
      <c r="M42" s="440"/>
      <c r="N42" s="478"/>
      <c r="O42" s="267" t="s">
        <v>169</v>
      </c>
      <c r="P42" s="596"/>
      <c r="Q42" s="599">
        <v>1794</v>
      </c>
      <c r="R42" s="590">
        <v>1828</v>
      </c>
      <c r="S42" s="591">
        <v>1842</v>
      </c>
      <c r="T42" s="11"/>
      <c r="W42" s="14"/>
    </row>
    <row r="43" spans="1:24" s="1" customFormat="1" ht="30" customHeight="1" x14ac:dyDescent="0.2">
      <c r="A43" s="131"/>
      <c r="B43" s="1130"/>
      <c r="C43" s="12"/>
      <c r="D43" s="152"/>
      <c r="E43" s="1120"/>
      <c r="F43" s="177"/>
      <c r="G43" s="201"/>
      <c r="H43" s="1142"/>
      <c r="I43" s="739"/>
      <c r="J43" s="13"/>
      <c r="K43" s="696"/>
      <c r="L43" s="439"/>
      <c r="M43" s="440"/>
      <c r="N43" s="478"/>
      <c r="O43" s="267" t="s">
        <v>170</v>
      </c>
      <c r="P43" s="596"/>
      <c r="Q43" s="599">
        <v>265</v>
      </c>
      <c r="R43" s="590">
        <v>271</v>
      </c>
      <c r="S43" s="591">
        <v>277</v>
      </c>
      <c r="T43" s="11"/>
      <c r="X43" s="14"/>
    </row>
    <row r="44" spans="1:24" s="1" customFormat="1" ht="30" customHeight="1" x14ac:dyDescent="0.2">
      <c r="A44" s="131"/>
      <c r="B44" s="1130"/>
      <c r="C44" s="12"/>
      <c r="D44" s="152"/>
      <c r="E44" s="1120"/>
      <c r="F44" s="177"/>
      <c r="G44" s="201"/>
      <c r="H44" s="1142"/>
      <c r="I44" s="739"/>
      <c r="J44" s="21"/>
      <c r="K44" s="697"/>
      <c r="L44" s="606"/>
      <c r="M44" s="607"/>
      <c r="N44" s="608"/>
      <c r="O44" s="48" t="s">
        <v>94</v>
      </c>
      <c r="P44" s="596">
        <v>35</v>
      </c>
      <c r="Q44" s="599">
        <v>114</v>
      </c>
      <c r="R44" s="590">
        <v>116</v>
      </c>
      <c r="S44" s="591">
        <v>118</v>
      </c>
      <c r="T44" s="11"/>
      <c r="W44" s="14"/>
    </row>
    <row r="45" spans="1:24" s="1" customFormat="1" ht="28.5" customHeight="1" x14ac:dyDescent="0.2">
      <c r="A45" s="131"/>
      <c r="B45" s="1130"/>
      <c r="C45" s="12"/>
      <c r="D45" s="453" t="s">
        <v>13</v>
      </c>
      <c r="E45" s="1118" t="s">
        <v>27</v>
      </c>
      <c r="F45" s="177"/>
      <c r="G45" s="449">
        <v>11030201</v>
      </c>
      <c r="H45" s="1142"/>
      <c r="I45" s="740"/>
      <c r="J45" s="484" t="s">
        <v>17</v>
      </c>
      <c r="K45" s="1152">
        <v>1558.8</v>
      </c>
      <c r="L45" s="485">
        <f>1661.3-71.6</f>
        <v>1589.7</v>
      </c>
      <c r="M45" s="840">
        <f>1686-65+105.7-71.6</f>
        <v>1655.1000000000001</v>
      </c>
      <c r="N45" s="986">
        <f>1626.7+65+34.6-71.6</f>
        <v>1654.7</v>
      </c>
      <c r="O45" s="274" t="s">
        <v>315</v>
      </c>
      <c r="P45" s="118"/>
      <c r="Q45" s="599">
        <v>812</v>
      </c>
      <c r="R45" s="592">
        <v>840</v>
      </c>
      <c r="S45" s="593">
        <v>870</v>
      </c>
      <c r="T45" s="259"/>
      <c r="U45" s="282"/>
      <c r="W45" s="14"/>
    </row>
    <row r="46" spans="1:24" s="1" customFormat="1" ht="28.5" customHeight="1" x14ac:dyDescent="0.2">
      <c r="A46" s="131"/>
      <c r="B46" s="1130"/>
      <c r="C46" s="12"/>
      <c r="D46" s="152"/>
      <c r="E46" s="1119"/>
      <c r="F46" s="177"/>
      <c r="G46" s="201"/>
      <c r="H46" s="1142"/>
      <c r="I46" s="739"/>
      <c r="J46" s="272"/>
      <c r="K46" s="698"/>
      <c r="L46" s="669"/>
      <c r="M46" s="670"/>
      <c r="N46" s="671"/>
      <c r="O46" s="267" t="s">
        <v>171</v>
      </c>
      <c r="P46" s="467"/>
      <c r="Q46" s="599"/>
      <c r="R46" s="886"/>
      <c r="S46" s="593">
        <v>1</v>
      </c>
      <c r="T46" s="11"/>
      <c r="W46" s="14"/>
    </row>
    <row r="47" spans="1:24" s="1" customFormat="1" ht="18" customHeight="1" x14ac:dyDescent="0.2">
      <c r="A47" s="131"/>
      <c r="B47" s="1130"/>
      <c r="C47" s="12"/>
      <c r="D47" s="152"/>
      <c r="E47" s="1119"/>
      <c r="F47" s="177"/>
      <c r="G47" s="201"/>
      <c r="H47" s="1142"/>
      <c r="I47" s="739"/>
      <c r="J47" s="272"/>
      <c r="K47" s="698"/>
      <c r="L47" s="669"/>
      <c r="M47" s="670"/>
      <c r="N47" s="671"/>
      <c r="O47" s="267" t="s">
        <v>172</v>
      </c>
      <c r="P47" s="118"/>
      <c r="Q47" s="599">
        <v>12</v>
      </c>
      <c r="R47" s="592">
        <v>12</v>
      </c>
      <c r="S47" s="887">
        <v>12</v>
      </c>
      <c r="T47" s="11"/>
      <c r="W47" s="14"/>
    </row>
    <row r="48" spans="1:24" s="1" customFormat="1" ht="28.5" customHeight="1" x14ac:dyDescent="0.2">
      <c r="A48" s="131"/>
      <c r="B48" s="1130"/>
      <c r="C48" s="12"/>
      <c r="D48" s="152"/>
      <c r="E48" s="1119"/>
      <c r="F48" s="177"/>
      <c r="G48" s="201"/>
      <c r="H48" s="1142"/>
      <c r="I48" s="739"/>
      <c r="J48" s="272"/>
      <c r="K48" s="698"/>
      <c r="L48" s="669"/>
      <c r="M48" s="670"/>
      <c r="N48" s="671"/>
      <c r="O48" s="267" t="s">
        <v>173</v>
      </c>
      <c r="P48" s="118"/>
      <c r="Q48" s="599">
        <v>1</v>
      </c>
      <c r="R48" s="592">
        <v>1</v>
      </c>
      <c r="S48" s="887">
        <v>1</v>
      </c>
      <c r="T48" s="11"/>
      <c r="W48" s="14"/>
    </row>
    <row r="49" spans="1:24" s="1" customFormat="1" ht="16.5" customHeight="1" x14ac:dyDescent="0.2">
      <c r="A49" s="131"/>
      <c r="B49" s="1130"/>
      <c r="C49" s="12"/>
      <c r="D49" s="152"/>
      <c r="E49" s="1119"/>
      <c r="F49" s="177"/>
      <c r="G49" s="201"/>
      <c r="H49" s="1142"/>
      <c r="I49" s="739"/>
      <c r="J49" s="272"/>
      <c r="K49" s="698"/>
      <c r="L49" s="669"/>
      <c r="M49" s="670"/>
      <c r="N49" s="671"/>
      <c r="O49" s="267" t="s">
        <v>174</v>
      </c>
      <c r="P49" s="118"/>
      <c r="Q49" s="873"/>
      <c r="R49" s="592">
        <v>1</v>
      </c>
      <c r="S49" s="887"/>
      <c r="T49" s="11"/>
      <c r="W49" s="14"/>
    </row>
    <row r="50" spans="1:24" s="1" customFormat="1" ht="28.5" customHeight="1" x14ac:dyDescent="0.2">
      <c r="A50" s="131"/>
      <c r="B50" s="1130"/>
      <c r="C50" s="12"/>
      <c r="D50" s="152"/>
      <c r="E50" s="1119"/>
      <c r="F50" s="177"/>
      <c r="G50" s="201"/>
      <c r="H50" s="1142"/>
      <c r="I50" s="739"/>
      <c r="J50" s="272"/>
      <c r="K50" s="698"/>
      <c r="L50" s="669"/>
      <c r="M50" s="670"/>
      <c r="N50" s="671"/>
      <c r="O50" s="267" t="s">
        <v>175</v>
      </c>
      <c r="P50" s="118"/>
      <c r="Q50" s="599">
        <v>1</v>
      </c>
      <c r="R50" s="592"/>
      <c r="S50" s="887">
        <v>1</v>
      </c>
      <c r="T50" s="11"/>
      <c r="W50" s="14"/>
    </row>
    <row r="51" spans="1:24" s="1" customFormat="1" ht="30" customHeight="1" x14ac:dyDescent="0.2">
      <c r="A51" s="131"/>
      <c r="B51" s="1130"/>
      <c r="C51" s="12"/>
      <c r="D51" s="152"/>
      <c r="E51" s="1119"/>
      <c r="F51" s="177"/>
      <c r="G51" s="201"/>
      <c r="H51" s="1142"/>
      <c r="I51" s="739"/>
      <c r="J51" s="272"/>
      <c r="K51" s="698"/>
      <c r="L51" s="669"/>
      <c r="M51" s="670"/>
      <c r="N51" s="671"/>
      <c r="O51" s="267" t="s">
        <v>332</v>
      </c>
      <c r="P51" s="118"/>
      <c r="Q51" s="599"/>
      <c r="R51" s="592">
        <v>1</v>
      </c>
      <c r="S51" s="887"/>
      <c r="T51" s="11"/>
      <c r="W51" s="14"/>
    </row>
    <row r="52" spans="1:24" s="1" customFormat="1" ht="29.25" customHeight="1" x14ac:dyDescent="0.2">
      <c r="A52" s="131"/>
      <c r="B52" s="1130"/>
      <c r="C52" s="12"/>
      <c r="D52" s="152"/>
      <c r="E52" s="1119"/>
      <c r="F52" s="177"/>
      <c r="G52" s="201"/>
      <c r="H52" s="1142"/>
      <c r="I52" s="739"/>
      <c r="J52" s="272"/>
      <c r="K52" s="698"/>
      <c r="L52" s="669"/>
      <c r="M52" s="670"/>
      <c r="N52" s="671"/>
      <c r="O52" s="267" t="s">
        <v>333</v>
      </c>
      <c r="P52" s="118"/>
      <c r="Q52" s="599"/>
      <c r="R52" s="592">
        <v>1</v>
      </c>
      <c r="S52" s="887"/>
      <c r="T52" s="11"/>
      <c r="W52" s="14"/>
    </row>
    <row r="53" spans="1:24" s="1" customFormat="1" ht="18" customHeight="1" x14ac:dyDescent="0.2">
      <c r="A53" s="131"/>
      <c r="B53" s="1130"/>
      <c r="C53" s="12"/>
      <c r="D53" s="152"/>
      <c r="E53" s="1119"/>
      <c r="F53" s="177"/>
      <c r="G53" s="201"/>
      <c r="H53" s="1142"/>
      <c r="I53" s="739"/>
      <c r="J53" s="272"/>
      <c r="K53" s="698"/>
      <c r="L53" s="669"/>
      <c r="M53" s="670"/>
      <c r="N53" s="671"/>
      <c r="O53" s="267" t="s">
        <v>176</v>
      </c>
      <c r="P53" s="118"/>
      <c r="Q53" s="599">
        <v>1</v>
      </c>
      <c r="R53" s="592">
        <v>1</v>
      </c>
      <c r="S53" s="887">
        <v>1</v>
      </c>
      <c r="T53" s="11"/>
      <c r="W53" s="14"/>
      <c r="X53" s="14"/>
    </row>
    <row r="54" spans="1:24" s="1" customFormat="1" ht="18" customHeight="1" x14ac:dyDescent="0.2">
      <c r="A54" s="131"/>
      <c r="B54" s="1130"/>
      <c r="C54" s="12"/>
      <c r="D54" s="152"/>
      <c r="E54" s="1119"/>
      <c r="F54" s="177"/>
      <c r="G54" s="201"/>
      <c r="H54" s="1142"/>
      <c r="I54" s="739"/>
      <c r="J54" s="272"/>
      <c r="K54" s="698"/>
      <c r="L54" s="669"/>
      <c r="M54" s="670"/>
      <c r="N54" s="671"/>
      <c r="O54" s="267" t="s">
        <v>177</v>
      </c>
      <c r="P54" s="118"/>
      <c r="Q54" s="599">
        <v>1</v>
      </c>
      <c r="R54" s="592"/>
      <c r="S54" s="887">
        <v>1</v>
      </c>
      <c r="T54" s="11"/>
      <c r="W54" s="14"/>
      <c r="X54" s="14"/>
    </row>
    <row r="55" spans="1:24" s="1" customFormat="1" ht="18" customHeight="1" x14ac:dyDescent="0.2">
      <c r="A55" s="131"/>
      <c r="B55" s="1130"/>
      <c r="C55" s="12"/>
      <c r="D55" s="152"/>
      <c r="E55" s="1119"/>
      <c r="F55" s="177"/>
      <c r="G55" s="201"/>
      <c r="H55" s="1142"/>
      <c r="I55" s="739"/>
      <c r="J55" s="272"/>
      <c r="K55" s="698"/>
      <c r="L55" s="669"/>
      <c r="M55" s="670"/>
      <c r="N55" s="671"/>
      <c r="O55" s="267" t="s">
        <v>178</v>
      </c>
      <c r="P55" s="874"/>
      <c r="Q55" s="599">
        <v>1</v>
      </c>
      <c r="R55" s="592">
        <v>1</v>
      </c>
      <c r="S55" s="887">
        <v>1</v>
      </c>
      <c r="T55" s="11"/>
      <c r="W55" s="14"/>
      <c r="X55" s="14"/>
    </row>
    <row r="56" spans="1:24" s="1" customFormat="1" ht="27.75" customHeight="1" x14ac:dyDescent="0.2">
      <c r="A56" s="131"/>
      <c r="B56" s="1130"/>
      <c r="C56" s="12"/>
      <c r="D56" s="152"/>
      <c r="E56" s="1119"/>
      <c r="F56" s="177"/>
      <c r="G56" s="201"/>
      <c r="H56" s="1142"/>
      <c r="I56" s="739"/>
      <c r="J56" s="272"/>
      <c r="K56" s="698"/>
      <c r="L56" s="669"/>
      <c r="M56" s="670"/>
      <c r="N56" s="671"/>
      <c r="O56" s="267" t="s">
        <v>322</v>
      </c>
      <c r="P56" s="874"/>
      <c r="Q56" s="599"/>
      <c r="R56" s="592">
        <v>1</v>
      </c>
      <c r="S56" s="887"/>
      <c r="T56" s="11"/>
      <c r="W56" s="14"/>
      <c r="X56" s="14"/>
    </row>
    <row r="57" spans="1:24" s="1" customFormat="1" ht="28.5" customHeight="1" x14ac:dyDescent="0.2">
      <c r="A57" s="131"/>
      <c r="B57" s="1130"/>
      <c r="C57" s="12"/>
      <c r="D57" s="152"/>
      <c r="E57" s="1119"/>
      <c r="F57" s="177"/>
      <c r="G57" s="201"/>
      <c r="H57" s="1142"/>
      <c r="I57" s="739"/>
      <c r="J57" s="272"/>
      <c r="K57" s="698"/>
      <c r="L57" s="669"/>
      <c r="M57" s="670"/>
      <c r="N57" s="671"/>
      <c r="O57" s="267" t="s">
        <v>180</v>
      </c>
      <c r="P57" s="874"/>
      <c r="Q57" s="599">
        <v>11607</v>
      </c>
      <c r="R57" s="590">
        <v>11607</v>
      </c>
      <c r="S57" s="603">
        <v>11607</v>
      </c>
      <c r="T57" s="11"/>
      <c r="W57" s="14"/>
    </row>
    <row r="58" spans="1:24" s="1" customFormat="1" ht="30" customHeight="1" x14ac:dyDescent="0.2">
      <c r="A58" s="131"/>
      <c r="B58" s="1130"/>
      <c r="C58" s="12"/>
      <c r="D58" s="453" t="s">
        <v>19</v>
      </c>
      <c r="E58" s="1118" t="s">
        <v>28</v>
      </c>
      <c r="F58" s="177"/>
      <c r="G58" s="201">
        <v>11030301</v>
      </c>
      <c r="H58" s="1142"/>
      <c r="I58" s="739"/>
      <c r="J58" s="484" t="s">
        <v>17</v>
      </c>
      <c r="K58" s="1152">
        <f>673.2-90.8</f>
        <v>582.40000000000009</v>
      </c>
      <c r="L58" s="485">
        <f>684.2-19.7</f>
        <v>664.5</v>
      </c>
      <c r="M58" s="840">
        <f>718.7+11.1-19.7</f>
        <v>710.1</v>
      </c>
      <c r="N58" s="986">
        <f>676.1+52.2-19.7</f>
        <v>708.6</v>
      </c>
      <c r="O58" s="267" t="s">
        <v>315</v>
      </c>
      <c r="P58" s="874"/>
      <c r="Q58" s="599">
        <v>545</v>
      </c>
      <c r="R58" s="590">
        <v>557</v>
      </c>
      <c r="S58" s="603">
        <v>575</v>
      </c>
      <c r="T58" s="11"/>
      <c r="V58" s="14"/>
    </row>
    <row r="59" spans="1:24" s="1" customFormat="1" ht="30" customHeight="1" x14ac:dyDescent="0.2">
      <c r="A59" s="131"/>
      <c r="B59" s="1130"/>
      <c r="C59" s="12"/>
      <c r="D59" s="152"/>
      <c r="E59" s="1119"/>
      <c r="F59" s="177"/>
      <c r="G59" s="201"/>
      <c r="H59" s="1142"/>
      <c r="I59" s="739"/>
      <c r="J59" s="272"/>
      <c r="K59" s="698"/>
      <c r="L59" s="259"/>
      <c r="M59" s="260"/>
      <c r="N59" s="477"/>
      <c r="O59" s="499" t="s">
        <v>182</v>
      </c>
      <c r="P59" s="118"/>
      <c r="Q59" s="390">
        <v>1</v>
      </c>
      <c r="R59" s="322"/>
      <c r="S59" s="29"/>
      <c r="T59" s="11"/>
      <c r="V59" s="14"/>
    </row>
    <row r="60" spans="1:24" s="1" customFormat="1" ht="42.75" customHeight="1" x14ac:dyDescent="0.2">
      <c r="A60" s="131"/>
      <c r="B60" s="1130"/>
      <c r="C60" s="12"/>
      <c r="D60" s="152"/>
      <c r="E60" s="1119"/>
      <c r="F60" s="177"/>
      <c r="G60" s="201"/>
      <c r="H60" s="1142"/>
      <c r="I60" s="739"/>
      <c r="J60" s="272"/>
      <c r="K60" s="698"/>
      <c r="L60" s="259"/>
      <c r="M60" s="260"/>
      <c r="N60" s="477"/>
      <c r="O60" s="274" t="s">
        <v>183</v>
      </c>
      <c r="P60" s="875"/>
      <c r="Q60" s="601">
        <v>3</v>
      </c>
      <c r="R60" s="338"/>
      <c r="S60" s="312"/>
      <c r="T60" s="11"/>
      <c r="V60" s="14"/>
    </row>
    <row r="61" spans="1:24" s="1" customFormat="1" ht="31.5" customHeight="1" x14ac:dyDescent="0.2">
      <c r="A61" s="131"/>
      <c r="B61" s="1130"/>
      <c r="C61" s="12"/>
      <c r="D61" s="152"/>
      <c r="E61" s="1119"/>
      <c r="F61" s="177"/>
      <c r="G61" s="201"/>
      <c r="H61" s="1142"/>
      <c r="I61" s="739"/>
      <c r="J61" s="272"/>
      <c r="K61" s="698"/>
      <c r="L61" s="259"/>
      <c r="M61" s="260"/>
      <c r="N61" s="477"/>
      <c r="O61" s="499" t="s">
        <v>181</v>
      </c>
      <c r="P61" s="118"/>
      <c r="Q61" s="599"/>
      <c r="R61" s="590">
        <v>1</v>
      </c>
      <c r="S61" s="29"/>
      <c r="T61" s="11"/>
      <c r="V61" s="14"/>
    </row>
    <row r="62" spans="1:24" s="1" customFormat="1" ht="29.25" customHeight="1" x14ac:dyDescent="0.2">
      <c r="A62" s="131"/>
      <c r="B62" s="1130"/>
      <c r="C62" s="12"/>
      <c r="D62" s="152"/>
      <c r="E62" s="1119"/>
      <c r="F62" s="177"/>
      <c r="G62" s="201"/>
      <c r="H62" s="1142"/>
      <c r="I62" s="739"/>
      <c r="J62" s="272"/>
      <c r="K62" s="698"/>
      <c r="L62" s="259"/>
      <c r="M62" s="260"/>
      <c r="N62" s="282"/>
      <c r="O62" s="499" t="s">
        <v>334</v>
      </c>
      <c r="P62" s="889"/>
      <c r="Q62" s="888"/>
      <c r="R62" s="476">
        <v>1</v>
      </c>
      <c r="S62" s="889"/>
      <c r="T62" s="11"/>
      <c r="V62" s="14"/>
    </row>
    <row r="63" spans="1:24" s="1" customFormat="1" ht="16.5" customHeight="1" x14ac:dyDescent="0.2">
      <c r="A63" s="131"/>
      <c r="B63" s="1130"/>
      <c r="C63" s="12"/>
      <c r="D63" s="611"/>
      <c r="E63" s="1119"/>
      <c r="F63" s="177"/>
      <c r="G63" s="201"/>
      <c r="H63" s="1142"/>
      <c r="I63" s="739"/>
      <c r="J63" s="186"/>
      <c r="K63" s="1153"/>
      <c r="L63" s="483"/>
      <c r="M63" s="841"/>
      <c r="N63" s="269"/>
      <c r="O63" s="499" t="s">
        <v>184</v>
      </c>
      <c r="P63" s="542"/>
      <c r="Q63" s="366"/>
      <c r="R63" s="314">
        <v>1</v>
      </c>
      <c r="S63" s="61"/>
      <c r="T63" s="11"/>
      <c r="V63" s="14"/>
    </row>
    <row r="64" spans="1:24" s="1" customFormat="1" ht="31.5" customHeight="1" x14ac:dyDescent="0.2">
      <c r="A64" s="131"/>
      <c r="B64" s="1130"/>
      <c r="C64" s="12"/>
      <c r="D64" s="453" t="s">
        <v>21</v>
      </c>
      <c r="E64" s="1273" t="s">
        <v>29</v>
      </c>
      <c r="F64" s="177"/>
      <c r="G64" s="202">
        <v>11030401</v>
      </c>
      <c r="H64" s="1142"/>
      <c r="I64" s="739"/>
      <c r="J64" s="484" t="s">
        <v>17</v>
      </c>
      <c r="K64" s="1152">
        <v>500.2</v>
      </c>
      <c r="L64" s="485">
        <f>479.6-12</f>
        <v>467.6</v>
      </c>
      <c r="M64" s="840">
        <f>411.6-12</f>
        <v>399.6</v>
      </c>
      <c r="N64" s="986">
        <f>411.6+10-12</f>
        <v>409.6</v>
      </c>
      <c r="O64" s="267" t="s">
        <v>315</v>
      </c>
      <c r="P64" s="542"/>
      <c r="Q64" s="367">
        <v>550</v>
      </c>
      <c r="R64" s="322">
        <v>600</v>
      </c>
      <c r="S64" s="320">
        <v>680</v>
      </c>
      <c r="T64" s="11"/>
      <c r="U64" s="14"/>
      <c r="W64" s="14"/>
      <c r="X64" s="14"/>
    </row>
    <row r="65" spans="1:27" s="1" customFormat="1" ht="40.5" customHeight="1" x14ac:dyDescent="0.2">
      <c r="A65" s="131"/>
      <c r="B65" s="1130"/>
      <c r="C65" s="12"/>
      <c r="D65" s="152"/>
      <c r="E65" s="1274"/>
      <c r="F65" s="177"/>
      <c r="G65" s="202"/>
      <c r="H65" s="1142"/>
      <c r="I65" s="739"/>
      <c r="J65" s="272"/>
      <c r="K65" s="698"/>
      <c r="L65" s="259"/>
      <c r="M65" s="260"/>
      <c r="N65" s="477"/>
      <c r="O65" s="274" t="s">
        <v>183</v>
      </c>
      <c r="P65" s="604"/>
      <c r="Q65" s="367">
        <v>1</v>
      </c>
      <c r="R65" s="322"/>
      <c r="S65" s="320"/>
      <c r="T65" s="11"/>
      <c r="U65" s="14"/>
      <c r="W65" s="14"/>
      <c r="X65" s="14"/>
    </row>
    <row r="66" spans="1:27" s="1" customFormat="1" ht="28.5" customHeight="1" x14ac:dyDescent="0.2">
      <c r="A66" s="131"/>
      <c r="B66" s="1130"/>
      <c r="C66" s="12"/>
      <c r="D66" s="152"/>
      <c r="E66" s="1119"/>
      <c r="F66" s="177"/>
      <c r="G66" s="202"/>
      <c r="H66" s="1142"/>
      <c r="I66" s="739"/>
      <c r="J66" s="272"/>
      <c r="K66" s="698"/>
      <c r="L66" s="259"/>
      <c r="M66" s="260"/>
      <c r="N66" s="477"/>
      <c r="O66" s="267" t="s">
        <v>185</v>
      </c>
      <c r="P66" s="604"/>
      <c r="Q66" s="367">
        <v>1</v>
      </c>
      <c r="R66" s="322"/>
      <c r="S66" s="320"/>
      <c r="T66" s="11"/>
      <c r="U66" s="14"/>
      <c r="W66" s="14"/>
      <c r="X66" s="14"/>
    </row>
    <row r="67" spans="1:27" s="1" customFormat="1" ht="28.5" customHeight="1" x14ac:dyDescent="0.2">
      <c r="A67" s="131"/>
      <c r="B67" s="1130"/>
      <c r="C67" s="12"/>
      <c r="D67" s="152"/>
      <c r="E67" s="1119"/>
      <c r="F67" s="177"/>
      <c r="G67" s="202"/>
      <c r="H67" s="1142"/>
      <c r="I67" s="739"/>
      <c r="J67" s="272"/>
      <c r="K67" s="698"/>
      <c r="L67" s="259"/>
      <c r="M67" s="260"/>
      <c r="N67" s="477"/>
      <c r="O67" s="267" t="s">
        <v>323</v>
      </c>
      <c r="P67" s="604"/>
      <c r="Q67" s="367"/>
      <c r="R67" s="322">
        <v>1</v>
      </c>
      <c r="S67" s="320"/>
      <c r="T67" s="11"/>
      <c r="U67" s="14"/>
      <c r="W67" s="14"/>
      <c r="X67" s="14"/>
    </row>
    <row r="68" spans="1:27" s="1" customFormat="1" ht="28.5" customHeight="1" x14ac:dyDescent="0.2">
      <c r="A68" s="131"/>
      <c r="B68" s="1130"/>
      <c r="C68" s="12"/>
      <c r="D68" s="152"/>
      <c r="E68" s="1119"/>
      <c r="F68" s="177"/>
      <c r="G68" s="202"/>
      <c r="H68" s="1142"/>
      <c r="I68" s="739"/>
      <c r="J68" s="272"/>
      <c r="K68" s="698"/>
      <c r="L68" s="259"/>
      <c r="M68" s="260"/>
      <c r="N68" s="477"/>
      <c r="O68" s="267" t="s">
        <v>180</v>
      </c>
      <c r="P68" s="604"/>
      <c r="Q68" s="613">
        <v>6402</v>
      </c>
      <c r="R68" s="590">
        <v>6415</v>
      </c>
      <c r="S68" s="603">
        <v>6430</v>
      </c>
      <c r="T68" s="11"/>
      <c r="U68" s="14"/>
      <c r="W68" s="14"/>
      <c r="X68" s="14"/>
    </row>
    <row r="69" spans="1:27" s="1" customFormat="1" ht="18" customHeight="1" x14ac:dyDescent="0.2">
      <c r="A69" s="131"/>
      <c r="B69" s="1130"/>
      <c r="C69" s="12"/>
      <c r="D69" s="152"/>
      <c r="E69" s="1119"/>
      <c r="F69" s="177"/>
      <c r="G69" s="202"/>
      <c r="H69" s="1142"/>
      <c r="I69" s="739"/>
      <c r="J69" s="186"/>
      <c r="K69" s="1153"/>
      <c r="L69" s="483"/>
      <c r="M69" s="841"/>
      <c r="N69" s="269"/>
      <c r="O69" s="94" t="s">
        <v>116</v>
      </c>
      <c r="P69" s="597">
        <v>1</v>
      </c>
      <c r="Q69" s="613"/>
      <c r="R69" s="590"/>
      <c r="S69" s="603"/>
      <c r="T69" s="11"/>
      <c r="U69" s="14"/>
      <c r="W69" s="14"/>
      <c r="X69" s="14"/>
    </row>
    <row r="70" spans="1:27" s="1" customFormat="1" ht="29.25" customHeight="1" x14ac:dyDescent="0.2">
      <c r="A70" s="131"/>
      <c r="B70" s="1130"/>
      <c r="C70" s="12"/>
      <c r="D70" s="453" t="s">
        <v>34</v>
      </c>
      <c r="E70" s="1118" t="s">
        <v>30</v>
      </c>
      <c r="F70" s="177"/>
      <c r="G70" s="202">
        <v>11030501</v>
      </c>
      <c r="H70" s="1142"/>
      <c r="I70" s="739"/>
      <c r="J70" s="484" t="s">
        <v>17</v>
      </c>
      <c r="K70" s="1152">
        <v>499</v>
      </c>
      <c r="L70" s="251">
        <f>544.2-12.8</f>
        <v>531.40000000000009</v>
      </c>
      <c r="M70" s="840">
        <f>544.2-12.8</f>
        <v>531.40000000000009</v>
      </c>
      <c r="N70" s="486">
        <f>544.2-12.8</f>
        <v>531.40000000000009</v>
      </c>
      <c r="O70" s="267" t="s">
        <v>315</v>
      </c>
      <c r="P70" s="853"/>
      <c r="Q70" s="854">
        <v>690</v>
      </c>
      <c r="R70" s="476">
        <v>700</v>
      </c>
      <c r="S70" s="58">
        <v>710</v>
      </c>
      <c r="T70" s="11"/>
      <c r="Y70" s="14"/>
      <c r="AA70" s="14"/>
    </row>
    <row r="71" spans="1:27" s="1" customFormat="1" ht="29.25" customHeight="1" x14ac:dyDescent="0.2">
      <c r="A71" s="131"/>
      <c r="B71" s="1130"/>
      <c r="C71" s="12"/>
      <c r="D71" s="152"/>
      <c r="E71" s="1125"/>
      <c r="F71" s="177"/>
      <c r="G71" s="202"/>
      <c r="H71" s="1142"/>
      <c r="I71" s="739"/>
      <c r="J71" s="272"/>
      <c r="K71" s="698"/>
      <c r="L71" s="259"/>
      <c r="M71" s="260"/>
      <c r="N71" s="282"/>
      <c r="O71" s="94" t="s">
        <v>179</v>
      </c>
      <c r="P71" s="597"/>
      <c r="Q71" s="600">
        <v>6411</v>
      </c>
      <c r="R71" s="319">
        <v>6500</v>
      </c>
      <c r="S71" s="320">
        <v>6500</v>
      </c>
      <c r="T71" s="11"/>
      <c r="W71" s="14"/>
      <c r="Y71" s="14"/>
      <c r="AA71" s="14"/>
    </row>
    <row r="72" spans="1:27" s="1" customFormat="1" ht="27" customHeight="1" x14ac:dyDescent="0.2">
      <c r="A72" s="131"/>
      <c r="B72" s="1130"/>
      <c r="C72" s="12"/>
      <c r="D72" s="453" t="s">
        <v>63</v>
      </c>
      <c r="E72" s="1273" t="s">
        <v>77</v>
      </c>
      <c r="F72" s="273"/>
      <c r="G72" s="202">
        <v>11030801</v>
      </c>
      <c r="H72" s="1142"/>
      <c r="I72" s="740"/>
      <c r="J72" s="484" t="s">
        <v>17</v>
      </c>
      <c r="K72" s="1152">
        <v>660.1</v>
      </c>
      <c r="L72" s="485">
        <f>781.4-18.3</f>
        <v>763.1</v>
      </c>
      <c r="M72" s="840">
        <f>776.4+50-18.3</f>
        <v>808.1</v>
      </c>
      <c r="N72" s="986">
        <f>776.4+50-18.3</f>
        <v>808.1</v>
      </c>
      <c r="O72" s="267" t="s">
        <v>315</v>
      </c>
      <c r="P72" s="597"/>
      <c r="Q72" s="854">
        <v>320</v>
      </c>
      <c r="R72" s="476">
        <v>320</v>
      </c>
      <c r="S72" s="58">
        <v>330</v>
      </c>
      <c r="T72" s="11"/>
      <c r="U72" s="14"/>
      <c r="W72" s="14"/>
    </row>
    <row r="73" spans="1:27" s="1" customFormat="1" ht="17.25" customHeight="1" x14ac:dyDescent="0.2">
      <c r="A73" s="131"/>
      <c r="B73" s="1130"/>
      <c r="C73" s="12"/>
      <c r="D73" s="152"/>
      <c r="E73" s="1274"/>
      <c r="F73" s="614"/>
      <c r="G73" s="449"/>
      <c r="H73" s="1142"/>
      <c r="I73" s="739"/>
      <c r="J73" s="272"/>
      <c r="K73" s="698"/>
      <c r="L73" s="259"/>
      <c r="M73" s="260"/>
      <c r="N73" s="282"/>
      <c r="O73" s="267" t="s">
        <v>316</v>
      </c>
      <c r="P73" s="410"/>
      <c r="Q73" s="613">
        <v>20</v>
      </c>
      <c r="R73" s="855">
        <v>21</v>
      </c>
      <c r="S73" s="856">
        <v>22</v>
      </c>
      <c r="T73" s="11"/>
      <c r="U73" s="14"/>
      <c r="W73" s="14"/>
    </row>
    <row r="74" spans="1:27" s="1" customFormat="1" ht="16.5" customHeight="1" x14ac:dyDescent="0.2">
      <c r="A74" s="131"/>
      <c r="B74" s="1130"/>
      <c r="C74" s="12"/>
      <c r="D74" s="152"/>
      <c r="E74" s="1274"/>
      <c r="F74" s="614"/>
      <c r="G74" s="449"/>
      <c r="H74" s="1142"/>
      <c r="I74" s="739"/>
      <c r="J74" s="272"/>
      <c r="K74" s="698"/>
      <c r="L74" s="233"/>
      <c r="M74" s="242"/>
      <c r="N74" s="286"/>
      <c r="O74" s="274" t="s">
        <v>335</v>
      </c>
      <c r="P74" s="604"/>
      <c r="Q74" s="613">
        <v>1</v>
      </c>
      <c r="R74" s="319"/>
      <c r="S74" s="312"/>
      <c r="T74" s="11"/>
      <c r="U74" s="14"/>
      <c r="W74" s="14"/>
    </row>
    <row r="75" spans="1:27" s="1" customFormat="1" ht="30" customHeight="1" x14ac:dyDescent="0.2">
      <c r="A75" s="131"/>
      <c r="B75" s="1130"/>
      <c r="C75" s="12"/>
      <c r="D75" s="152"/>
      <c r="E75" s="1274"/>
      <c r="F75" s="614"/>
      <c r="G75" s="449"/>
      <c r="H75" s="1142"/>
      <c r="I75" s="739"/>
      <c r="J75" s="272"/>
      <c r="K75" s="698"/>
      <c r="L75" s="233"/>
      <c r="M75" s="242"/>
      <c r="N75" s="286"/>
      <c r="O75" s="274" t="s">
        <v>186</v>
      </c>
      <c r="P75" s="604"/>
      <c r="Q75" s="613">
        <v>1</v>
      </c>
      <c r="R75" s="311"/>
      <c r="S75" s="29"/>
      <c r="T75" s="11"/>
      <c r="U75" s="14"/>
      <c r="W75" s="14"/>
    </row>
    <row r="76" spans="1:27" s="1" customFormat="1" ht="29.25" customHeight="1" x14ac:dyDescent="0.2">
      <c r="A76" s="131"/>
      <c r="B76" s="1130"/>
      <c r="C76" s="12"/>
      <c r="D76" s="152"/>
      <c r="E76" s="1119"/>
      <c r="F76" s="614"/>
      <c r="G76" s="449"/>
      <c r="H76" s="1142"/>
      <c r="I76" s="739"/>
      <c r="J76" s="272"/>
      <c r="K76" s="698"/>
      <c r="L76" s="233"/>
      <c r="M76" s="242"/>
      <c r="N76" s="286"/>
      <c r="O76" s="274" t="s">
        <v>187</v>
      </c>
      <c r="P76" s="604"/>
      <c r="Q76" s="613">
        <v>1</v>
      </c>
      <c r="R76" s="319"/>
      <c r="S76" s="320"/>
      <c r="T76" s="11"/>
      <c r="U76" s="14"/>
    </row>
    <row r="77" spans="1:27" s="1" customFormat="1" ht="15" customHeight="1" x14ac:dyDescent="0.2">
      <c r="A77" s="131"/>
      <c r="B77" s="1130"/>
      <c r="C77" s="12"/>
      <c r="D77" s="152"/>
      <c r="E77" s="1119"/>
      <c r="F77" s="614"/>
      <c r="G77" s="449"/>
      <c r="H77" s="1142"/>
      <c r="I77" s="739"/>
      <c r="J77" s="272"/>
      <c r="K77" s="698"/>
      <c r="L77" s="233"/>
      <c r="M77" s="242"/>
      <c r="N77" s="286"/>
      <c r="O77" s="274" t="s">
        <v>188</v>
      </c>
      <c r="P77" s="604"/>
      <c r="Q77" s="613">
        <v>1</v>
      </c>
      <c r="R77" s="311"/>
      <c r="S77" s="312"/>
      <c r="T77" s="11"/>
      <c r="U77" s="14"/>
      <c r="W77" s="14"/>
    </row>
    <row r="78" spans="1:27" s="1" customFormat="1" ht="15" customHeight="1" x14ac:dyDescent="0.2">
      <c r="A78" s="131"/>
      <c r="B78" s="1130"/>
      <c r="C78" s="12"/>
      <c r="D78" s="152"/>
      <c r="E78" s="1119"/>
      <c r="F78" s="614"/>
      <c r="G78" s="449"/>
      <c r="H78" s="1142"/>
      <c r="I78" s="739"/>
      <c r="J78" s="272"/>
      <c r="K78" s="698"/>
      <c r="L78" s="233"/>
      <c r="M78" s="242"/>
      <c r="N78" s="286"/>
      <c r="O78" s="274" t="s">
        <v>189</v>
      </c>
      <c r="P78" s="604"/>
      <c r="Q78" s="613">
        <v>2</v>
      </c>
      <c r="R78" s="319"/>
      <c r="S78" s="320"/>
      <c r="T78" s="11"/>
      <c r="U78" s="14"/>
    </row>
    <row r="79" spans="1:27" s="1" customFormat="1" ht="29.25" customHeight="1" x14ac:dyDescent="0.2">
      <c r="A79" s="131"/>
      <c r="B79" s="1130"/>
      <c r="C79" s="12"/>
      <c r="D79" s="152"/>
      <c r="E79" s="1119"/>
      <c r="F79" s="614"/>
      <c r="G79" s="449"/>
      <c r="H79" s="1142"/>
      <c r="I79" s="740"/>
      <c r="J79" s="272"/>
      <c r="K79" s="698"/>
      <c r="L79" s="233"/>
      <c r="M79" s="242"/>
      <c r="N79" s="533"/>
      <c r="O79" s="381" t="s">
        <v>190</v>
      </c>
      <c r="P79" s="409"/>
      <c r="Q79" s="776">
        <v>1</v>
      </c>
      <c r="R79" s="294"/>
      <c r="S79" s="295"/>
      <c r="T79" s="11"/>
      <c r="U79" s="14"/>
    </row>
    <row r="80" spans="1:27" s="1" customFormat="1" ht="54" customHeight="1" x14ac:dyDescent="0.2">
      <c r="A80" s="131"/>
      <c r="B80" s="1130"/>
      <c r="C80" s="12"/>
      <c r="D80" s="453" t="s">
        <v>156</v>
      </c>
      <c r="E80" s="1090" t="s">
        <v>70</v>
      </c>
      <c r="F80" s="177"/>
      <c r="G80" s="1315">
        <v>11020101</v>
      </c>
      <c r="H80" s="1142"/>
      <c r="I80" s="739"/>
      <c r="J80" s="185" t="s">
        <v>38</v>
      </c>
      <c r="K80" s="612">
        <v>25</v>
      </c>
      <c r="L80" s="232"/>
      <c r="M80" s="241"/>
      <c r="N80" s="370"/>
      <c r="O80" s="48" t="s">
        <v>128</v>
      </c>
      <c r="P80" s="434">
        <v>100</v>
      </c>
      <c r="Q80" s="600"/>
      <c r="R80" s="319"/>
      <c r="S80" s="320"/>
      <c r="U80" s="14"/>
      <c r="V80" s="14"/>
      <c r="W80" s="14"/>
    </row>
    <row r="81" spans="1:25" s="1" customFormat="1" ht="15" customHeight="1" x14ac:dyDescent="0.2">
      <c r="A81" s="131"/>
      <c r="B81" s="1130"/>
      <c r="C81" s="12"/>
      <c r="D81" s="152"/>
      <c r="E81" s="1091"/>
      <c r="F81" s="177"/>
      <c r="G81" s="1357"/>
      <c r="H81" s="1142"/>
      <c r="I81" s="739"/>
      <c r="J81" s="484" t="s">
        <v>17</v>
      </c>
      <c r="K81" s="1152">
        <v>150</v>
      </c>
      <c r="L81" s="485">
        <f>724.6-40-27.6</f>
        <v>657</v>
      </c>
      <c r="M81" s="840">
        <f>657+40-51.5-27.6</f>
        <v>617.9</v>
      </c>
      <c r="N81" s="663">
        <f>651-51.5-27.6</f>
        <v>571.9</v>
      </c>
      <c r="O81" s="274" t="s">
        <v>317</v>
      </c>
      <c r="P81" s="596">
        <v>3</v>
      </c>
      <c r="Q81" s="599">
        <v>13</v>
      </c>
      <c r="R81" s="590">
        <v>15</v>
      </c>
      <c r="S81" s="591">
        <v>16</v>
      </c>
      <c r="U81" s="14"/>
      <c r="V81" s="14"/>
    </row>
    <row r="82" spans="1:25" s="1" customFormat="1" ht="15" customHeight="1" x14ac:dyDescent="0.2">
      <c r="A82" s="131"/>
      <c r="B82" s="1130"/>
      <c r="C82" s="12"/>
      <c r="D82" s="152"/>
      <c r="E82" s="1091"/>
      <c r="F82" s="177"/>
      <c r="G82" s="1146"/>
      <c r="H82" s="1142"/>
      <c r="I82" s="739"/>
      <c r="J82" s="272"/>
      <c r="K82" s="698"/>
      <c r="L82" s="233"/>
      <c r="M82" s="242"/>
      <c r="N82" s="533"/>
      <c r="O82" s="615" t="s">
        <v>136</v>
      </c>
      <c r="P82" s="596">
        <v>3</v>
      </c>
      <c r="Q82" s="367">
        <v>13</v>
      </c>
      <c r="R82" s="322"/>
      <c r="S82" s="323"/>
      <c r="U82" s="14"/>
      <c r="V82" s="14"/>
    </row>
    <row r="83" spans="1:25" s="1" customFormat="1" ht="29.25" customHeight="1" x14ac:dyDescent="0.2">
      <c r="A83" s="131"/>
      <c r="B83" s="1130"/>
      <c r="C83" s="12"/>
      <c r="D83" s="152"/>
      <c r="E83" s="1091"/>
      <c r="F83" s="177"/>
      <c r="G83" s="1146"/>
      <c r="H83" s="1142"/>
      <c r="I83" s="739"/>
      <c r="J83" s="272"/>
      <c r="K83" s="698"/>
      <c r="L83" s="233"/>
      <c r="M83" s="242"/>
      <c r="N83" s="533"/>
      <c r="O83" s="616" t="s">
        <v>337</v>
      </c>
      <c r="P83" s="605"/>
      <c r="Q83" s="390">
        <v>1</v>
      </c>
      <c r="R83" s="322"/>
      <c r="S83" s="323"/>
      <c r="U83" s="14"/>
      <c r="V83" s="14"/>
      <c r="W83" s="14"/>
      <c r="Y83" s="14"/>
    </row>
    <row r="84" spans="1:25" s="1" customFormat="1" ht="29.25" customHeight="1" x14ac:dyDescent="0.2">
      <c r="A84" s="131"/>
      <c r="B84" s="1130"/>
      <c r="C84" s="12"/>
      <c r="D84" s="152"/>
      <c r="E84" s="1091"/>
      <c r="F84" s="177"/>
      <c r="G84" s="1146"/>
      <c r="H84" s="1142"/>
      <c r="I84" s="739"/>
      <c r="J84" s="272"/>
      <c r="K84" s="698"/>
      <c r="L84" s="233"/>
      <c r="M84" s="242"/>
      <c r="N84" s="533"/>
      <c r="O84" s="884" t="s">
        <v>192</v>
      </c>
      <c r="P84" s="605"/>
      <c r="Q84" s="390">
        <v>1</v>
      </c>
      <c r="R84" s="322"/>
      <c r="S84" s="323"/>
      <c r="U84" s="14"/>
      <c r="V84" s="14"/>
      <c r="X84" s="14"/>
    </row>
    <row r="85" spans="1:25" s="1" customFormat="1" ht="16.5" customHeight="1" x14ac:dyDescent="0.2">
      <c r="A85" s="131"/>
      <c r="B85" s="1130"/>
      <c r="C85" s="12"/>
      <c r="D85" s="152"/>
      <c r="E85" s="1091"/>
      <c r="F85" s="177"/>
      <c r="G85" s="1146"/>
      <c r="H85" s="1142"/>
      <c r="I85" s="739"/>
      <c r="J85" s="272"/>
      <c r="K85" s="698"/>
      <c r="L85" s="233"/>
      <c r="M85" s="242"/>
      <c r="N85" s="533"/>
      <c r="O85" s="615" t="s">
        <v>193</v>
      </c>
      <c r="P85" s="596"/>
      <c r="Q85" s="390">
        <v>1</v>
      </c>
      <c r="R85" s="322"/>
      <c r="S85" s="323"/>
      <c r="U85" s="14"/>
      <c r="V85" s="14"/>
    </row>
    <row r="86" spans="1:25" s="1" customFormat="1" ht="15.75" customHeight="1" x14ac:dyDescent="0.2">
      <c r="A86" s="131"/>
      <c r="B86" s="1130"/>
      <c r="C86" s="12"/>
      <c r="D86" s="152"/>
      <c r="E86" s="1091"/>
      <c r="F86" s="177"/>
      <c r="G86" s="1146"/>
      <c r="H86" s="1142"/>
      <c r="I86" s="739"/>
      <c r="J86" s="272"/>
      <c r="K86" s="698"/>
      <c r="L86" s="233"/>
      <c r="M86" s="242"/>
      <c r="N86" s="533"/>
      <c r="O86" s="615" t="s">
        <v>194</v>
      </c>
      <c r="P86" s="596"/>
      <c r="Q86" s="390">
        <v>1</v>
      </c>
      <c r="R86" s="322"/>
      <c r="S86" s="323"/>
      <c r="U86" s="14"/>
      <c r="V86" s="14"/>
      <c r="Y86" s="14"/>
    </row>
    <row r="87" spans="1:25" s="1" customFormat="1" ht="29.25" customHeight="1" x14ac:dyDescent="0.2">
      <c r="A87" s="131"/>
      <c r="B87" s="1130"/>
      <c r="C87" s="12"/>
      <c r="D87" s="152"/>
      <c r="E87" s="1091"/>
      <c r="F87" s="177"/>
      <c r="G87" s="1146"/>
      <c r="H87" s="1142"/>
      <c r="I87" s="739"/>
      <c r="J87" s="272"/>
      <c r="K87" s="698"/>
      <c r="L87" s="233"/>
      <c r="M87" s="242"/>
      <c r="N87" s="533"/>
      <c r="O87" s="615" t="s">
        <v>191</v>
      </c>
      <c r="P87" s="605"/>
      <c r="Q87" s="390"/>
      <c r="R87" s="322">
        <v>1</v>
      </c>
      <c r="S87" s="323"/>
      <c r="U87" s="14"/>
      <c r="V87" s="14"/>
    </row>
    <row r="88" spans="1:25" s="1" customFormat="1" ht="29.25" customHeight="1" x14ac:dyDescent="0.2">
      <c r="A88" s="131"/>
      <c r="B88" s="1130"/>
      <c r="C88" s="12"/>
      <c r="D88" s="450" t="s">
        <v>157</v>
      </c>
      <c r="E88" s="108" t="s">
        <v>123</v>
      </c>
      <c r="F88" s="177"/>
      <c r="G88" s="201">
        <v>11020102</v>
      </c>
      <c r="H88" s="1142"/>
      <c r="I88" s="739"/>
      <c r="J88" s="885" t="s">
        <v>17</v>
      </c>
      <c r="K88" s="465">
        <f>573.3-150</f>
        <v>423.29999999999995</v>
      </c>
      <c r="L88" s="210">
        <v>100</v>
      </c>
      <c r="M88" s="221">
        <v>100</v>
      </c>
      <c r="N88" s="270">
        <v>100</v>
      </c>
      <c r="O88" s="48" t="s">
        <v>339</v>
      </c>
      <c r="P88" s="596"/>
      <c r="Q88" s="601">
        <v>4</v>
      </c>
      <c r="R88" s="322">
        <v>4</v>
      </c>
      <c r="S88" s="118">
        <v>4</v>
      </c>
      <c r="U88" s="14"/>
      <c r="V88" s="14"/>
    </row>
    <row r="89" spans="1:25" s="1" customFormat="1" ht="29.25" customHeight="1" x14ac:dyDescent="0.2">
      <c r="A89" s="131"/>
      <c r="B89" s="1130"/>
      <c r="C89" s="12"/>
      <c r="D89" s="152" t="s">
        <v>158</v>
      </c>
      <c r="E89" s="1313" t="s">
        <v>74</v>
      </c>
      <c r="F89" s="177"/>
      <c r="G89" s="1315">
        <v>11031001</v>
      </c>
      <c r="H89" s="441"/>
      <c r="I89" s="741"/>
      <c r="J89" s="68" t="s">
        <v>17</v>
      </c>
      <c r="K89" s="465">
        <v>10</v>
      </c>
      <c r="L89" s="259">
        <v>10</v>
      </c>
      <c r="M89" s="260">
        <v>10</v>
      </c>
      <c r="N89" s="282">
        <v>10</v>
      </c>
      <c r="O89" s="74" t="s">
        <v>121</v>
      </c>
      <c r="P89" s="383">
        <v>6</v>
      </c>
      <c r="Q89" s="461">
        <v>6</v>
      </c>
      <c r="R89" s="311">
        <v>6</v>
      </c>
      <c r="S89" s="312">
        <v>6</v>
      </c>
      <c r="U89" s="14"/>
      <c r="V89" s="14"/>
      <c r="W89" s="14"/>
      <c r="X89" s="14"/>
    </row>
    <row r="90" spans="1:25" s="1" customFormat="1" ht="15.75" customHeight="1" thickBot="1" x14ac:dyDescent="0.25">
      <c r="A90" s="132"/>
      <c r="B90" s="1095"/>
      <c r="C90" s="15"/>
      <c r="D90" s="452"/>
      <c r="E90" s="1314"/>
      <c r="F90" s="178"/>
      <c r="G90" s="1316"/>
      <c r="H90" s="442"/>
      <c r="I90" s="742"/>
      <c r="J90" s="16" t="s">
        <v>18</v>
      </c>
      <c r="K90" s="501">
        <f>SUM(K39:K89)</f>
        <v>4821.1000000000004</v>
      </c>
      <c r="L90" s="890">
        <f>SUM(L39:L89)</f>
        <v>5133.6000000000004</v>
      </c>
      <c r="M90" s="243">
        <f>SUM(M39:M89)</f>
        <v>5182.5</v>
      </c>
      <c r="N90" s="371">
        <f>SUM(N39:N89)</f>
        <v>5144.5999999999995</v>
      </c>
      <c r="O90" s="91"/>
      <c r="P90" s="587"/>
      <c r="Q90" s="588"/>
      <c r="R90" s="297"/>
      <c r="S90" s="298"/>
      <c r="T90" s="11"/>
    </row>
    <row r="91" spans="1:25" s="1" customFormat="1" ht="17.25" customHeight="1" x14ac:dyDescent="0.2">
      <c r="A91" s="133" t="s">
        <v>13</v>
      </c>
      <c r="B91" s="1094" t="s">
        <v>19</v>
      </c>
      <c r="C91" s="10" t="s">
        <v>19</v>
      </c>
      <c r="D91" s="451"/>
      <c r="E91" s="1317" t="s">
        <v>324</v>
      </c>
      <c r="F91" s="179"/>
      <c r="G91" s="194"/>
      <c r="H91" s="443" t="s">
        <v>16</v>
      </c>
      <c r="I91" s="1447" t="s">
        <v>101</v>
      </c>
      <c r="J91" s="17"/>
      <c r="K91" s="699"/>
      <c r="L91" s="235"/>
      <c r="M91" s="244"/>
      <c r="N91" s="503"/>
      <c r="O91" s="1112" t="s">
        <v>325</v>
      </c>
      <c r="P91" s="1126">
        <v>80</v>
      </c>
      <c r="Q91" s="770">
        <v>100</v>
      </c>
      <c r="R91" s="300">
        <v>110</v>
      </c>
      <c r="S91" s="301">
        <v>115</v>
      </c>
      <c r="U91" s="14"/>
      <c r="V91" s="14"/>
    </row>
    <row r="92" spans="1:25" s="1" customFormat="1" ht="17.25" customHeight="1" x14ac:dyDescent="0.2">
      <c r="A92" s="134"/>
      <c r="B92" s="1130"/>
      <c r="C92" s="12"/>
      <c r="D92" s="152"/>
      <c r="E92" s="1318"/>
      <c r="F92" s="180"/>
      <c r="G92" s="195"/>
      <c r="H92" s="444"/>
      <c r="I92" s="1407"/>
      <c r="J92" s="21"/>
      <c r="K92" s="697"/>
      <c r="L92" s="850"/>
      <c r="M92" s="851"/>
      <c r="N92" s="852"/>
      <c r="O92" s="1128"/>
      <c r="P92" s="61"/>
      <c r="Q92" s="462"/>
      <c r="R92" s="324"/>
      <c r="S92" s="325"/>
      <c r="U92" s="14"/>
    </row>
    <row r="93" spans="1:25" s="1" customFormat="1" ht="30.75" customHeight="1" x14ac:dyDescent="0.2">
      <c r="A93" s="135"/>
      <c r="B93" s="86"/>
      <c r="C93" s="19"/>
      <c r="D93" s="453" t="s">
        <v>13</v>
      </c>
      <c r="E93" s="497" t="s">
        <v>32</v>
      </c>
      <c r="F93" s="180"/>
      <c r="G93" s="1411">
        <v>11030608</v>
      </c>
      <c r="H93" s="445"/>
      <c r="I93" s="1407"/>
      <c r="J93" s="43" t="s">
        <v>17</v>
      </c>
      <c r="K93" s="612">
        <v>355.6</v>
      </c>
      <c r="L93" s="251">
        <v>433.4</v>
      </c>
      <c r="M93" s="840">
        <v>433.4</v>
      </c>
      <c r="N93" s="486">
        <v>433.4</v>
      </c>
      <c r="O93" s="48" t="s">
        <v>113</v>
      </c>
      <c r="P93" s="29">
        <v>170</v>
      </c>
      <c r="Q93" s="367">
        <v>210</v>
      </c>
      <c r="R93" s="596">
        <v>210</v>
      </c>
      <c r="S93" s="118">
        <v>210</v>
      </c>
      <c r="W93" s="14"/>
      <c r="X93" s="14"/>
    </row>
    <row r="94" spans="1:25" s="1" customFormat="1" ht="29.25" customHeight="1" x14ac:dyDescent="0.2">
      <c r="A94" s="135"/>
      <c r="B94" s="86"/>
      <c r="C94" s="19"/>
      <c r="D94" s="611"/>
      <c r="E94" s="111" t="s">
        <v>103</v>
      </c>
      <c r="F94" s="180"/>
      <c r="G94" s="1412"/>
      <c r="H94" s="445"/>
      <c r="I94" s="743"/>
      <c r="J94" s="13" t="s">
        <v>17</v>
      </c>
      <c r="K94" s="1153">
        <v>17.8</v>
      </c>
      <c r="L94" s="1027"/>
      <c r="M94" s="843"/>
      <c r="N94" s="1028"/>
      <c r="O94" s="1128" t="s">
        <v>115</v>
      </c>
      <c r="P94" s="61">
        <v>190</v>
      </c>
      <c r="Q94" s="462"/>
      <c r="R94" s="319"/>
      <c r="S94" s="320"/>
      <c r="V94" s="14"/>
      <c r="W94" s="14"/>
    </row>
    <row r="95" spans="1:25" s="1" customFormat="1" ht="30" customHeight="1" x14ac:dyDescent="0.2">
      <c r="A95" s="134"/>
      <c r="B95" s="1130"/>
      <c r="C95" s="12"/>
      <c r="D95" s="453" t="s">
        <v>19</v>
      </c>
      <c r="E95" s="111" t="s">
        <v>195</v>
      </c>
      <c r="F95" s="180"/>
      <c r="G95" s="208">
        <v>1102020101</v>
      </c>
      <c r="H95" s="444"/>
      <c r="I95" s="744"/>
      <c r="J95" s="43" t="s">
        <v>17</v>
      </c>
      <c r="K95" s="1409">
        <v>120</v>
      </c>
      <c r="L95" s="215">
        <v>210</v>
      </c>
      <c r="M95" s="225">
        <v>210</v>
      </c>
      <c r="N95" s="220">
        <v>210</v>
      </c>
      <c r="O95" s="109" t="s">
        <v>112</v>
      </c>
      <c r="P95" s="29"/>
      <c r="Q95" s="600">
        <v>40</v>
      </c>
      <c r="R95" s="319">
        <v>40</v>
      </c>
      <c r="S95" s="326">
        <v>40</v>
      </c>
      <c r="U95" s="14"/>
      <c r="V95" s="14" t="s">
        <v>67</v>
      </c>
      <c r="W95" s="14"/>
      <c r="X95" s="14"/>
    </row>
    <row r="96" spans="1:25" s="1" customFormat="1" ht="30" customHeight="1" x14ac:dyDescent="0.2">
      <c r="A96" s="134"/>
      <c r="B96" s="1130"/>
      <c r="C96" s="12"/>
      <c r="D96" s="450" t="s">
        <v>21</v>
      </c>
      <c r="E96" s="497" t="s">
        <v>196</v>
      </c>
      <c r="F96" s="180"/>
      <c r="G96" s="617"/>
      <c r="H96" s="444"/>
      <c r="I96" s="744"/>
      <c r="J96" s="44" t="s">
        <v>17</v>
      </c>
      <c r="K96" s="1410"/>
      <c r="L96" s="233"/>
      <c r="M96" s="242"/>
      <c r="N96" s="533"/>
      <c r="O96" s="109" t="s">
        <v>112</v>
      </c>
      <c r="P96" s="26">
        <v>60</v>
      </c>
      <c r="Q96" s="842">
        <v>30</v>
      </c>
      <c r="R96" s="294">
        <v>30</v>
      </c>
      <c r="S96" s="292">
        <v>30</v>
      </c>
      <c r="U96" s="14"/>
      <c r="V96" s="14"/>
      <c r="W96" s="14"/>
      <c r="X96" s="14"/>
    </row>
    <row r="97" spans="1:25" s="1" customFormat="1" ht="28.5" customHeight="1" x14ac:dyDescent="0.2">
      <c r="A97" s="134"/>
      <c r="B97" s="1130"/>
      <c r="C97" s="12"/>
      <c r="D97" s="453" t="s">
        <v>34</v>
      </c>
      <c r="E97" s="497" t="s">
        <v>197</v>
      </c>
      <c r="F97" s="181"/>
      <c r="G97" s="1411">
        <v>11020204</v>
      </c>
      <c r="H97" s="444"/>
      <c r="I97" s="745"/>
      <c r="J97" s="44" t="s">
        <v>17</v>
      </c>
      <c r="K97" s="700">
        <f>50-7.4</f>
        <v>42.6</v>
      </c>
      <c r="L97" s="509"/>
      <c r="M97" s="510"/>
      <c r="N97" s="511"/>
      <c r="O97" s="1089" t="s">
        <v>341</v>
      </c>
      <c r="P97" s="26">
        <v>6</v>
      </c>
      <c r="Q97" s="842">
        <v>11</v>
      </c>
      <c r="R97" s="294">
        <v>12</v>
      </c>
      <c r="S97" s="295">
        <v>13</v>
      </c>
      <c r="V97" s="14"/>
      <c r="X97" s="14"/>
    </row>
    <row r="98" spans="1:25" s="1" customFormat="1" ht="28.5" customHeight="1" x14ac:dyDescent="0.2">
      <c r="A98" s="134"/>
      <c r="B98" s="1130"/>
      <c r="C98" s="12"/>
      <c r="D98" s="152"/>
      <c r="E98" s="111" t="s">
        <v>103</v>
      </c>
      <c r="F98" s="181"/>
      <c r="G98" s="1412"/>
      <c r="H98" s="444"/>
      <c r="I98" s="745"/>
      <c r="J98" s="43" t="s">
        <v>17</v>
      </c>
      <c r="K98" s="612">
        <v>20</v>
      </c>
      <c r="L98" s="236"/>
      <c r="M98" s="245"/>
      <c r="N98" s="495"/>
      <c r="O98" s="1128" t="s">
        <v>115</v>
      </c>
      <c r="P98" s="61">
        <v>748</v>
      </c>
      <c r="Q98" s="462"/>
      <c r="R98" s="324"/>
      <c r="S98" s="325"/>
      <c r="V98" s="14"/>
      <c r="W98" s="14"/>
    </row>
    <row r="99" spans="1:25" s="1" customFormat="1" ht="29.25" customHeight="1" x14ac:dyDescent="0.2">
      <c r="A99" s="134"/>
      <c r="B99" s="1130"/>
      <c r="C99" s="12"/>
      <c r="D99" s="453" t="s">
        <v>63</v>
      </c>
      <c r="E99" s="1141" t="s">
        <v>33</v>
      </c>
      <c r="F99" s="181"/>
      <c r="G99" s="1482">
        <v>11020202</v>
      </c>
      <c r="H99" s="444"/>
      <c r="I99" s="744"/>
      <c r="J99" s="13" t="s">
        <v>17</v>
      </c>
      <c r="K99" s="1153">
        <v>20</v>
      </c>
      <c r="L99" s="215">
        <v>27</v>
      </c>
      <c r="M99" s="225">
        <v>27</v>
      </c>
      <c r="N99" s="504">
        <v>27</v>
      </c>
      <c r="O99" s="74" t="s">
        <v>342</v>
      </c>
      <c r="P99" s="90">
        <v>237</v>
      </c>
      <c r="Q99" s="461">
        <v>313</v>
      </c>
      <c r="R99" s="311">
        <v>320</v>
      </c>
      <c r="S99" s="312">
        <v>320</v>
      </c>
      <c r="V99" s="14"/>
    </row>
    <row r="100" spans="1:25" s="1" customFormat="1" ht="18.75" customHeight="1" x14ac:dyDescent="0.2">
      <c r="A100" s="134"/>
      <c r="B100" s="1130"/>
      <c r="C100" s="12"/>
      <c r="D100" s="152"/>
      <c r="E100" s="1305" t="s">
        <v>103</v>
      </c>
      <c r="F100" s="181"/>
      <c r="G100" s="1483"/>
      <c r="H100" s="444"/>
      <c r="I100" s="744"/>
      <c r="J100" s="44" t="s">
        <v>17</v>
      </c>
      <c r="K100" s="612">
        <v>2</v>
      </c>
      <c r="L100" s="236"/>
      <c r="M100" s="245"/>
      <c r="N100" s="495"/>
      <c r="O100" s="1136" t="s">
        <v>115</v>
      </c>
      <c r="P100" s="90">
        <v>87</v>
      </c>
      <c r="Q100" s="461"/>
      <c r="R100" s="311"/>
      <c r="S100" s="312"/>
      <c r="V100" s="14"/>
      <c r="W100" s="14"/>
    </row>
    <row r="101" spans="1:25" s="1" customFormat="1" ht="16.5" customHeight="1" x14ac:dyDescent="0.2">
      <c r="A101" s="134"/>
      <c r="B101" s="1130"/>
      <c r="C101" s="12"/>
      <c r="D101" s="152"/>
      <c r="E101" s="1305"/>
      <c r="F101" s="182"/>
      <c r="G101" s="203"/>
      <c r="H101" s="444"/>
      <c r="I101" s="744"/>
      <c r="J101" s="43" t="s">
        <v>43</v>
      </c>
      <c r="K101" s="612">
        <v>17</v>
      </c>
      <c r="L101" s="232">
        <v>18.600000000000001</v>
      </c>
      <c r="M101" s="241">
        <v>18.600000000000001</v>
      </c>
      <c r="N101" s="229">
        <v>18.600000000000001</v>
      </c>
      <c r="O101" s="115"/>
      <c r="P101" s="65"/>
      <c r="Q101" s="1029"/>
      <c r="R101" s="327"/>
      <c r="S101" s="328"/>
      <c r="W101" s="1" t="s">
        <v>67</v>
      </c>
    </row>
    <row r="102" spans="1:25" s="1" customFormat="1" ht="15.75" customHeight="1" thickBot="1" x14ac:dyDescent="0.25">
      <c r="A102" s="136"/>
      <c r="B102" s="1095"/>
      <c r="C102" s="15"/>
      <c r="D102" s="452"/>
      <c r="E102" s="1097"/>
      <c r="F102" s="183"/>
      <c r="G102" s="1114"/>
      <c r="H102" s="446"/>
      <c r="I102" s="746"/>
      <c r="J102" s="1092" t="s">
        <v>18</v>
      </c>
      <c r="K102" s="515">
        <f>SUM(K93:K101)</f>
        <v>595</v>
      </c>
      <c r="L102" s="237">
        <f>SUM(L92:L101)</f>
        <v>689</v>
      </c>
      <c r="M102" s="246">
        <f t="shared" ref="M102" si="5">SUM(M92:M101)</f>
        <v>689</v>
      </c>
      <c r="N102" s="230">
        <f>SUM(N92:N101)</f>
        <v>689</v>
      </c>
      <c r="O102" s="1110"/>
      <c r="P102" s="169"/>
      <c r="Q102" s="588"/>
      <c r="R102" s="297"/>
      <c r="S102" s="298"/>
      <c r="V102" s="14"/>
      <c r="W102" s="14"/>
    </row>
    <row r="103" spans="1:25" s="1" customFormat="1" ht="27" customHeight="1" x14ac:dyDescent="0.2">
      <c r="A103" s="137" t="s">
        <v>13</v>
      </c>
      <c r="B103" s="1094" t="s">
        <v>19</v>
      </c>
      <c r="C103" s="1123" t="s">
        <v>21</v>
      </c>
      <c r="D103" s="451"/>
      <c r="E103" s="1304" t="s">
        <v>198</v>
      </c>
      <c r="F103" s="22"/>
      <c r="G103" s="1311">
        <v>11020205</v>
      </c>
      <c r="H103" s="443" t="s">
        <v>16</v>
      </c>
      <c r="I103" s="1447" t="s">
        <v>101</v>
      </c>
      <c r="J103" s="6" t="s">
        <v>17</v>
      </c>
      <c r="K103" s="701">
        <v>576.29999999999995</v>
      </c>
      <c r="L103" s="238">
        <v>583.79999999999995</v>
      </c>
      <c r="M103" s="247">
        <v>600</v>
      </c>
      <c r="N103" s="372">
        <v>604</v>
      </c>
      <c r="O103" s="1300" t="s">
        <v>223</v>
      </c>
      <c r="P103" s="699">
        <v>2.9</v>
      </c>
      <c r="Q103" s="847">
        <v>2.9</v>
      </c>
      <c r="R103" s="848">
        <v>3</v>
      </c>
      <c r="S103" s="849">
        <v>3</v>
      </c>
    </row>
    <row r="104" spans="1:25" s="1" customFormat="1" ht="15.75" customHeight="1" thickBot="1" x14ac:dyDescent="0.25">
      <c r="A104" s="139"/>
      <c r="B104" s="1095"/>
      <c r="C104" s="1161"/>
      <c r="D104" s="452"/>
      <c r="E104" s="1308"/>
      <c r="F104" s="23"/>
      <c r="G104" s="1312"/>
      <c r="H104" s="446"/>
      <c r="I104" s="1408"/>
      <c r="J104" s="1151" t="s">
        <v>18</v>
      </c>
      <c r="K104" s="515">
        <f t="shared" ref="K104:N104" si="6">+K103</f>
        <v>576.29999999999995</v>
      </c>
      <c r="L104" s="237">
        <f t="shared" si="6"/>
        <v>583.79999999999995</v>
      </c>
      <c r="M104" s="226">
        <f t="shared" si="6"/>
        <v>600</v>
      </c>
      <c r="N104" s="218">
        <f t="shared" si="6"/>
        <v>604</v>
      </c>
      <c r="O104" s="1216"/>
      <c r="P104" s="169"/>
      <c r="Q104" s="296"/>
      <c r="R104" s="297"/>
      <c r="S104" s="298"/>
    </row>
    <row r="105" spans="1:25" s="621" customFormat="1" ht="17.25" customHeight="1" x14ac:dyDescent="0.2">
      <c r="A105" s="138" t="s">
        <v>13</v>
      </c>
      <c r="B105" s="1130" t="s">
        <v>19</v>
      </c>
      <c r="C105" s="1124" t="s">
        <v>34</v>
      </c>
      <c r="D105" s="152"/>
      <c r="E105" s="1281" t="s">
        <v>199</v>
      </c>
      <c r="F105" s="618"/>
      <c r="G105" s="1306">
        <v>11020406</v>
      </c>
      <c r="H105" s="1098">
        <v>2</v>
      </c>
      <c r="I105" s="1493" t="s">
        <v>131</v>
      </c>
      <c r="J105" s="625" t="s">
        <v>17</v>
      </c>
      <c r="K105" s="701"/>
      <c r="L105" s="987">
        <f>156.5-63.5</f>
        <v>93</v>
      </c>
      <c r="M105" s="247">
        <v>156.5</v>
      </c>
      <c r="N105" s="426">
        <v>156.5</v>
      </c>
      <c r="O105" s="1300" t="s">
        <v>200</v>
      </c>
      <c r="P105" s="619"/>
      <c r="Q105" s="387">
        <v>2019</v>
      </c>
      <c r="R105" s="311">
        <v>2058</v>
      </c>
      <c r="S105" s="312">
        <v>2060</v>
      </c>
      <c r="T105" s="620"/>
      <c r="X105" s="622"/>
      <c r="Y105" s="620"/>
    </row>
    <row r="106" spans="1:25" s="621" customFormat="1" ht="15.75" customHeight="1" thickBot="1" x14ac:dyDescent="0.25">
      <c r="A106" s="138"/>
      <c r="B106" s="1130"/>
      <c r="C106" s="1124"/>
      <c r="D106" s="152"/>
      <c r="E106" s="1282"/>
      <c r="F106" s="623"/>
      <c r="G106" s="1307"/>
      <c r="H106" s="1099"/>
      <c r="I106" s="1494"/>
      <c r="J106" s="1148" t="s">
        <v>18</v>
      </c>
      <c r="K106" s="702">
        <f>SUM(K105:K105)</f>
        <v>0</v>
      </c>
      <c r="L106" s="490">
        <f>+L105</f>
        <v>93</v>
      </c>
      <c r="M106" s="489">
        <f>+M105</f>
        <v>156.5</v>
      </c>
      <c r="N106" s="491">
        <f>+N105</f>
        <v>156.5</v>
      </c>
      <c r="O106" s="1216"/>
      <c r="P106" s="619"/>
      <c r="Q106" s="387"/>
      <c r="R106" s="311"/>
      <c r="S106" s="312"/>
      <c r="X106" s="622"/>
      <c r="Y106" s="620"/>
    </row>
    <row r="107" spans="1:25" s="621" customFormat="1" ht="21" customHeight="1" x14ac:dyDescent="0.2">
      <c r="A107" s="137" t="s">
        <v>13</v>
      </c>
      <c r="B107" s="1094" t="s">
        <v>19</v>
      </c>
      <c r="C107" s="1123" t="s">
        <v>63</v>
      </c>
      <c r="D107" s="451"/>
      <c r="E107" s="1304" t="s">
        <v>201</v>
      </c>
      <c r="F107" s="624"/>
      <c r="G107" s="1309">
        <v>11020205</v>
      </c>
      <c r="H107" s="1098" t="s">
        <v>16</v>
      </c>
      <c r="I107" s="1405" t="s">
        <v>101</v>
      </c>
      <c r="J107" s="625" t="s">
        <v>17</v>
      </c>
      <c r="K107" s="701"/>
      <c r="L107" s="238">
        <v>5.4</v>
      </c>
      <c r="M107" s="247">
        <v>5.4</v>
      </c>
      <c r="N107" s="372">
        <v>5.4</v>
      </c>
      <c r="O107" s="49" t="s">
        <v>202</v>
      </c>
      <c r="P107" s="626"/>
      <c r="Q107" s="586">
        <v>18</v>
      </c>
      <c r="R107" s="309">
        <v>18</v>
      </c>
      <c r="S107" s="175">
        <v>18</v>
      </c>
      <c r="T107" s="620"/>
      <c r="V107" s="846"/>
      <c r="Y107" s="620"/>
    </row>
    <row r="108" spans="1:25" s="621" customFormat="1" ht="18" customHeight="1" thickBot="1" x14ac:dyDescent="0.25">
      <c r="A108" s="139"/>
      <c r="B108" s="1095"/>
      <c r="C108" s="1161"/>
      <c r="D108" s="452"/>
      <c r="E108" s="1308"/>
      <c r="F108" s="627"/>
      <c r="G108" s="1310"/>
      <c r="H108" s="1099"/>
      <c r="I108" s="1467"/>
      <c r="J108" s="628" t="s">
        <v>18</v>
      </c>
      <c r="K108" s="547">
        <f>+K107</f>
        <v>0</v>
      </c>
      <c r="L108" s="216">
        <f>+L107</f>
        <v>5.4</v>
      </c>
      <c r="M108" s="226">
        <f>+M107</f>
        <v>5.4</v>
      </c>
      <c r="N108" s="379">
        <f>+N107</f>
        <v>5.4</v>
      </c>
      <c r="O108" s="629" t="s">
        <v>203</v>
      </c>
      <c r="P108" s="630"/>
      <c r="Q108" s="631">
        <v>120</v>
      </c>
      <c r="R108" s="632">
        <v>130</v>
      </c>
      <c r="S108" s="633">
        <v>140</v>
      </c>
      <c r="Y108" s="620"/>
    </row>
    <row r="109" spans="1:25" s="621" customFormat="1" ht="27" customHeight="1" x14ac:dyDescent="0.2">
      <c r="A109" s="137" t="s">
        <v>13</v>
      </c>
      <c r="B109" s="1094" t="s">
        <v>19</v>
      </c>
      <c r="C109" s="1123" t="s">
        <v>156</v>
      </c>
      <c r="D109" s="451"/>
      <c r="E109" s="1304" t="s">
        <v>165</v>
      </c>
      <c r="F109" s="624"/>
      <c r="G109" s="1309">
        <v>11020205</v>
      </c>
      <c r="H109" s="1098">
        <v>1</v>
      </c>
      <c r="I109" s="1405" t="s">
        <v>106</v>
      </c>
      <c r="J109" s="625" t="s">
        <v>17</v>
      </c>
      <c r="K109" s="701"/>
      <c r="L109" s="281">
        <v>12.6</v>
      </c>
      <c r="M109" s="376">
        <v>30</v>
      </c>
      <c r="N109" s="372">
        <v>30</v>
      </c>
      <c r="O109" s="514" t="s">
        <v>318</v>
      </c>
      <c r="P109" s="170"/>
      <c r="Q109" s="340">
        <v>100</v>
      </c>
      <c r="R109" s="300">
        <v>100</v>
      </c>
      <c r="S109" s="1126">
        <v>100</v>
      </c>
      <c r="T109" s="620"/>
      <c r="Y109" s="620"/>
    </row>
    <row r="110" spans="1:25" s="621" customFormat="1" ht="18" customHeight="1" thickBot="1" x14ac:dyDescent="0.25">
      <c r="A110" s="139"/>
      <c r="B110" s="1095"/>
      <c r="C110" s="1161"/>
      <c r="D110" s="452"/>
      <c r="E110" s="1308"/>
      <c r="F110" s="627"/>
      <c r="G110" s="1310"/>
      <c r="H110" s="1099"/>
      <c r="I110" s="1467"/>
      <c r="J110" s="628" t="s">
        <v>18</v>
      </c>
      <c r="K110" s="547">
        <f>+K109</f>
        <v>0</v>
      </c>
      <c r="L110" s="211">
        <f>+L109</f>
        <v>12.6</v>
      </c>
      <c r="M110" s="222">
        <f>+M109</f>
        <v>30</v>
      </c>
      <c r="N110" s="379">
        <f>+N109</f>
        <v>30</v>
      </c>
      <c r="O110" s="91"/>
      <c r="P110" s="844"/>
      <c r="Q110" s="845"/>
      <c r="R110" s="297"/>
      <c r="S110" s="1127"/>
      <c r="Y110" s="620"/>
    </row>
    <row r="111" spans="1:25" s="1" customFormat="1" ht="15.75" customHeight="1" x14ac:dyDescent="0.2">
      <c r="A111" s="137" t="s">
        <v>13</v>
      </c>
      <c r="B111" s="1094" t="s">
        <v>19</v>
      </c>
      <c r="C111" s="1123" t="s">
        <v>157</v>
      </c>
      <c r="D111" s="152"/>
      <c r="E111" s="1327" t="s">
        <v>124</v>
      </c>
      <c r="F111" s="117"/>
      <c r="G111" s="1329">
        <v>11020406</v>
      </c>
      <c r="H111" s="448">
        <v>2</v>
      </c>
      <c r="I111" s="1407"/>
      <c r="J111" s="43" t="s">
        <v>17</v>
      </c>
      <c r="K111" s="666">
        <v>19.2</v>
      </c>
      <c r="L111" s="239"/>
      <c r="M111" s="248"/>
      <c r="N111" s="231"/>
      <c r="O111" s="1215" t="s">
        <v>122</v>
      </c>
      <c r="P111" s="171">
        <v>2</v>
      </c>
      <c r="Q111" s="293">
        <v>2</v>
      </c>
      <c r="R111" s="294"/>
      <c r="S111" s="295"/>
    </row>
    <row r="112" spans="1:25" s="1" customFormat="1" ht="15.75" customHeight="1" x14ac:dyDescent="0.2">
      <c r="A112" s="138"/>
      <c r="B112" s="1130"/>
      <c r="C112" s="1124"/>
      <c r="D112" s="152"/>
      <c r="E112" s="1500"/>
      <c r="F112" s="117"/>
      <c r="G112" s="1341"/>
      <c r="H112" s="444"/>
      <c r="I112" s="1407"/>
      <c r="J112" s="44" t="s">
        <v>79</v>
      </c>
      <c r="K112" s="666"/>
      <c r="L112" s="239">
        <v>17.7</v>
      </c>
      <c r="M112" s="248"/>
      <c r="N112" s="231"/>
      <c r="O112" s="1336"/>
      <c r="P112" s="861"/>
      <c r="Q112" s="1154"/>
      <c r="R112" s="311"/>
      <c r="S112" s="312"/>
    </row>
    <row r="113" spans="1:26" s="1" customFormat="1" ht="15.75" customHeight="1" thickBot="1" x14ac:dyDescent="0.25">
      <c r="A113" s="139"/>
      <c r="B113" s="1095"/>
      <c r="C113" s="1161"/>
      <c r="D113" s="452"/>
      <c r="E113" s="1328"/>
      <c r="F113" s="23"/>
      <c r="G113" s="1330"/>
      <c r="H113" s="446"/>
      <c r="I113" s="1408"/>
      <c r="J113" s="1092" t="s">
        <v>18</v>
      </c>
      <c r="K113" s="515">
        <f>SUM(K111:K111)</f>
        <v>19.2</v>
      </c>
      <c r="L113" s="237">
        <f>SUM(L111:L112)</f>
        <v>17.7</v>
      </c>
      <c r="M113" s="246"/>
      <c r="N113" s="516"/>
      <c r="O113" s="1216"/>
      <c r="P113" s="169"/>
      <c r="Q113" s="296"/>
      <c r="R113" s="297"/>
      <c r="S113" s="298"/>
    </row>
    <row r="114" spans="1:26" s="1" customFormat="1" ht="36" customHeight="1" x14ac:dyDescent="0.2">
      <c r="A114" s="137"/>
      <c r="B114" s="1094"/>
      <c r="C114" s="1123"/>
      <c r="D114" s="451"/>
      <c r="E114" s="1304" t="s">
        <v>109</v>
      </c>
      <c r="F114" s="92" t="s">
        <v>36</v>
      </c>
      <c r="G114" s="1417">
        <v>11020206</v>
      </c>
      <c r="H114" s="447">
        <v>1</v>
      </c>
      <c r="I114" s="1447"/>
      <c r="J114" s="6" t="s">
        <v>17</v>
      </c>
      <c r="K114" s="701">
        <v>30</v>
      </c>
      <c r="L114" s="281"/>
      <c r="M114" s="376"/>
      <c r="N114" s="372"/>
      <c r="O114" s="1300" t="s">
        <v>110</v>
      </c>
      <c r="P114" s="170">
        <v>2</v>
      </c>
      <c r="Q114" s="299"/>
      <c r="R114" s="300"/>
      <c r="S114" s="301"/>
      <c r="V114" s="14"/>
    </row>
    <row r="115" spans="1:26" s="1" customFormat="1" ht="17.25" customHeight="1" thickBot="1" x14ac:dyDescent="0.25">
      <c r="A115" s="139"/>
      <c r="B115" s="1095"/>
      <c r="C115" s="1161"/>
      <c r="D115" s="452"/>
      <c r="E115" s="1308"/>
      <c r="F115" s="868"/>
      <c r="G115" s="1330"/>
      <c r="H115" s="446"/>
      <c r="I115" s="1408"/>
      <c r="J115" s="1151" t="s">
        <v>18</v>
      </c>
      <c r="K115" s="515">
        <f>+K114</f>
        <v>30</v>
      </c>
      <c r="L115" s="512"/>
      <c r="M115" s="513"/>
      <c r="N115" s="373"/>
      <c r="O115" s="1216"/>
      <c r="P115" s="169"/>
      <c r="Q115" s="296"/>
      <c r="R115" s="297"/>
      <c r="S115" s="298"/>
    </row>
    <row r="116" spans="1:26" s="1" customFormat="1" ht="13.5" thickBot="1" x14ac:dyDescent="0.25">
      <c r="A116" s="1122" t="s">
        <v>13</v>
      </c>
      <c r="B116" s="1095" t="s">
        <v>19</v>
      </c>
      <c r="C116" s="1323" t="s">
        <v>22</v>
      </c>
      <c r="D116" s="1323"/>
      <c r="E116" s="1323"/>
      <c r="F116" s="1323"/>
      <c r="G116" s="1323"/>
      <c r="H116" s="1323"/>
      <c r="I116" s="1323"/>
      <c r="J116" s="1323"/>
      <c r="K116" s="668">
        <f>+K113+K104+K115+K102+K90+K106+K108</f>
        <v>6041.6</v>
      </c>
      <c r="L116" s="240">
        <f>+L113+L104+L115+L102+L90+L106+L108+L110</f>
        <v>6535.1</v>
      </c>
      <c r="M116" s="249">
        <f>+M113+M104+M115+M102+M90+M106+M108+M110</f>
        <v>6663.4</v>
      </c>
      <c r="N116" s="374">
        <f>+N113+N104+N115+N102+N90+N106+N108+N110</f>
        <v>6629.4999999999991</v>
      </c>
      <c r="O116" s="1324"/>
      <c r="P116" s="1325"/>
      <c r="Q116" s="1325"/>
      <c r="R116" s="1325"/>
      <c r="S116" s="1326"/>
      <c r="W116" s="14"/>
    </row>
    <row r="117" spans="1:26" s="1" customFormat="1" ht="15.75" customHeight="1" thickBot="1" x14ac:dyDescent="0.25">
      <c r="A117" s="140" t="s">
        <v>13</v>
      </c>
      <c r="B117" s="24" t="s">
        <v>21</v>
      </c>
      <c r="C117" s="1284" t="s">
        <v>35</v>
      </c>
      <c r="D117" s="1284"/>
      <c r="E117" s="1284"/>
      <c r="F117" s="1284"/>
      <c r="G117" s="1319"/>
      <c r="H117" s="1319"/>
      <c r="I117" s="1319"/>
      <c r="J117" s="1319"/>
      <c r="K117" s="1319"/>
      <c r="L117" s="1319"/>
      <c r="M117" s="1319"/>
      <c r="N117" s="1319"/>
      <c r="O117" s="1284"/>
      <c r="P117" s="1284"/>
      <c r="Q117" s="1284"/>
      <c r="R117" s="1284"/>
      <c r="S117" s="1285"/>
      <c r="W117" s="14"/>
    </row>
    <row r="118" spans="1:26" s="621" customFormat="1" ht="27" customHeight="1" x14ac:dyDescent="0.2">
      <c r="A118" s="133" t="s">
        <v>13</v>
      </c>
      <c r="B118" s="1265" t="s">
        <v>21</v>
      </c>
      <c r="C118" s="1320" t="s">
        <v>13</v>
      </c>
      <c r="D118" s="1106"/>
      <c r="E118" s="1304" t="s">
        <v>204</v>
      </c>
      <c r="F118" s="672"/>
      <c r="G118" s="673"/>
      <c r="H118" s="634">
        <v>2</v>
      </c>
      <c r="I118" s="1468"/>
      <c r="J118" s="635" t="s">
        <v>17</v>
      </c>
      <c r="K118" s="674"/>
      <c r="L118" s="372">
        <v>18</v>
      </c>
      <c r="M118" s="636"/>
      <c r="N118" s="637"/>
      <c r="O118" s="638" t="s">
        <v>205</v>
      </c>
      <c r="P118" s="675"/>
      <c r="Q118" s="340">
        <v>1</v>
      </c>
      <c r="R118" s="341"/>
      <c r="S118" s="342"/>
      <c r="T118" s="620"/>
    </row>
    <row r="119" spans="1:26" s="621" customFormat="1" ht="16.5" customHeight="1" thickBot="1" x14ac:dyDescent="0.25">
      <c r="A119" s="136"/>
      <c r="B119" s="1267"/>
      <c r="C119" s="1321"/>
      <c r="D119" s="1106"/>
      <c r="E119" s="1308"/>
      <c r="F119" s="676"/>
      <c r="G119" s="677"/>
      <c r="H119" s="678"/>
      <c r="I119" s="1469"/>
      <c r="J119" s="1147" t="s">
        <v>18</v>
      </c>
      <c r="K119" s="501"/>
      <c r="L119" s="639">
        <f>+L118</f>
        <v>18</v>
      </c>
      <c r="M119" s="243"/>
      <c r="N119" s="501"/>
      <c r="O119" s="679"/>
      <c r="P119" s="680"/>
      <c r="Q119" s="316"/>
      <c r="R119" s="317"/>
      <c r="S119" s="318"/>
      <c r="T119" s="620"/>
    </row>
    <row r="120" spans="1:26" s="1" customFormat="1" ht="15.75" customHeight="1" x14ac:dyDescent="0.2">
      <c r="A120" s="141" t="s">
        <v>13</v>
      </c>
      <c r="B120" s="88" t="s">
        <v>21</v>
      </c>
      <c r="C120" s="25" t="s">
        <v>19</v>
      </c>
      <c r="D120" s="454"/>
      <c r="E120" s="1317" t="s">
        <v>39</v>
      </c>
      <c r="F120" s="70"/>
      <c r="G120" s="204"/>
      <c r="H120" s="57"/>
      <c r="I120" s="747"/>
      <c r="J120" s="1070"/>
      <c r="K120" s="719"/>
      <c r="L120" s="281"/>
      <c r="M120" s="376"/>
      <c r="N120" s="661"/>
      <c r="O120" s="262"/>
      <c r="P120" s="1126"/>
      <c r="Q120" s="385"/>
      <c r="R120" s="329"/>
      <c r="S120" s="330"/>
      <c r="U120" s="14"/>
      <c r="V120" s="14"/>
    </row>
    <row r="121" spans="1:26" s="1" customFormat="1" ht="15.75" customHeight="1" x14ac:dyDescent="0.2">
      <c r="A121" s="142"/>
      <c r="B121" s="1159"/>
      <c r="C121" s="1143"/>
      <c r="D121" s="1106"/>
      <c r="E121" s="1322"/>
      <c r="F121" s="71"/>
      <c r="G121" s="205"/>
      <c r="H121" s="124"/>
      <c r="I121" s="748"/>
      <c r="J121" s="366"/>
      <c r="K121" s="1069"/>
      <c r="L121" s="541"/>
      <c r="M121" s="539"/>
      <c r="N121" s="1015"/>
      <c r="O121" s="263"/>
      <c r="P121" s="90"/>
      <c r="Q121" s="386"/>
      <c r="R121" s="363"/>
      <c r="S121" s="364"/>
      <c r="U121" s="14"/>
      <c r="V121" s="14"/>
    </row>
    <row r="122" spans="1:26" s="1" customFormat="1" ht="29.25" customHeight="1" x14ac:dyDescent="0.2">
      <c r="A122" s="138"/>
      <c r="B122" s="1130"/>
      <c r="C122" s="1143"/>
      <c r="D122" s="1105" t="s">
        <v>13</v>
      </c>
      <c r="E122" s="1107" t="s">
        <v>88</v>
      </c>
      <c r="F122" s="1071" t="s">
        <v>36</v>
      </c>
      <c r="G122" s="1329">
        <v>1101012101</v>
      </c>
      <c r="H122" s="176">
        <v>5</v>
      </c>
      <c r="I122" s="749" t="s">
        <v>87</v>
      </c>
      <c r="J122" s="185"/>
      <c r="K122" s="720"/>
      <c r="L122" s="721"/>
      <c r="M122" s="256"/>
      <c r="N122" s="722"/>
      <c r="O122" s="192"/>
      <c r="P122" s="174"/>
      <c r="Q122" s="388"/>
      <c r="R122" s="331"/>
      <c r="S122" s="332"/>
      <c r="T122" s="112"/>
      <c r="U122" s="95"/>
      <c r="V122" s="113"/>
      <c r="W122" s="159"/>
      <c r="X122" s="160"/>
      <c r="Y122" s="113"/>
      <c r="Z122" s="113"/>
    </row>
    <row r="123" spans="1:26" s="1" customFormat="1" ht="15.75" customHeight="1" x14ac:dyDescent="0.2">
      <c r="A123" s="138"/>
      <c r="B123" s="1130"/>
      <c r="C123" s="1143"/>
      <c r="D123" s="1106"/>
      <c r="E123" s="106" t="s">
        <v>86</v>
      </c>
      <c r="F123" s="1342" t="s">
        <v>42</v>
      </c>
      <c r="G123" s="1341"/>
      <c r="H123" s="27"/>
      <c r="I123" s="750"/>
      <c r="J123" s="185" t="s">
        <v>79</v>
      </c>
      <c r="K123" s="771">
        <v>372.4</v>
      </c>
      <c r="L123" s="721"/>
      <c r="M123" s="681"/>
      <c r="N123" s="722"/>
      <c r="O123" s="265" t="s">
        <v>40</v>
      </c>
      <c r="P123" s="278">
        <v>10</v>
      </c>
      <c r="Q123" s="380">
        <v>50</v>
      </c>
      <c r="R123" s="333">
        <v>100</v>
      </c>
      <c r="S123" s="278"/>
      <c r="U123" s="114"/>
      <c r="V123" s="313"/>
      <c r="W123" s="519"/>
      <c r="X123" s="839"/>
      <c r="Y123" s="113"/>
      <c r="Z123" s="113"/>
    </row>
    <row r="124" spans="1:26" s="1" customFormat="1" ht="15.75" customHeight="1" x14ac:dyDescent="0.2">
      <c r="A124" s="138"/>
      <c r="B124" s="1130"/>
      <c r="C124" s="1143"/>
      <c r="D124" s="1106"/>
      <c r="E124" s="107"/>
      <c r="F124" s="1343"/>
      <c r="G124" s="1341"/>
      <c r="H124" s="27"/>
      <c r="I124" s="750"/>
      <c r="J124" s="484" t="s">
        <v>17</v>
      </c>
      <c r="K124" s="771"/>
      <c r="L124" s="721">
        <v>409.6</v>
      </c>
      <c r="M124" s="681"/>
      <c r="N124" s="722"/>
      <c r="O124" s="266"/>
      <c r="P124" s="173"/>
      <c r="Q124" s="380"/>
      <c r="R124" s="333"/>
      <c r="S124" s="173"/>
      <c r="T124" s="1065"/>
      <c r="U124" s="1065"/>
      <c r="V124" s="1065"/>
      <c r="W124" s="519"/>
      <c r="X124" s="839"/>
      <c r="Y124" s="113"/>
      <c r="Z124" s="113"/>
    </row>
    <row r="125" spans="1:26" s="1" customFormat="1" ht="15.75" customHeight="1" x14ac:dyDescent="0.2">
      <c r="A125" s="138"/>
      <c r="B125" s="1130"/>
      <c r="C125" s="1143"/>
      <c r="D125" s="1106"/>
      <c r="E125" s="107"/>
      <c r="F125" s="1343"/>
      <c r="G125" s="1341"/>
      <c r="H125" s="27"/>
      <c r="I125" s="750"/>
      <c r="J125" s="484" t="s">
        <v>225</v>
      </c>
      <c r="K125" s="771"/>
      <c r="L125" s="721">
        <v>1500</v>
      </c>
      <c r="M125" s="681">
        <v>1913.5</v>
      </c>
      <c r="N125" s="722"/>
      <c r="O125" s="266"/>
      <c r="P125" s="173"/>
      <c r="Q125" s="380"/>
      <c r="R125" s="333"/>
      <c r="S125" s="173"/>
      <c r="T125" s="1065"/>
      <c r="U125" s="1065"/>
      <c r="V125" s="1065"/>
      <c r="W125" s="519"/>
      <c r="X125" s="839"/>
      <c r="Y125" s="113"/>
      <c r="Z125" s="113"/>
    </row>
    <row r="126" spans="1:26" s="1" customFormat="1" ht="15.75" customHeight="1" x14ac:dyDescent="0.2">
      <c r="A126" s="138"/>
      <c r="B126" s="1130"/>
      <c r="C126" s="1143"/>
      <c r="D126" s="1106"/>
      <c r="E126" s="107"/>
      <c r="F126" s="1343"/>
      <c r="G126" s="1341"/>
      <c r="H126" s="27"/>
      <c r="I126" s="750"/>
      <c r="J126" s="653" t="s">
        <v>43</v>
      </c>
      <c r="K126" s="771">
        <v>42.3</v>
      </c>
      <c r="L126" s="95"/>
      <c r="M126" s="1191"/>
      <c r="N126" s="722"/>
      <c r="O126" s="266"/>
      <c r="P126" s="173"/>
      <c r="Q126" s="380"/>
      <c r="R126" s="333"/>
      <c r="S126" s="173"/>
      <c r="T126" s="1065"/>
      <c r="U126" s="1065"/>
      <c r="V126" s="1065"/>
      <c r="W126" s="838"/>
      <c r="X126" s="160"/>
      <c r="Y126" s="113"/>
      <c r="Z126" s="113"/>
    </row>
    <row r="127" spans="1:26" s="1" customFormat="1" ht="15.75" customHeight="1" x14ac:dyDescent="0.2">
      <c r="A127" s="138"/>
      <c r="B127" s="1184"/>
      <c r="C127" s="1186"/>
      <c r="D127" s="1185"/>
      <c r="E127" s="107"/>
      <c r="F127" s="1343"/>
      <c r="G127" s="1182"/>
      <c r="H127" s="27"/>
      <c r="I127" s="750"/>
      <c r="J127" s="653" t="s">
        <v>37</v>
      </c>
      <c r="K127" s="772"/>
      <c r="L127" s="721">
        <v>51.5</v>
      </c>
      <c r="M127" s="1189">
        <v>54.9</v>
      </c>
      <c r="N127" s="722"/>
      <c r="O127" s="266"/>
      <c r="P127" s="173"/>
      <c r="Q127" s="389"/>
      <c r="R127" s="334"/>
      <c r="S127" s="173"/>
      <c r="T127" s="1065"/>
      <c r="U127" s="1065"/>
      <c r="V127" s="1065"/>
      <c r="W127" s="838"/>
      <c r="X127" s="160"/>
      <c r="Y127" s="113"/>
      <c r="Z127" s="113"/>
    </row>
    <row r="128" spans="1:26" s="1" customFormat="1" ht="15.75" customHeight="1" x14ac:dyDescent="0.2">
      <c r="A128" s="138"/>
      <c r="B128" s="1130"/>
      <c r="C128" s="1143"/>
      <c r="D128" s="1106"/>
      <c r="E128" s="107"/>
      <c r="F128" s="1343"/>
      <c r="G128" s="196"/>
      <c r="H128" s="27"/>
      <c r="I128" s="750"/>
      <c r="J128" s="484" t="s">
        <v>41</v>
      </c>
      <c r="K128" s="772">
        <v>478.9</v>
      </c>
      <c r="L128" s="721"/>
      <c r="M128" s="1189"/>
      <c r="N128" s="722"/>
      <c r="O128" s="266"/>
      <c r="P128" s="173"/>
      <c r="Q128" s="389"/>
      <c r="R128" s="334"/>
      <c r="S128" s="173"/>
      <c r="T128" s="1065"/>
      <c r="U128" s="1065"/>
      <c r="V128" s="1065"/>
      <c r="W128" s="159"/>
      <c r="X128" s="160"/>
      <c r="Y128" s="113"/>
      <c r="Z128" s="113"/>
    </row>
    <row r="129" spans="1:27" s="1" customFormat="1" ht="15.75" customHeight="1" x14ac:dyDescent="0.2">
      <c r="A129" s="138"/>
      <c r="B129" s="1184"/>
      <c r="C129" s="1186"/>
      <c r="D129" s="1185"/>
      <c r="E129" s="107"/>
      <c r="F129" s="1343"/>
      <c r="G129" s="196"/>
      <c r="H129" s="27"/>
      <c r="I129" s="750"/>
      <c r="J129" s="484" t="s">
        <v>81</v>
      </c>
      <c r="K129" s="772"/>
      <c r="L129" s="721">
        <v>583.20000000000005</v>
      </c>
      <c r="M129" s="1189">
        <v>621.70000000000005</v>
      </c>
      <c r="N129" s="722"/>
      <c r="O129" s="266"/>
      <c r="P129" s="173"/>
      <c r="Q129" s="389"/>
      <c r="R129" s="334"/>
      <c r="S129" s="173"/>
      <c r="T129" s="1065"/>
      <c r="U129" s="1065"/>
      <c r="V129" s="1065"/>
      <c r="W129" s="159"/>
      <c r="X129" s="160"/>
      <c r="Y129" s="113"/>
      <c r="Z129" s="113"/>
    </row>
    <row r="130" spans="1:27" s="1" customFormat="1" ht="15.75" customHeight="1" x14ac:dyDescent="0.2">
      <c r="A130" s="138"/>
      <c r="B130" s="1130"/>
      <c r="C130" s="1143"/>
      <c r="D130" s="1106"/>
      <c r="E130" s="106" t="s">
        <v>108</v>
      </c>
      <c r="F130" s="1343"/>
      <c r="G130" s="196"/>
      <c r="H130" s="27"/>
      <c r="I130" s="750"/>
      <c r="J130" s="185" t="s">
        <v>79</v>
      </c>
      <c r="K130" s="771">
        <v>565.79999999999995</v>
      </c>
      <c r="L130" s="721"/>
      <c r="M130" s="256"/>
      <c r="N130" s="722"/>
      <c r="O130" s="265" t="s">
        <v>40</v>
      </c>
      <c r="P130" s="278">
        <v>10</v>
      </c>
      <c r="Q130" s="653"/>
      <c r="R130" s="531"/>
      <c r="S130" s="278">
        <v>80</v>
      </c>
      <c r="T130" s="1065"/>
      <c r="U130" s="1065"/>
      <c r="V130" s="1065"/>
      <c r="W130" s="114"/>
      <c r="X130" s="114"/>
      <c r="Y130" s="113"/>
      <c r="Z130" s="113"/>
    </row>
    <row r="131" spans="1:27" s="1" customFormat="1" ht="15.75" customHeight="1" x14ac:dyDescent="0.2">
      <c r="A131" s="138"/>
      <c r="B131" s="1130"/>
      <c r="C131" s="1143"/>
      <c r="D131" s="1106"/>
      <c r="E131" s="107"/>
      <c r="F131" s="1104"/>
      <c r="G131" s="196"/>
      <c r="H131" s="27"/>
      <c r="I131" s="750"/>
      <c r="J131" s="484" t="s">
        <v>17</v>
      </c>
      <c r="K131" s="772"/>
      <c r="L131" s="520"/>
      <c r="M131" s="869"/>
      <c r="N131" s="869">
        <v>4000</v>
      </c>
      <c r="O131" s="266"/>
      <c r="P131" s="173"/>
      <c r="Q131" s="389"/>
      <c r="R131" s="334"/>
      <c r="S131" s="335"/>
      <c r="T131" s="1066"/>
      <c r="U131" s="1067"/>
      <c r="V131" s="1067"/>
      <c r="W131" s="114"/>
      <c r="X131" s="114"/>
      <c r="Y131" s="113"/>
      <c r="Z131" s="113"/>
    </row>
    <row r="132" spans="1:27" s="1" customFormat="1" ht="17.25" customHeight="1" x14ac:dyDescent="0.2">
      <c r="A132" s="138"/>
      <c r="B132" s="1130"/>
      <c r="C132" s="1143"/>
      <c r="D132" s="1344" t="s">
        <v>19</v>
      </c>
      <c r="E132" s="1346" t="s">
        <v>222</v>
      </c>
      <c r="F132" s="1348" t="s">
        <v>36</v>
      </c>
      <c r="G132" s="865">
        <v>11010116</v>
      </c>
      <c r="H132" s="1350">
        <v>5</v>
      </c>
      <c r="I132" s="1498" t="s">
        <v>87</v>
      </c>
      <c r="J132" s="185" t="s">
        <v>17</v>
      </c>
      <c r="K132" s="772">
        <v>589.6</v>
      </c>
      <c r="L132" s="778">
        <v>384.3</v>
      </c>
      <c r="M132" s="255">
        <v>500</v>
      </c>
      <c r="N132" s="253"/>
      <c r="O132" s="1418" t="s">
        <v>44</v>
      </c>
      <c r="P132" s="278">
        <v>40</v>
      </c>
      <c r="Q132" s="365">
        <v>60</v>
      </c>
      <c r="R132" s="336">
        <v>100</v>
      </c>
      <c r="S132" s="337"/>
      <c r="T132" s="112"/>
      <c r="U132" s="95"/>
      <c r="V132" s="113"/>
      <c r="W132" s="95"/>
      <c r="X132" s="113"/>
      <c r="Y132" s="95"/>
      <c r="Z132" s="95"/>
    </row>
    <row r="133" spans="1:27" s="1" customFormat="1" ht="17.25" customHeight="1" x14ac:dyDescent="0.2">
      <c r="A133" s="138"/>
      <c r="B133" s="1130"/>
      <c r="C133" s="1143"/>
      <c r="D133" s="1495"/>
      <c r="E133" s="1424"/>
      <c r="F133" s="1496"/>
      <c r="G133" s="866"/>
      <c r="H133" s="1497"/>
      <c r="I133" s="1499"/>
      <c r="J133" s="185" t="s">
        <v>79</v>
      </c>
      <c r="K133" s="772"/>
      <c r="L133" s="1164">
        <v>544.79999999999995</v>
      </c>
      <c r="M133" s="255"/>
      <c r="N133" s="253"/>
      <c r="O133" s="1491"/>
      <c r="P133" s="173"/>
      <c r="Q133" s="387"/>
      <c r="R133" s="314"/>
      <c r="S133" s="315"/>
      <c r="T133" s="112"/>
      <c r="U133" s="95"/>
      <c r="V133" s="113"/>
      <c r="W133" s="95"/>
      <c r="X133" s="113"/>
      <c r="Y133" s="95"/>
      <c r="Z133" s="95"/>
    </row>
    <row r="134" spans="1:27" s="1" customFormat="1" ht="17.25" customHeight="1" x14ac:dyDescent="0.2">
      <c r="A134" s="138"/>
      <c r="B134" s="1130"/>
      <c r="C134" s="1143"/>
      <c r="D134" s="862"/>
      <c r="E134" s="1108"/>
      <c r="F134" s="864"/>
      <c r="G134" s="777"/>
      <c r="H134" s="1109"/>
      <c r="I134" s="863"/>
      <c r="J134" s="185" t="s">
        <v>43</v>
      </c>
      <c r="K134" s="771"/>
      <c r="L134" s="870">
        <v>100</v>
      </c>
      <c r="M134" s="256"/>
      <c r="N134" s="722"/>
      <c r="O134" s="1158"/>
      <c r="P134" s="537"/>
      <c r="Q134" s="366"/>
      <c r="R134" s="338"/>
      <c r="S134" s="339"/>
      <c r="T134" s="112"/>
      <c r="U134" s="95"/>
      <c r="V134" s="113"/>
      <c r="W134" s="95"/>
      <c r="X134" s="113"/>
      <c r="Y134" s="95"/>
      <c r="Z134" s="95"/>
    </row>
    <row r="135" spans="1:27" s="1" customFormat="1" ht="38.25" customHeight="1" x14ac:dyDescent="0.2">
      <c r="A135" s="138"/>
      <c r="B135" s="1130"/>
      <c r="C135" s="1423"/>
      <c r="D135" s="1106" t="s">
        <v>21</v>
      </c>
      <c r="E135" s="1424" t="s">
        <v>114</v>
      </c>
      <c r="F135" s="125" t="s">
        <v>36</v>
      </c>
      <c r="G135" s="1492">
        <v>11010135</v>
      </c>
      <c r="H135" s="277">
        <v>5</v>
      </c>
      <c r="I135" s="1425" t="s">
        <v>89</v>
      </c>
      <c r="J135" s="272" t="s">
        <v>17</v>
      </c>
      <c r="K135" s="773">
        <v>82</v>
      </c>
      <c r="L135" s="523"/>
      <c r="M135" s="524"/>
      <c r="N135" s="525">
        <f>2000-500-1000</f>
        <v>500</v>
      </c>
      <c r="O135" s="268" t="s">
        <v>75</v>
      </c>
      <c r="P135" s="173">
        <v>1</v>
      </c>
      <c r="Q135" s="380"/>
      <c r="R135" s="333"/>
      <c r="S135" s="173"/>
      <c r="T135" s="72"/>
      <c r="V135" s="14"/>
      <c r="X135" s="14"/>
    </row>
    <row r="136" spans="1:27" s="1" customFormat="1" ht="26.25" customHeight="1" x14ac:dyDescent="0.2">
      <c r="A136" s="138"/>
      <c r="B136" s="1130"/>
      <c r="C136" s="1423"/>
      <c r="D136" s="862"/>
      <c r="E136" s="1424"/>
      <c r="F136" s="393"/>
      <c r="G136" s="1492"/>
      <c r="H136" s="398"/>
      <c r="I136" s="1426"/>
      <c r="J136" s="272"/>
      <c r="K136" s="662"/>
      <c r="L136" s="483"/>
      <c r="M136" s="841"/>
      <c r="N136" s="482"/>
      <c r="O136" s="658" t="s">
        <v>166</v>
      </c>
      <c r="P136" s="174"/>
      <c r="Q136" s="388"/>
      <c r="R136" s="331"/>
      <c r="S136" s="332">
        <v>10</v>
      </c>
      <c r="T136" s="72"/>
      <c r="W136" s="14"/>
    </row>
    <row r="137" spans="1:27" s="1" customFormat="1" ht="14.25" customHeight="1" x14ac:dyDescent="0.2">
      <c r="A137" s="138"/>
      <c r="B137" s="1130"/>
      <c r="C137" s="1143"/>
      <c r="D137" s="1105" t="s">
        <v>34</v>
      </c>
      <c r="E137" s="1379" t="s">
        <v>148</v>
      </c>
      <c r="F137" s="1437" t="s">
        <v>36</v>
      </c>
      <c r="G137" s="400"/>
      <c r="H137" s="1439">
        <v>5</v>
      </c>
      <c r="I137" s="1144"/>
      <c r="J137" s="484" t="s">
        <v>17</v>
      </c>
      <c r="K137" s="663"/>
      <c r="L137" s="251"/>
      <c r="M137" s="871"/>
      <c r="N137" s="872"/>
      <c r="O137" s="381" t="s">
        <v>150</v>
      </c>
      <c r="P137" s="278"/>
      <c r="Q137" s="413"/>
      <c r="R137" s="531">
        <v>50</v>
      </c>
      <c r="S137" s="278">
        <v>100</v>
      </c>
    </row>
    <row r="138" spans="1:27" s="1" customFormat="1" ht="14.25" customHeight="1" x14ac:dyDescent="0.2">
      <c r="A138" s="138"/>
      <c r="B138" s="1130"/>
      <c r="C138" s="1143"/>
      <c r="D138" s="862"/>
      <c r="E138" s="1441"/>
      <c r="F138" s="1438"/>
      <c r="G138" s="400"/>
      <c r="H138" s="1440"/>
      <c r="I138" s="1144"/>
      <c r="J138" s="484" t="s">
        <v>43</v>
      </c>
      <c r="K138" s="663"/>
      <c r="L138" s="251"/>
      <c r="M138" s="860">
        <f>916.5+200.6</f>
        <v>1117.0999999999999</v>
      </c>
      <c r="N138" s="682">
        <f>916.5-200</f>
        <v>716.5</v>
      </c>
      <c r="O138" s="499"/>
      <c r="P138" s="537"/>
      <c r="Q138" s="659"/>
      <c r="R138" s="535"/>
      <c r="S138" s="537"/>
      <c r="T138" s="72"/>
      <c r="W138" s="14"/>
      <c r="X138" s="14"/>
    </row>
    <row r="139" spans="1:27" s="1" customFormat="1" ht="43.5" customHeight="1" x14ac:dyDescent="0.2">
      <c r="A139" s="138"/>
      <c r="B139" s="1130"/>
      <c r="C139" s="1143"/>
      <c r="D139" s="28" t="s">
        <v>63</v>
      </c>
      <c r="E139" s="1113" t="s">
        <v>220</v>
      </c>
      <c r="F139" s="125" t="s">
        <v>36</v>
      </c>
      <c r="G139" s="400"/>
      <c r="H139" s="277">
        <v>5</v>
      </c>
      <c r="I139" s="737"/>
      <c r="J139" s="484"/>
      <c r="K139" s="663"/>
      <c r="L139" s="251"/>
      <c r="M139" s="683"/>
      <c r="N139" s="684"/>
      <c r="O139" s="499" t="s">
        <v>221</v>
      </c>
      <c r="P139" s="537"/>
      <c r="Q139" s="659"/>
      <c r="R139" s="535"/>
      <c r="S139" s="537"/>
      <c r="T139" s="72"/>
      <c r="W139" s="14"/>
      <c r="AA139" s="14"/>
    </row>
    <row r="140" spans="1:27" s="1" customFormat="1" ht="56.25" customHeight="1" thickBot="1" x14ac:dyDescent="0.25">
      <c r="A140" s="138"/>
      <c r="B140" s="1130"/>
      <c r="C140" s="1143"/>
      <c r="D140" s="1105" t="s">
        <v>156</v>
      </c>
      <c r="E140" s="497" t="s">
        <v>149</v>
      </c>
      <c r="F140" s="401" t="s">
        <v>152</v>
      </c>
      <c r="G140" s="400"/>
      <c r="H140" s="1150">
        <v>5</v>
      </c>
      <c r="I140" s="749"/>
      <c r="J140" s="484"/>
      <c r="K140" s="663"/>
      <c r="L140" s="251"/>
      <c r="M140" s="840"/>
      <c r="N140" s="486"/>
      <c r="O140" s="381" t="s">
        <v>151</v>
      </c>
      <c r="P140" s="168"/>
      <c r="Q140" s="392"/>
      <c r="R140" s="336"/>
      <c r="S140" s="278"/>
      <c r="T140" s="72"/>
      <c r="W140" s="14"/>
    </row>
    <row r="141" spans="1:27" s="1" customFormat="1" ht="48.75" customHeight="1" x14ac:dyDescent="0.2">
      <c r="A141" s="142"/>
      <c r="B141" s="1159"/>
      <c r="C141" s="767"/>
      <c r="D141" s="28"/>
      <c r="E141" s="1304" t="s">
        <v>127</v>
      </c>
      <c r="F141" s="517" t="s">
        <v>36</v>
      </c>
      <c r="G141" s="1442">
        <v>11020309</v>
      </c>
      <c r="H141" s="768">
        <v>5</v>
      </c>
      <c r="I141" s="1444" t="s">
        <v>87</v>
      </c>
      <c r="J141" s="473" t="s">
        <v>79</v>
      </c>
      <c r="K141" s="775">
        <v>33.9</v>
      </c>
      <c r="L141" s="551"/>
      <c r="M141" s="549"/>
      <c r="N141" s="550"/>
      <c r="O141" s="514" t="s">
        <v>68</v>
      </c>
      <c r="P141" s="769">
        <v>2</v>
      </c>
      <c r="Q141" s="770"/>
      <c r="R141" s="300"/>
      <c r="S141" s="301"/>
      <c r="U141" s="14"/>
      <c r="X141" s="1" t="s">
        <v>67</v>
      </c>
    </row>
    <row r="142" spans="1:27" s="1" customFormat="1" ht="15" customHeight="1" x14ac:dyDescent="0.2">
      <c r="A142" s="142"/>
      <c r="B142" s="1159"/>
      <c r="C142" s="1143"/>
      <c r="D142" s="28"/>
      <c r="E142" s="1305"/>
      <c r="F142" s="1149"/>
      <c r="G142" s="1434"/>
      <c r="H142" s="27"/>
      <c r="I142" s="1425"/>
      <c r="J142" s="272"/>
      <c r="K142" s="773"/>
      <c r="L142" s="523"/>
      <c r="M142" s="524"/>
      <c r="N142" s="525"/>
      <c r="O142" s="74"/>
      <c r="P142" s="153"/>
      <c r="Q142" s="461"/>
      <c r="R142" s="311"/>
      <c r="S142" s="312"/>
      <c r="W142" s="14"/>
    </row>
    <row r="143" spans="1:27" s="1" customFormat="1" ht="15" customHeight="1" x14ac:dyDescent="0.2">
      <c r="A143" s="142"/>
      <c r="B143" s="1159"/>
      <c r="C143" s="1143"/>
      <c r="D143" s="28"/>
      <c r="E143" s="1441"/>
      <c r="F143" s="460"/>
      <c r="G143" s="1443"/>
      <c r="H143" s="151"/>
      <c r="I143" s="1145"/>
      <c r="J143" s="186"/>
      <c r="K143" s="774"/>
      <c r="L143" s="526"/>
      <c r="M143" s="527"/>
      <c r="N143" s="528"/>
      <c r="O143" s="264"/>
      <c r="P143" s="69"/>
      <c r="Q143" s="462"/>
      <c r="R143" s="324"/>
      <c r="S143" s="325"/>
      <c r="W143" s="14"/>
    </row>
    <row r="144" spans="1:27" s="1" customFormat="1" ht="13.5" customHeight="1" x14ac:dyDescent="0.2">
      <c r="A144" s="142"/>
      <c r="B144" s="1159"/>
      <c r="C144" s="1143"/>
      <c r="D144" s="28"/>
      <c r="E144" s="1430" t="s">
        <v>65</v>
      </c>
      <c r="F144" s="1431" t="s">
        <v>36</v>
      </c>
      <c r="G144" s="1433">
        <v>11010111</v>
      </c>
      <c r="H144" s="1155">
        <v>5</v>
      </c>
      <c r="I144" s="1435" t="s">
        <v>85</v>
      </c>
      <c r="J144" s="366" t="s">
        <v>17</v>
      </c>
      <c r="K144" s="662">
        <v>1103.5</v>
      </c>
      <c r="L144" s="210"/>
      <c r="M144" s="221"/>
      <c r="N144" s="217"/>
      <c r="O144" s="1445" t="s">
        <v>40</v>
      </c>
      <c r="P144" s="172">
        <v>100</v>
      </c>
      <c r="Q144" s="387"/>
      <c r="R144" s="314"/>
      <c r="S144" s="315"/>
      <c r="T144" s="72"/>
      <c r="U144" s="72"/>
      <c r="V144" s="72"/>
      <c r="W144" s="14"/>
      <c r="Y144" s="14"/>
    </row>
    <row r="145" spans="1:35" s="1" customFormat="1" ht="13.5" customHeight="1" x14ac:dyDescent="0.2">
      <c r="A145" s="142"/>
      <c r="B145" s="1159"/>
      <c r="C145" s="1143"/>
      <c r="D145" s="28"/>
      <c r="E145" s="1430"/>
      <c r="F145" s="1432"/>
      <c r="G145" s="1434"/>
      <c r="H145" s="1155"/>
      <c r="I145" s="1435"/>
      <c r="J145" s="367" t="s">
        <v>81</v>
      </c>
      <c r="K145" s="465">
        <v>609.29999999999995</v>
      </c>
      <c r="L145" s="210"/>
      <c r="M145" s="221"/>
      <c r="N145" s="217"/>
      <c r="O145" s="1445"/>
      <c r="P145" s="172"/>
      <c r="Q145" s="387"/>
      <c r="R145" s="314"/>
      <c r="S145" s="315"/>
      <c r="T145" s="72"/>
      <c r="U145" s="73"/>
      <c r="V145" s="72"/>
      <c r="W145" s="14"/>
      <c r="X145" s="14"/>
    </row>
    <row r="146" spans="1:35" s="1" customFormat="1" ht="13.5" customHeight="1" x14ac:dyDescent="0.2">
      <c r="A146" s="142"/>
      <c r="B146" s="1159"/>
      <c r="C146" s="1143"/>
      <c r="D146" s="28"/>
      <c r="E146" s="1430"/>
      <c r="F146" s="1432"/>
      <c r="G146" s="1434"/>
      <c r="H146" s="1155"/>
      <c r="I146" s="1435"/>
      <c r="J146" s="367" t="s">
        <v>37</v>
      </c>
      <c r="K146" s="465">
        <v>53.8</v>
      </c>
      <c r="L146" s="210"/>
      <c r="M146" s="221"/>
      <c r="N146" s="217"/>
      <c r="O146" s="1445"/>
      <c r="P146" s="172"/>
      <c r="Q146" s="387"/>
      <c r="R146" s="314"/>
      <c r="S146" s="315"/>
      <c r="T146" s="72"/>
      <c r="U146" s="72"/>
      <c r="V146" s="72"/>
      <c r="W146" s="14"/>
      <c r="X146" s="14"/>
      <c r="Y146" s="14"/>
    </row>
    <row r="147" spans="1:35" s="1" customFormat="1" ht="13.5" customHeight="1" x14ac:dyDescent="0.2">
      <c r="A147" s="150"/>
      <c r="B147" s="89"/>
      <c r="C147" s="28"/>
      <c r="D147" s="28"/>
      <c r="E147" s="1430"/>
      <c r="F147" s="1432"/>
      <c r="G147" s="1434"/>
      <c r="H147" s="1155"/>
      <c r="I147" s="1436"/>
      <c r="J147" s="367" t="s">
        <v>38</v>
      </c>
      <c r="K147" s="465">
        <v>2.2999999999999998</v>
      </c>
      <c r="L147" s="210"/>
      <c r="M147" s="221"/>
      <c r="N147" s="217"/>
      <c r="O147" s="1445"/>
      <c r="P147" s="172"/>
      <c r="Q147" s="387"/>
      <c r="R147" s="314"/>
      <c r="S147" s="315"/>
      <c r="T147" s="72"/>
      <c r="U147" s="72"/>
      <c r="V147" s="73"/>
      <c r="W147" s="14"/>
      <c r="X147" s="14"/>
      <c r="Y147" s="14"/>
    </row>
    <row r="148" spans="1:35" s="1" customFormat="1" ht="15.75" customHeight="1" thickBot="1" x14ac:dyDescent="0.25">
      <c r="A148" s="143"/>
      <c r="B148" s="87"/>
      <c r="C148" s="45"/>
      <c r="D148" s="45"/>
      <c r="E148" s="1097"/>
      <c r="F148" s="660"/>
      <c r="G148" s="394"/>
      <c r="H148" s="399"/>
      <c r="I148" s="1337" t="s">
        <v>45</v>
      </c>
      <c r="J148" s="1338"/>
      <c r="K148" s="501">
        <f>SUM(K123:K147)</f>
        <v>3933.8</v>
      </c>
      <c r="L148" s="234">
        <f>SUM(L122:L147)</f>
        <v>3573.4000000000005</v>
      </c>
      <c r="M148" s="243">
        <f>SUM(M122:M147)</f>
        <v>4207.2000000000007</v>
      </c>
      <c r="N148" s="371">
        <f>SUM(N122:N147)</f>
        <v>5216.5</v>
      </c>
      <c r="O148" s="271"/>
      <c r="P148" s="93"/>
      <c r="Q148" s="391"/>
      <c r="R148" s="317"/>
      <c r="S148" s="318"/>
      <c r="T148" s="72"/>
      <c r="U148" s="72"/>
      <c r="V148" s="72"/>
    </row>
    <row r="149" spans="1:35" s="1" customFormat="1" ht="43.5" customHeight="1" x14ac:dyDescent="0.2">
      <c r="A149" s="141" t="s">
        <v>13</v>
      </c>
      <c r="B149" s="88" t="s">
        <v>21</v>
      </c>
      <c r="C149" s="25" t="s">
        <v>21</v>
      </c>
      <c r="D149" s="454"/>
      <c r="E149" s="97" t="s">
        <v>46</v>
      </c>
      <c r="F149" s="184"/>
      <c r="G149" s="197"/>
      <c r="H149" s="395"/>
      <c r="I149" s="751"/>
      <c r="J149" s="17" t="s">
        <v>17</v>
      </c>
      <c r="K149" s="665"/>
      <c r="L149" s="649"/>
      <c r="M149" s="650"/>
      <c r="N149" s="651"/>
      <c r="O149" s="275"/>
      <c r="P149" s="403"/>
      <c r="Q149" s="412"/>
      <c r="R149" s="309"/>
      <c r="S149" s="310"/>
      <c r="W149" s="14"/>
      <c r="X149" s="14"/>
    </row>
    <row r="150" spans="1:35" s="1" customFormat="1" ht="29.25" customHeight="1" x14ac:dyDescent="0.2">
      <c r="A150" s="142"/>
      <c r="B150" s="1159"/>
      <c r="C150" s="1143"/>
      <c r="D150" s="1105" t="s">
        <v>13</v>
      </c>
      <c r="E150" s="1331" t="s">
        <v>71</v>
      </c>
      <c r="F150" s="103"/>
      <c r="G150" s="1446">
        <v>11010130</v>
      </c>
      <c r="H150" s="396">
        <v>2</v>
      </c>
      <c r="I150" s="752" t="s">
        <v>101</v>
      </c>
      <c r="J150" s="522" t="s">
        <v>17</v>
      </c>
      <c r="K150" s="465"/>
      <c r="L150" s="270">
        <v>5</v>
      </c>
      <c r="M150" s="221"/>
      <c r="N150" s="217"/>
      <c r="O150" s="381" t="s">
        <v>208</v>
      </c>
      <c r="P150" s="529"/>
      <c r="Q150" s="365">
        <v>100</v>
      </c>
      <c r="R150" s="336"/>
      <c r="S150" s="343"/>
      <c r="T150" s="259"/>
      <c r="V150" s="50"/>
    </row>
    <row r="151" spans="1:35" s="1" customFormat="1" ht="27.75" customHeight="1" x14ac:dyDescent="0.2">
      <c r="A151" s="134"/>
      <c r="B151" s="1130"/>
      <c r="C151" s="1140"/>
      <c r="D151" s="457"/>
      <c r="E151" s="1332"/>
      <c r="F151" s="62"/>
      <c r="G151" s="1210"/>
      <c r="H151" s="397"/>
      <c r="I151" s="753"/>
      <c r="J151" s="522" t="s">
        <v>17</v>
      </c>
      <c r="K151" s="465"/>
      <c r="L151" s="270">
        <v>1.4</v>
      </c>
      <c r="M151" s="221"/>
      <c r="N151" s="217"/>
      <c r="O151" s="381" t="s">
        <v>326</v>
      </c>
      <c r="P151" s="529"/>
      <c r="Q151" s="365">
        <v>100</v>
      </c>
      <c r="R151" s="336"/>
      <c r="S151" s="345"/>
      <c r="T151" s="891"/>
      <c r="U151" s="52"/>
      <c r="V151" s="14"/>
      <c r="W151" s="14"/>
      <c r="AI151" s="14"/>
    </row>
    <row r="152" spans="1:35" s="1" customFormat="1" ht="43.5" customHeight="1" x14ac:dyDescent="0.2">
      <c r="A152" s="134"/>
      <c r="B152" s="1130"/>
      <c r="C152" s="1140"/>
      <c r="D152" s="457"/>
      <c r="E152" s="98"/>
      <c r="F152" s="62"/>
      <c r="G152" s="206"/>
      <c r="H152" s="397"/>
      <c r="I152" s="754"/>
      <c r="J152" s="522" t="s">
        <v>17</v>
      </c>
      <c r="K152" s="465"/>
      <c r="L152" s="270">
        <v>6</v>
      </c>
      <c r="M152" s="221"/>
      <c r="N152" s="217"/>
      <c r="O152" s="381" t="s">
        <v>327</v>
      </c>
      <c r="P152" s="529"/>
      <c r="Q152" s="365">
        <v>3</v>
      </c>
      <c r="R152" s="336"/>
      <c r="S152" s="345"/>
      <c r="T152" s="31"/>
      <c r="V152" s="50"/>
      <c r="X152" s="14"/>
    </row>
    <row r="153" spans="1:35" s="1" customFormat="1" ht="43.5" customHeight="1" x14ac:dyDescent="0.2">
      <c r="A153" s="134"/>
      <c r="B153" s="1130"/>
      <c r="C153" s="1140"/>
      <c r="D153" s="457"/>
      <c r="E153" s="98"/>
      <c r="F153" s="62"/>
      <c r="G153" s="206"/>
      <c r="H153" s="397"/>
      <c r="I153" s="754"/>
      <c r="J153" s="522" t="s">
        <v>17</v>
      </c>
      <c r="K153" s="465"/>
      <c r="L153" s="270">
        <v>29</v>
      </c>
      <c r="M153" s="221"/>
      <c r="N153" s="217"/>
      <c r="O153" s="381" t="s">
        <v>328</v>
      </c>
      <c r="P153" s="529"/>
      <c r="Q153" s="365">
        <v>100</v>
      </c>
      <c r="R153" s="336"/>
      <c r="S153" s="345"/>
      <c r="T153" s="31"/>
      <c r="V153" s="50"/>
      <c r="X153" s="14"/>
    </row>
    <row r="154" spans="1:35" s="1" customFormat="1" ht="54" customHeight="1" x14ac:dyDescent="0.2">
      <c r="A154" s="134"/>
      <c r="B154" s="1130"/>
      <c r="C154" s="1140"/>
      <c r="D154" s="457"/>
      <c r="E154" s="98"/>
      <c r="F154" s="62"/>
      <c r="G154" s="206"/>
      <c r="H154" s="397"/>
      <c r="I154" s="754"/>
      <c r="J154" s="522" t="s">
        <v>17</v>
      </c>
      <c r="K154" s="465"/>
      <c r="L154" s="270">
        <v>54.6</v>
      </c>
      <c r="M154" s="221">
        <f>50+42</f>
        <v>92</v>
      </c>
      <c r="N154" s="270">
        <f>50+42</f>
        <v>92</v>
      </c>
      <c r="O154" s="381" t="s">
        <v>331</v>
      </c>
      <c r="P154" s="529"/>
      <c r="Q154" s="392">
        <v>100</v>
      </c>
      <c r="R154" s="336">
        <v>100</v>
      </c>
      <c r="S154" s="337">
        <v>100</v>
      </c>
      <c r="T154" s="31"/>
      <c r="V154" s="50"/>
      <c r="X154" s="14"/>
    </row>
    <row r="155" spans="1:35" s="1" customFormat="1" ht="31.5" customHeight="1" x14ac:dyDescent="0.2">
      <c r="A155" s="134"/>
      <c r="B155" s="1130"/>
      <c r="C155" s="1140"/>
      <c r="D155" s="457"/>
      <c r="E155" s="98"/>
      <c r="F155" s="62"/>
      <c r="G155" s="206"/>
      <c r="H155" s="397"/>
      <c r="I155" s="754"/>
      <c r="J155" s="522" t="s">
        <v>17</v>
      </c>
      <c r="K155" s="465"/>
      <c r="L155" s="270"/>
      <c r="M155" s="221">
        <v>46</v>
      </c>
      <c r="N155" s="217"/>
      <c r="O155" s="381" t="s">
        <v>206</v>
      </c>
      <c r="P155" s="529"/>
      <c r="Q155" s="365"/>
      <c r="R155" s="336">
        <v>100</v>
      </c>
      <c r="S155" s="345"/>
      <c r="T155" s="31"/>
      <c r="V155" s="50"/>
      <c r="X155" s="14"/>
    </row>
    <row r="156" spans="1:35" s="1" customFormat="1" ht="43.5" customHeight="1" x14ac:dyDescent="0.2">
      <c r="A156" s="134"/>
      <c r="B156" s="1130"/>
      <c r="C156" s="1140"/>
      <c r="D156" s="457"/>
      <c r="E156" s="98"/>
      <c r="F156" s="62"/>
      <c r="G156" s="206"/>
      <c r="H156" s="397"/>
      <c r="I156" s="754"/>
      <c r="J156" s="522" t="s">
        <v>17</v>
      </c>
      <c r="K156" s="465"/>
      <c r="L156" s="270"/>
      <c r="M156" s="221">
        <v>3</v>
      </c>
      <c r="N156" s="217"/>
      <c r="O156" s="381" t="s">
        <v>207</v>
      </c>
      <c r="P156" s="529"/>
      <c r="Q156" s="365"/>
      <c r="R156" s="336">
        <v>100</v>
      </c>
      <c r="S156" s="345"/>
      <c r="T156" s="31"/>
      <c r="V156" s="50"/>
      <c r="X156" s="14"/>
    </row>
    <row r="157" spans="1:35" s="1" customFormat="1" ht="29.25" customHeight="1" x14ac:dyDescent="0.2">
      <c r="A157" s="134"/>
      <c r="B157" s="1130"/>
      <c r="C157" s="1140"/>
      <c r="D157" s="457"/>
      <c r="E157" s="98"/>
      <c r="F157" s="62"/>
      <c r="G157" s="206"/>
      <c r="H157" s="397"/>
      <c r="I157" s="754"/>
      <c r="J157" s="522" t="s">
        <v>17</v>
      </c>
      <c r="K157" s="465"/>
      <c r="L157" s="270"/>
      <c r="M157" s="221">
        <v>80</v>
      </c>
      <c r="N157" s="217"/>
      <c r="O157" s="381" t="s">
        <v>209</v>
      </c>
      <c r="P157" s="529"/>
      <c r="Q157" s="365"/>
      <c r="R157" s="336">
        <v>100</v>
      </c>
      <c r="S157" s="345"/>
      <c r="T157" s="31"/>
      <c r="V157" s="50"/>
      <c r="X157" s="14"/>
    </row>
    <row r="158" spans="1:35" s="1" customFormat="1" ht="30" customHeight="1" x14ac:dyDescent="0.2">
      <c r="A158" s="134"/>
      <c r="B158" s="1130"/>
      <c r="C158" s="1140"/>
      <c r="D158" s="457"/>
      <c r="E158" s="98"/>
      <c r="F158" s="62"/>
      <c r="G158" s="206"/>
      <c r="H158" s="397"/>
      <c r="I158" s="754"/>
      <c r="J158" s="522" t="s">
        <v>17</v>
      </c>
      <c r="K158" s="465"/>
      <c r="L158" s="270"/>
      <c r="M158" s="221">
        <v>7.7</v>
      </c>
      <c r="N158" s="217"/>
      <c r="O158" s="381" t="s">
        <v>210</v>
      </c>
      <c r="P158" s="529"/>
      <c r="Q158" s="365"/>
      <c r="R158" s="336">
        <v>100</v>
      </c>
      <c r="S158" s="345"/>
      <c r="T158" s="31"/>
      <c r="V158" s="50"/>
      <c r="X158" s="14"/>
    </row>
    <row r="159" spans="1:35" s="1" customFormat="1" ht="31.5" customHeight="1" x14ac:dyDescent="0.2">
      <c r="A159" s="134"/>
      <c r="B159" s="1130"/>
      <c r="C159" s="1140"/>
      <c r="D159" s="457"/>
      <c r="E159" s="98"/>
      <c r="F159" s="62"/>
      <c r="G159" s="206"/>
      <c r="H159" s="397"/>
      <c r="I159" s="754"/>
      <c r="J159" s="522" t="s">
        <v>17</v>
      </c>
      <c r="K159" s="465"/>
      <c r="L159" s="270"/>
      <c r="M159" s="221">
        <v>5.2</v>
      </c>
      <c r="N159" s="217"/>
      <c r="O159" s="381" t="s">
        <v>211</v>
      </c>
      <c r="P159" s="529"/>
      <c r="Q159" s="365"/>
      <c r="R159" s="336">
        <v>100</v>
      </c>
      <c r="S159" s="345"/>
      <c r="T159" s="31"/>
      <c r="V159" s="50"/>
      <c r="X159" s="14"/>
    </row>
    <row r="160" spans="1:35" s="1" customFormat="1" ht="42" customHeight="1" x14ac:dyDescent="0.2">
      <c r="A160" s="134"/>
      <c r="B160" s="1130"/>
      <c r="C160" s="1140"/>
      <c r="D160" s="457"/>
      <c r="E160" s="98"/>
      <c r="F160" s="62"/>
      <c r="G160" s="206"/>
      <c r="H160" s="397"/>
      <c r="I160" s="754"/>
      <c r="J160" s="522" t="s">
        <v>17</v>
      </c>
      <c r="K160" s="465"/>
      <c r="L160" s="270"/>
      <c r="M160" s="221">
        <v>1.3</v>
      </c>
      <c r="N160" s="217"/>
      <c r="O160" s="381" t="s">
        <v>330</v>
      </c>
      <c r="P160" s="529"/>
      <c r="Q160" s="365"/>
      <c r="R160" s="336">
        <v>100</v>
      </c>
      <c r="S160" s="345"/>
      <c r="T160" s="31"/>
      <c r="V160" s="50"/>
      <c r="X160" s="14"/>
    </row>
    <row r="161" spans="1:26" s="1" customFormat="1" ht="43.5" customHeight="1" x14ac:dyDescent="0.2">
      <c r="A161" s="134"/>
      <c r="B161" s="1130"/>
      <c r="C161" s="1140"/>
      <c r="D161" s="457"/>
      <c r="E161" s="98"/>
      <c r="F161" s="62"/>
      <c r="G161" s="206"/>
      <c r="H161" s="397"/>
      <c r="I161" s="754"/>
      <c r="J161" s="522" t="s">
        <v>17</v>
      </c>
      <c r="K161" s="465"/>
      <c r="L161" s="270"/>
      <c r="M161" s="221">
        <v>10</v>
      </c>
      <c r="N161" s="217"/>
      <c r="O161" s="381" t="s">
        <v>224</v>
      </c>
      <c r="P161" s="529"/>
      <c r="Q161" s="365"/>
      <c r="R161" s="336">
        <v>100</v>
      </c>
      <c r="S161" s="345"/>
      <c r="T161" s="31"/>
      <c r="V161" s="50"/>
      <c r="X161" s="14"/>
    </row>
    <row r="162" spans="1:26" s="1" customFormat="1" ht="30.75" customHeight="1" thickBot="1" x14ac:dyDescent="0.25">
      <c r="A162" s="134"/>
      <c r="B162" s="1130"/>
      <c r="C162" s="1140"/>
      <c r="D162" s="457"/>
      <c r="E162" s="98"/>
      <c r="F162" s="62"/>
      <c r="G162" s="206"/>
      <c r="H162" s="397"/>
      <c r="I162" s="754"/>
      <c r="J162" s="522" t="s">
        <v>17</v>
      </c>
      <c r="K162" s="663"/>
      <c r="L162" s="285"/>
      <c r="M162" s="840"/>
      <c r="N162" s="486">
        <v>140</v>
      </c>
      <c r="O162" s="417" t="s">
        <v>153</v>
      </c>
      <c r="P162" s="406"/>
      <c r="Q162" s="413"/>
      <c r="R162" s="344"/>
      <c r="S162" s="345">
        <v>100</v>
      </c>
      <c r="T162" s="31"/>
      <c r="V162" s="50"/>
      <c r="X162" s="14"/>
    </row>
    <row r="163" spans="1:26" s="1" customFormat="1" ht="42.75" customHeight="1" x14ac:dyDescent="0.2">
      <c r="A163" s="134"/>
      <c r="B163" s="1130"/>
      <c r="C163" s="1140"/>
      <c r="D163" s="457"/>
      <c r="E163" s="98"/>
      <c r="F163" s="1077" t="s">
        <v>345</v>
      </c>
      <c r="G163" s="1078"/>
      <c r="H163" s="1079"/>
      <c r="I163" s="1080" t="s">
        <v>102</v>
      </c>
      <c r="J163" s="1088" t="s">
        <v>17</v>
      </c>
      <c r="K163" s="96"/>
      <c r="L163" s="369">
        <v>65.599999999999994</v>
      </c>
      <c r="M163" s="474"/>
      <c r="N163" s="369"/>
      <c r="O163" s="514" t="s">
        <v>343</v>
      </c>
      <c r="P163" s="382"/>
      <c r="Q163" s="770">
        <v>100</v>
      </c>
      <c r="R163" s="300"/>
      <c r="S163" s="342"/>
      <c r="T163" s="31"/>
      <c r="V163" s="50"/>
      <c r="X163" s="14"/>
      <c r="Y163" s="14"/>
    </row>
    <row r="164" spans="1:26" s="1" customFormat="1" ht="42" customHeight="1" x14ac:dyDescent="0.2">
      <c r="A164" s="134"/>
      <c r="B164" s="1130"/>
      <c r="C164" s="1140"/>
      <c r="D164" s="457"/>
      <c r="E164" s="98"/>
      <c r="F164" s="62"/>
      <c r="G164" s="206"/>
      <c r="H164" s="498"/>
      <c r="I164" s="754"/>
      <c r="J164" s="857" t="s">
        <v>17</v>
      </c>
      <c r="K164" s="771">
        <v>30.7</v>
      </c>
      <c r="L164" s="1072"/>
      <c r="M164" s="256"/>
      <c r="N164" s="722"/>
      <c r="O164" s="414" t="s">
        <v>126</v>
      </c>
      <c r="P164" s="1073">
        <v>7</v>
      </c>
      <c r="Q164" s="388"/>
      <c r="R164" s="552"/>
      <c r="S164" s="652"/>
      <c r="T164" s="31"/>
      <c r="V164" s="50"/>
      <c r="X164" s="14"/>
      <c r="Z164" s="14"/>
    </row>
    <row r="165" spans="1:26" s="1" customFormat="1" ht="30" customHeight="1" x14ac:dyDescent="0.2">
      <c r="A165" s="134"/>
      <c r="B165" s="1130"/>
      <c r="C165" s="1140"/>
      <c r="D165" s="457"/>
      <c r="E165" s="98"/>
      <c r="F165" s="62"/>
      <c r="G165" s="206"/>
      <c r="H165" s="498"/>
      <c r="I165" s="754"/>
      <c r="J165" s="101" t="s">
        <v>17</v>
      </c>
      <c r="K165" s="465">
        <v>90</v>
      </c>
      <c r="L165" s="270"/>
      <c r="M165" s="221"/>
      <c r="N165" s="217"/>
      <c r="O165" s="415" t="s">
        <v>96</v>
      </c>
      <c r="P165" s="404">
        <v>100</v>
      </c>
      <c r="Q165" s="389"/>
      <c r="R165" s="647"/>
      <c r="S165" s="648"/>
      <c r="T165" s="31"/>
      <c r="V165" s="50"/>
      <c r="X165" s="14"/>
    </row>
    <row r="166" spans="1:26" s="1" customFormat="1" ht="41.25" customHeight="1" x14ac:dyDescent="0.2">
      <c r="A166" s="134"/>
      <c r="B166" s="1130"/>
      <c r="C166" s="1140"/>
      <c r="D166" s="457"/>
      <c r="E166" s="98"/>
      <c r="F166" s="62"/>
      <c r="G166" s="206"/>
      <c r="H166" s="498"/>
      <c r="I166" s="754"/>
      <c r="J166" s="100" t="s">
        <v>17</v>
      </c>
      <c r="K166" s="465">
        <v>4.5</v>
      </c>
      <c r="L166" s="270"/>
      <c r="M166" s="221"/>
      <c r="N166" s="217"/>
      <c r="O166" s="416" t="s">
        <v>97</v>
      </c>
      <c r="P166" s="405">
        <v>100</v>
      </c>
      <c r="Q166" s="388"/>
      <c r="R166" s="552"/>
      <c r="S166" s="652"/>
      <c r="T166" s="31"/>
      <c r="V166" s="50"/>
      <c r="X166" s="14"/>
    </row>
    <row r="167" spans="1:26" s="1" customFormat="1" ht="30.75" customHeight="1" x14ac:dyDescent="0.2">
      <c r="A167" s="134"/>
      <c r="B167" s="1130"/>
      <c r="C167" s="1140"/>
      <c r="D167" s="457"/>
      <c r="E167" s="98"/>
      <c r="F167" s="62"/>
      <c r="G167" s="206"/>
      <c r="H167" s="498"/>
      <c r="I167" s="754"/>
      <c r="J167" s="101" t="s">
        <v>17</v>
      </c>
      <c r="K167" s="663">
        <v>34.700000000000003</v>
      </c>
      <c r="L167" s="285"/>
      <c r="M167" s="840"/>
      <c r="N167" s="486"/>
      <c r="O167" s="1489" t="s">
        <v>95</v>
      </c>
      <c r="P167" s="406">
        <v>2</v>
      </c>
      <c r="Q167" s="389"/>
      <c r="R167" s="647"/>
      <c r="S167" s="648"/>
      <c r="T167" s="31"/>
      <c r="V167" s="50"/>
      <c r="X167" s="14"/>
    </row>
    <row r="168" spans="1:26" s="1" customFormat="1" ht="14.25" customHeight="1" thickBot="1" x14ac:dyDescent="0.25">
      <c r="A168" s="134"/>
      <c r="B168" s="1130"/>
      <c r="C168" s="1140"/>
      <c r="D168" s="458"/>
      <c r="E168" s="98"/>
      <c r="F168" s="1081"/>
      <c r="G168" s="1082"/>
      <c r="H168" s="1096"/>
      <c r="I168" s="1083"/>
      <c r="J168" s="123" t="s">
        <v>18</v>
      </c>
      <c r="K168" s="471">
        <f>SUM(K150:K167)</f>
        <v>159.9</v>
      </c>
      <c r="L168" s="557">
        <f>SUM(L150:L167)</f>
        <v>161.6</v>
      </c>
      <c r="M168" s="222">
        <f>SUM(M150:M167)</f>
        <v>245.2</v>
      </c>
      <c r="N168" s="218">
        <f>SUM(N150:N167)</f>
        <v>232</v>
      </c>
      <c r="O168" s="1490"/>
      <c r="P168" s="1084"/>
      <c r="Q168" s="1085"/>
      <c r="R168" s="1086"/>
      <c r="S168" s="1087"/>
      <c r="T168" s="31"/>
      <c r="U168" s="52"/>
      <c r="V168" s="14"/>
      <c r="W168" s="14"/>
    </row>
    <row r="169" spans="1:26" s="1" customFormat="1" ht="29.25" customHeight="1" x14ac:dyDescent="0.2">
      <c r="A169" s="134"/>
      <c r="B169" s="1130"/>
      <c r="C169" s="1140"/>
      <c r="D169" s="457" t="s">
        <v>19</v>
      </c>
      <c r="E169" s="1331" t="s">
        <v>104</v>
      </c>
      <c r="F169" s="62"/>
      <c r="G169" s="1335" t="s">
        <v>133</v>
      </c>
      <c r="H169" s="1140" t="s">
        <v>16</v>
      </c>
      <c r="I169" s="1074" t="s">
        <v>101</v>
      </c>
      <c r="J169" s="407" t="s">
        <v>17</v>
      </c>
      <c r="K169" s="662"/>
      <c r="L169" s="841">
        <v>2.4</v>
      </c>
      <c r="M169" s="841"/>
      <c r="N169" s="269"/>
      <c r="O169" s="643" t="s">
        <v>213</v>
      </c>
      <c r="P169" s="1075"/>
      <c r="Q169" s="366">
        <v>100</v>
      </c>
      <c r="R169" s="1076"/>
      <c r="S169" s="315"/>
      <c r="T169" s="31"/>
      <c r="U169" s="52"/>
      <c r="V169" s="14"/>
      <c r="W169" s="14"/>
      <c r="X169" s="14"/>
    </row>
    <row r="170" spans="1:26" s="1" customFormat="1" ht="29.25" customHeight="1" x14ac:dyDescent="0.2">
      <c r="A170" s="134"/>
      <c r="B170" s="1130"/>
      <c r="C170" s="1140"/>
      <c r="D170" s="457"/>
      <c r="E170" s="1332"/>
      <c r="F170" s="62"/>
      <c r="G170" s="1335"/>
      <c r="H170" s="1140"/>
      <c r="I170" s="755"/>
      <c r="J170" s="640" t="s">
        <v>17</v>
      </c>
      <c r="K170" s="465"/>
      <c r="L170" s="221">
        <v>7</v>
      </c>
      <c r="M170" s="221"/>
      <c r="N170" s="270"/>
      <c r="O170" s="643" t="s">
        <v>314</v>
      </c>
      <c r="P170" s="641"/>
      <c r="Q170" s="365">
        <v>100</v>
      </c>
      <c r="R170" s="645"/>
      <c r="S170" s="337"/>
      <c r="T170" s="31"/>
      <c r="U170" s="52"/>
      <c r="V170" s="14"/>
      <c r="W170" s="14"/>
      <c r="X170" s="14"/>
      <c r="Y170" s="14"/>
    </row>
    <row r="171" spans="1:26" s="1" customFormat="1" ht="30.75" customHeight="1" x14ac:dyDescent="0.2">
      <c r="A171" s="134"/>
      <c r="B171" s="1130"/>
      <c r="C171" s="1140"/>
      <c r="D171" s="457"/>
      <c r="E171" s="98"/>
      <c r="F171" s="62"/>
      <c r="G171" s="206"/>
      <c r="H171" s="498"/>
      <c r="I171" s="756"/>
      <c r="J171" s="640" t="s">
        <v>17</v>
      </c>
      <c r="K171" s="465"/>
      <c r="L171" s="707"/>
      <c r="M171" s="221">
        <v>36.299999999999997</v>
      </c>
      <c r="N171" s="270"/>
      <c r="O171" s="642" t="s">
        <v>212</v>
      </c>
      <c r="P171" s="641"/>
      <c r="Q171" s="365"/>
      <c r="R171" s="654">
        <v>100</v>
      </c>
      <c r="S171" s="337"/>
      <c r="T171" s="31"/>
      <c r="W171" s="14"/>
    </row>
    <row r="172" spans="1:26" s="1" customFormat="1" ht="30.75" customHeight="1" x14ac:dyDescent="0.2">
      <c r="A172" s="134"/>
      <c r="B172" s="1130"/>
      <c r="C172" s="1140"/>
      <c r="D172" s="457"/>
      <c r="E172" s="98"/>
      <c r="F172" s="62"/>
      <c r="G172" s="206"/>
      <c r="H172" s="498"/>
      <c r="I172" s="756"/>
      <c r="J172" s="640" t="s">
        <v>17</v>
      </c>
      <c r="K172" s="465"/>
      <c r="L172" s="706"/>
      <c r="M172" s="221">
        <v>3.5</v>
      </c>
      <c r="N172" s="270"/>
      <c r="O172" s="643" t="s">
        <v>214</v>
      </c>
      <c r="P172" s="641"/>
      <c r="Q172" s="365"/>
      <c r="R172" s="644">
        <v>100</v>
      </c>
      <c r="S172" s="118"/>
      <c r="T172" s="31"/>
      <c r="W172" s="14"/>
    </row>
    <row r="173" spans="1:26" s="1" customFormat="1" ht="41.25" customHeight="1" x14ac:dyDescent="0.2">
      <c r="A173" s="134"/>
      <c r="B173" s="1130"/>
      <c r="C173" s="1140"/>
      <c r="D173" s="457"/>
      <c r="E173" s="98"/>
      <c r="F173" s="62"/>
      <c r="G173" s="206"/>
      <c r="H173" s="498"/>
      <c r="I173" s="756"/>
      <c r="J173" s="640" t="s">
        <v>17</v>
      </c>
      <c r="K173" s="465"/>
      <c r="L173" s="706"/>
      <c r="M173" s="221">
        <v>10.3</v>
      </c>
      <c r="N173" s="270"/>
      <c r="O173" s="643" t="s">
        <v>215</v>
      </c>
      <c r="P173" s="641"/>
      <c r="Q173" s="365"/>
      <c r="R173" s="644">
        <v>100</v>
      </c>
      <c r="S173" s="315"/>
      <c r="T173" s="31"/>
      <c r="U173" s="14"/>
      <c r="W173" s="14"/>
    </row>
    <row r="174" spans="1:26" s="1" customFormat="1" ht="29.25" customHeight="1" x14ac:dyDescent="0.2">
      <c r="A174" s="134"/>
      <c r="B174" s="1130"/>
      <c r="C174" s="1140"/>
      <c r="D174" s="457"/>
      <c r="E174" s="98"/>
      <c r="F174" s="62"/>
      <c r="G174" s="206"/>
      <c r="H174" s="498"/>
      <c r="I174" s="756"/>
      <c r="J174" s="640" t="s">
        <v>17</v>
      </c>
      <c r="K174" s="465"/>
      <c r="L174" s="270"/>
      <c r="M174" s="221">
        <v>14.17</v>
      </c>
      <c r="N174" s="270"/>
      <c r="O174" s="685" t="s">
        <v>216</v>
      </c>
      <c r="P174" s="705"/>
      <c r="Q174" s="367"/>
      <c r="R174" s="602">
        <v>100</v>
      </c>
      <c r="S174" s="118"/>
      <c r="T174" s="31"/>
      <c r="W174" s="14"/>
    </row>
    <row r="175" spans="1:26" s="1" customFormat="1" ht="16.5" customHeight="1" x14ac:dyDescent="0.2">
      <c r="A175" s="134"/>
      <c r="B175" s="1130"/>
      <c r="C175" s="1140"/>
      <c r="D175" s="457"/>
      <c r="E175" s="98"/>
      <c r="F175" s="62"/>
      <c r="G175" s="206"/>
      <c r="H175" s="498"/>
      <c r="I175" s="756"/>
      <c r="J175" s="100" t="s">
        <v>17</v>
      </c>
      <c r="K175" s="662">
        <v>24</v>
      </c>
      <c r="L175" s="269"/>
      <c r="M175" s="841"/>
      <c r="N175" s="269"/>
      <c r="O175" s="267" t="s">
        <v>98</v>
      </c>
      <c r="P175" s="408">
        <v>100</v>
      </c>
      <c r="Q175" s="387"/>
      <c r="R175" s="360"/>
      <c r="S175" s="315"/>
      <c r="T175" s="31"/>
      <c r="W175" s="14"/>
    </row>
    <row r="176" spans="1:26" s="1" customFormat="1" ht="16.5" customHeight="1" x14ac:dyDescent="0.2">
      <c r="A176" s="134"/>
      <c r="B176" s="1130"/>
      <c r="C176" s="1140"/>
      <c r="D176" s="457"/>
      <c r="E176" s="98"/>
      <c r="F176" s="62"/>
      <c r="G176" s="206"/>
      <c r="H176" s="498"/>
      <c r="I176" s="756"/>
      <c r="J176" s="100" t="s">
        <v>17</v>
      </c>
      <c r="K176" s="465">
        <v>1.4</v>
      </c>
      <c r="L176" s="270"/>
      <c r="M176" s="221"/>
      <c r="N176" s="270"/>
      <c r="O176" s="267" t="s">
        <v>99</v>
      </c>
      <c r="P176" s="408">
        <v>100</v>
      </c>
      <c r="Q176" s="367"/>
      <c r="R176" s="602"/>
      <c r="S176" s="323"/>
      <c r="T176" s="31"/>
      <c r="W176" s="14"/>
    </row>
    <row r="177" spans="1:25" s="1" customFormat="1" ht="14.25" customHeight="1" x14ac:dyDescent="0.2">
      <c r="A177" s="134"/>
      <c r="B177" s="1130"/>
      <c r="C177" s="1140"/>
      <c r="D177" s="457"/>
      <c r="E177" s="98"/>
      <c r="F177" s="62"/>
      <c r="G177" s="206"/>
      <c r="H177" s="498"/>
      <c r="I177" s="756"/>
      <c r="J177" s="101" t="s">
        <v>17</v>
      </c>
      <c r="K177" s="465">
        <v>45.4</v>
      </c>
      <c r="L177" s="270"/>
      <c r="M177" s="221"/>
      <c r="N177" s="270"/>
      <c r="O177" s="381" t="s">
        <v>100</v>
      </c>
      <c r="P177" s="409">
        <v>100</v>
      </c>
      <c r="Q177" s="387"/>
      <c r="R177" s="360"/>
      <c r="S177" s="315"/>
      <c r="T177" s="31"/>
      <c r="W177" s="14"/>
      <c r="X177" s="14"/>
    </row>
    <row r="178" spans="1:25" s="1" customFormat="1" ht="14.25" customHeight="1" x14ac:dyDescent="0.2">
      <c r="A178" s="134"/>
      <c r="B178" s="1130"/>
      <c r="C178" s="1140"/>
      <c r="D178" s="457"/>
      <c r="E178" s="98"/>
      <c r="F178" s="62"/>
      <c r="G178" s="206"/>
      <c r="H178" s="498"/>
      <c r="I178" s="757"/>
      <c r="J178" s="188" t="s">
        <v>18</v>
      </c>
      <c r="K178" s="646">
        <f>SUM(K169:K177)</f>
        <v>70.8</v>
      </c>
      <c r="L178" s="252">
        <f>SUM(L169:L177)</f>
        <v>9.4</v>
      </c>
      <c r="M178" s="258">
        <f>SUM(M169:M177)</f>
        <v>64.27</v>
      </c>
      <c r="N178" s="254">
        <f t="shared" ref="N178" si="7">SUM(N169:N177)</f>
        <v>0</v>
      </c>
      <c r="O178" s="686"/>
      <c r="P178" s="410"/>
      <c r="Q178" s="366"/>
      <c r="R178" s="338"/>
      <c r="S178" s="339"/>
      <c r="T178" s="55"/>
      <c r="U178" s="14"/>
      <c r="V178" s="14"/>
      <c r="X178" s="14"/>
      <c r="Y178" s="14"/>
    </row>
    <row r="179" spans="1:25" s="1" customFormat="1" ht="30" customHeight="1" x14ac:dyDescent="0.2">
      <c r="A179" s="138"/>
      <c r="B179" s="1130"/>
      <c r="C179" s="1140"/>
      <c r="D179" s="459" t="s">
        <v>21</v>
      </c>
      <c r="E179" s="1331" t="s">
        <v>154</v>
      </c>
      <c r="F179" s="99"/>
      <c r="G179" s="418"/>
      <c r="H179" s="714" t="s">
        <v>16</v>
      </c>
      <c r="I179" s="1024" t="s">
        <v>101</v>
      </c>
      <c r="J179" s="538" t="s">
        <v>17</v>
      </c>
      <c r="K179" s="465"/>
      <c r="L179" s="270">
        <v>100</v>
      </c>
      <c r="M179" s="221">
        <v>100</v>
      </c>
      <c r="N179" s="429"/>
      <c r="O179" s="1465" t="s">
        <v>155</v>
      </c>
      <c r="P179" s="409"/>
      <c r="Q179" s="421">
        <v>50</v>
      </c>
      <c r="R179" s="314">
        <v>100</v>
      </c>
      <c r="S179" s="315"/>
      <c r="T179" s="55"/>
      <c r="U179" s="14"/>
      <c r="V179" s="14"/>
      <c r="X179" s="14"/>
      <c r="Y179" s="14"/>
    </row>
    <row r="180" spans="1:25" s="1" customFormat="1" ht="14.25" customHeight="1" x14ac:dyDescent="0.2">
      <c r="A180" s="138"/>
      <c r="B180" s="1130"/>
      <c r="C180" s="1140"/>
      <c r="D180" s="458"/>
      <c r="E180" s="1333"/>
      <c r="F180" s="419"/>
      <c r="G180" s="420"/>
      <c r="H180" s="716"/>
      <c r="I180" s="1025"/>
      <c r="J180" s="120" t="s">
        <v>18</v>
      </c>
      <c r="K180" s="646">
        <f>SUM(K179)</f>
        <v>0</v>
      </c>
      <c r="L180" s="252">
        <f>SUM(L179)</f>
        <v>100</v>
      </c>
      <c r="M180" s="258">
        <f>M179</f>
        <v>100</v>
      </c>
      <c r="N180" s="428"/>
      <c r="O180" s="1466"/>
      <c r="P180" s="1100"/>
      <c r="Q180" s="422"/>
      <c r="R180" s="314"/>
      <c r="S180" s="315"/>
      <c r="T180" s="55"/>
      <c r="U180" s="14"/>
      <c r="V180" s="14"/>
      <c r="X180" s="14"/>
      <c r="Y180" s="14"/>
    </row>
    <row r="181" spans="1:25" s="1" customFormat="1" ht="15.75" customHeight="1" x14ac:dyDescent="0.2">
      <c r="A181" s="138"/>
      <c r="B181" s="1130"/>
      <c r="C181" s="1143"/>
      <c r="D181" s="1106" t="s">
        <v>34</v>
      </c>
      <c r="E181" s="104" t="s">
        <v>72</v>
      </c>
      <c r="F181" s="190"/>
      <c r="G181" s="1315">
        <v>11010100</v>
      </c>
      <c r="H181" s="554">
        <v>6</v>
      </c>
      <c r="I181" s="1428" t="s">
        <v>102</v>
      </c>
      <c r="J181" s="122" t="s">
        <v>17</v>
      </c>
      <c r="K181" s="666">
        <v>157.9</v>
      </c>
      <c r="L181" s="425">
        <v>181.8</v>
      </c>
      <c r="M181" s="433">
        <v>181.8</v>
      </c>
      <c r="N181" s="427">
        <v>181.8</v>
      </c>
      <c r="O181" s="80" t="s">
        <v>73</v>
      </c>
      <c r="P181" s="408">
        <v>6</v>
      </c>
      <c r="Q181" s="187">
        <v>6</v>
      </c>
      <c r="R181" s="423">
        <v>6</v>
      </c>
      <c r="S181" s="424">
        <v>6</v>
      </c>
      <c r="T181" s="55"/>
      <c r="U181" s="14"/>
      <c r="Y181" s="14"/>
    </row>
    <row r="182" spans="1:25" s="1" customFormat="1" ht="15.75" customHeight="1" x14ac:dyDescent="0.2">
      <c r="A182" s="138"/>
      <c r="B182" s="1130"/>
      <c r="C182" s="1143"/>
      <c r="D182" s="1106"/>
      <c r="E182" s="83"/>
      <c r="F182" s="66"/>
      <c r="G182" s="1427"/>
      <c r="H182" s="1160"/>
      <c r="I182" s="1428"/>
      <c r="J182" s="119" t="s">
        <v>79</v>
      </c>
      <c r="K182" s="666">
        <v>23.5</v>
      </c>
      <c r="L182" s="427"/>
      <c r="M182" s="248"/>
      <c r="N182" s="427"/>
      <c r="O182" s="80"/>
      <c r="P182" s="411"/>
      <c r="Q182" s="68"/>
      <c r="R182" s="290"/>
      <c r="S182" s="291"/>
      <c r="T182" s="31"/>
    </row>
    <row r="183" spans="1:25" s="1" customFormat="1" ht="15.75" customHeight="1" x14ac:dyDescent="0.2">
      <c r="A183" s="138"/>
      <c r="B183" s="1130"/>
      <c r="C183" s="1143"/>
      <c r="D183" s="1106"/>
      <c r="E183" s="83"/>
      <c r="F183" s="81"/>
      <c r="G183" s="1357"/>
      <c r="H183" s="555"/>
      <c r="I183" s="1429"/>
      <c r="J183" s="120" t="s">
        <v>18</v>
      </c>
      <c r="K183" s="667">
        <f>SUM(K181:K182)</f>
        <v>181.4</v>
      </c>
      <c r="L183" s="430">
        <f t="shared" ref="L183:N183" si="8">SUM(L181:L182)</f>
        <v>181.8</v>
      </c>
      <c r="M183" s="368">
        <f t="shared" si="8"/>
        <v>181.8</v>
      </c>
      <c r="N183" s="431">
        <f t="shared" si="8"/>
        <v>181.8</v>
      </c>
      <c r="O183" s="80"/>
      <c r="P183" s="411"/>
      <c r="Q183" s="68"/>
      <c r="R183" s="290"/>
      <c r="S183" s="291"/>
      <c r="T183" s="31"/>
    </row>
    <row r="184" spans="1:25" s="1" customFormat="1" ht="13.5" customHeight="1" thickBot="1" x14ac:dyDescent="0.25">
      <c r="A184" s="134"/>
      <c r="B184" s="1130"/>
      <c r="C184" s="1140"/>
      <c r="D184" s="457"/>
      <c r="E184" s="1113"/>
      <c r="F184" s="689"/>
      <c r="G184" s="690"/>
      <c r="H184" s="717"/>
      <c r="I184" s="1338" t="s">
        <v>45</v>
      </c>
      <c r="J184" s="1338"/>
      <c r="K184" s="471">
        <f>+K183+K178+K168+K180</f>
        <v>412.1</v>
      </c>
      <c r="L184" s="211">
        <f>+L183+L178+L168+L180</f>
        <v>452.8</v>
      </c>
      <c r="M184" s="222">
        <f t="shared" ref="M184:N184" si="9">+M183+M178+M168+M180</f>
        <v>591.27</v>
      </c>
      <c r="N184" s="218">
        <f t="shared" si="9"/>
        <v>413.8</v>
      </c>
      <c r="O184" s="1138"/>
      <c r="P184" s="548"/>
      <c r="Q184" s="713"/>
      <c r="R184" s="655"/>
      <c r="S184" s="656"/>
      <c r="T184" s="33"/>
    </row>
    <row r="185" spans="1:25" s="1" customFormat="1" ht="16.5" customHeight="1" x14ac:dyDescent="0.2">
      <c r="A185" s="133" t="s">
        <v>13</v>
      </c>
      <c r="B185" s="1265" t="s">
        <v>21</v>
      </c>
      <c r="C185" s="1320" t="s">
        <v>34</v>
      </c>
      <c r="D185" s="455"/>
      <c r="E185" s="1358" t="s">
        <v>105</v>
      </c>
      <c r="F185" s="1360"/>
      <c r="G185" s="1209">
        <v>11020404</v>
      </c>
      <c r="H185" s="1367">
        <v>1</v>
      </c>
      <c r="I185" s="758" t="s">
        <v>106</v>
      </c>
      <c r="J185" s="47" t="s">
        <v>17</v>
      </c>
      <c r="K185" s="687">
        <v>207</v>
      </c>
      <c r="L185" s="546"/>
      <c r="M185" s="257"/>
      <c r="N185" s="493"/>
      <c r="O185" s="1366" t="s">
        <v>107</v>
      </c>
      <c r="P185" s="75">
        <v>100</v>
      </c>
      <c r="Q185" s="340">
        <v>100</v>
      </c>
      <c r="R185" s="341"/>
      <c r="S185" s="342"/>
    </row>
    <row r="186" spans="1:25" s="1" customFormat="1" ht="16.5" customHeight="1" x14ac:dyDescent="0.2">
      <c r="A186" s="134"/>
      <c r="B186" s="1266"/>
      <c r="C186" s="1419"/>
      <c r="D186" s="457"/>
      <c r="E186" s="1420"/>
      <c r="F186" s="1421"/>
      <c r="G186" s="1210"/>
      <c r="H186" s="1422"/>
      <c r="I186" s="759"/>
      <c r="J186" s="545" t="s">
        <v>79</v>
      </c>
      <c r="K186" s="664"/>
      <c r="L186" s="282">
        <v>250.3</v>
      </c>
      <c r="M186" s="260"/>
      <c r="N186" s="477"/>
      <c r="O186" s="1445"/>
      <c r="P186" s="466"/>
      <c r="Q186" s="313"/>
      <c r="R186" s="314"/>
      <c r="S186" s="315"/>
    </row>
    <row r="187" spans="1:25" s="1" customFormat="1" ht="15.75" customHeight="1" thickBot="1" x14ac:dyDescent="0.25">
      <c r="A187" s="136"/>
      <c r="B187" s="1267"/>
      <c r="C187" s="1321"/>
      <c r="D187" s="456"/>
      <c r="E187" s="1359"/>
      <c r="F187" s="1361"/>
      <c r="G187" s="1211"/>
      <c r="H187" s="1368"/>
      <c r="I187" s="760"/>
      <c r="J187" s="688" t="s">
        <v>18</v>
      </c>
      <c r="K187" s="471">
        <f>SUM(K185:K186)</f>
        <v>207</v>
      </c>
      <c r="L187" s="557">
        <f t="shared" ref="L187:N187" si="10">SUM(L185:L186)</f>
        <v>250.3</v>
      </c>
      <c r="M187" s="222">
        <f t="shared" si="10"/>
        <v>0</v>
      </c>
      <c r="N187" s="218">
        <f t="shared" si="10"/>
        <v>0</v>
      </c>
      <c r="O187" s="1271"/>
      <c r="P187" s="30"/>
      <c r="Q187" s="316"/>
      <c r="R187" s="317"/>
      <c r="S187" s="318"/>
    </row>
    <row r="188" spans="1:25" s="1" customFormat="1" ht="14.25" customHeight="1" thickBot="1" x14ac:dyDescent="0.25">
      <c r="A188" s="129" t="s">
        <v>13</v>
      </c>
      <c r="B188" s="32" t="s">
        <v>21</v>
      </c>
      <c r="C188" s="1289" t="s">
        <v>22</v>
      </c>
      <c r="D188" s="1289"/>
      <c r="E188" s="1289"/>
      <c r="F188" s="1289"/>
      <c r="G188" s="1289"/>
      <c r="H188" s="1289"/>
      <c r="I188" s="1289"/>
      <c r="J188" s="1323"/>
      <c r="K188" s="668">
        <f>+K184+K148+K187+K119</f>
        <v>4552.9000000000005</v>
      </c>
      <c r="L188" s="708">
        <f>+L184+L148+L187+L119</f>
        <v>4294.5000000000009</v>
      </c>
      <c r="M188" s="249">
        <f>+M184+M148+M187+M119</f>
        <v>4798.4700000000012</v>
      </c>
      <c r="N188" s="432">
        <f>+N184+N148+N187+N119</f>
        <v>5630.3</v>
      </c>
      <c r="O188" s="1369"/>
      <c r="P188" s="1370"/>
      <c r="Q188" s="1370"/>
      <c r="R188" s="1370"/>
      <c r="S188" s="1371"/>
      <c r="T188" s="1352"/>
      <c r="V188" s="14"/>
    </row>
    <row r="189" spans="1:25" s="1" customFormat="1" ht="14.25" customHeight="1" thickBot="1" x14ac:dyDescent="0.25">
      <c r="A189" s="144" t="s">
        <v>13</v>
      </c>
      <c r="B189" s="32" t="s">
        <v>34</v>
      </c>
      <c r="C189" s="1353" t="s">
        <v>47</v>
      </c>
      <c r="D189" s="1354"/>
      <c r="E189" s="1354"/>
      <c r="F189" s="1354"/>
      <c r="G189" s="1354"/>
      <c r="H189" s="1354"/>
      <c r="I189" s="1354"/>
      <c r="J189" s="1354"/>
      <c r="K189" s="1354"/>
      <c r="L189" s="1354"/>
      <c r="M189" s="1354"/>
      <c r="N189" s="1354"/>
      <c r="O189" s="1354"/>
      <c r="P189" s="556"/>
      <c r="Q189" s="348"/>
      <c r="R189" s="348"/>
      <c r="S189" s="349"/>
      <c r="T189" s="1352"/>
      <c r="V189" s="14"/>
    </row>
    <row r="190" spans="1:25" s="1" customFormat="1" ht="41.25" customHeight="1" x14ac:dyDescent="0.2">
      <c r="A190" s="133" t="s">
        <v>13</v>
      </c>
      <c r="B190" s="1094" t="s">
        <v>34</v>
      </c>
      <c r="C190" s="10" t="s">
        <v>13</v>
      </c>
      <c r="D190" s="451"/>
      <c r="E190" s="84" t="s">
        <v>217</v>
      </c>
      <c r="F190" s="34"/>
      <c r="G190" s="1417">
        <v>11030607</v>
      </c>
      <c r="H190" s="63" t="s">
        <v>16</v>
      </c>
      <c r="I190" s="761" t="s">
        <v>101</v>
      </c>
      <c r="J190" s="121" t="s">
        <v>17</v>
      </c>
      <c r="K190" s="687">
        <v>665.3</v>
      </c>
      <c r="L190" s="1197">
        <f>755.3+250-30</f>
        <v>975.3</v>
      </c>
      <c r="M190" s="474">
        <f>755.3+250.7-250</f>
        <v>756</v>
      </c>
      <c r="N190" s="480">
        <f>755.3+250.7-250</f>
        <v>756</v>
      </c>
      <c r="O190" s="116" t="s">
        <v>118</v>
      </c>
      <c r="P190" s="175">
        <v>6</v>
      </c>
      <c r="Q190" s="350">
        <v>6</v>
      </c>
      <c r="R190" s="351">
        <v>6</v>
      </c>
      <c r="S190" s="352">
        <v>7</v>
      </c>
      <c r="T190" s="1352"/>
    </row>
    <row r="191" spans="1:25" s="1" customFormat="1" ht="31.5" customHeight="1" x14ac:dyDescent="0.2">
      <c r="A191" s="134"/>
      <c r="B191" s="1130"/>
      <c r="C191" s="12"/>
      <c r="D191" s="152"/>
      <c r="E191" s="105" t="s">
        <v>120</v>
      </c>
      <c r="F191" s="82"/>
      <c r="G191" s="1341"/>
      <c r="H191" s="1134"/>
      <c r="I191" s="762"/>
      <c r="J191" s="119" t="s">
        <v>17</v>
      </c>
      <c r="K191" s="664">
        <v>70</v>
      </c>
      <c r="L191" s="210"/>
      <c r="M191" s="221"/>
      <c r="N191" s="217"/>
      <c r="O191" s="1418" t="s">
        <v>119</v>
      </c>
      <c r="P191" s="90">
        <v>1</v>
      </c>
      <c r="Q191" s="313"/>
      <c r="R191" s="314"/>
      <c r="S191" s="315"/>
      <c r="T191" s="35"/>
      <c r="U191" s="31"/>
    </row>
    <row r="192" spans="1:25" s="1" customFormat="1" ht="15" customHeight="1" thickBot="1" x14ac:dyDescent="0.25">
      <c r="A192" s="136"/>
      <c r="B192" s="1095"/>
      <c r="C192" s="15"/>
      <c r="D192" s="452"/>
      <c r="E192" s="102"/>
      <c r="F192" s="56"/>
      <c r="G192" s="1111"/>
      <c r="H192" s="64"/>
      <c r="I192" s="763"/>
      <c r="J192" s="123" t="s">
        <v>18</v>
      </c>
      <c r="K192" s="471">
        <f>SUM(K190:K191)</f>
        <v>735.3</v>
      </c>
      <c r="L192" s="211">
        <f t="shared" ref="L192:N192" si="11">SUM(L190:L191)</f>
        <v>975.3</v>
      </c>
      <c r="M192" s="222">
        <f t="shared" si="11"/>
        <v>756</v>
      </c>
      <c r="N192" s="218">
        <f t="shared" si="11"/>
        <v>756</v>
      </c>
      <c r="O192" s="1383"/>
      <c r="P192" s="1127"/>
      <c r="Q192" s="316"/>
      <c r="R192" s="317"/>
      <c r="S192" s="318"/>
      <c r="T192" s="1100"/>
      <c r="U192" s="31"/>
    </row>
    <row r="193" spans="1:24" s="1" customFormat="1" ht="32.25" customHeight="1" x14ac:dyDescent="0.2">
      <c r="A193" s="133" t="s">
        <v>13</v>
      </c>
      <c r="B193" s="1265" t="s">
        <v>34</v>
      </c>
      <c r="C193" s="1320" t="s">
        <v>19</v>
      </c>
      <c r="D193" s="455"/>
      <c r="E193" s="1358" t="s">
        <v>218</v>
      </c>
      <c r="F193" s="1362"/>
      <c r="G193" s="1102">
        <v>11030701</v>
      </c>
      <c r="H193" s="1364" t="s">
        <v>16</v>
      </c>
      <c r="I193" s="764" t="s">
        <v>101</v>
      </c>
      <c r="J193" s="47" t="s">
        <v>17</v>
      </c>
      <c r="K193" s="687">
        <v>20</v>
      </c>
      <c r="L193" s="209">
        <v>50</v>
      </c>
      <c r="M193" s="257">
        <f>60-10</f>
        <v>50</v>
      </c>
      <c r="N193" s="283">
        <f>70-20</f>
        <v>50</v>
      </c>
      <c r="O193" s="1366" t="s">
        <v>48</v>
      </c>
      <c r="P193" s="75">
        <v>14</v>
      </c>
      <c r="Q193" s="341">
        <v>25</v>
      </c>
      <c r="R193" s="341">
        <v>25</v>
      </c>
      <c r="S193" s="342">
        <v>25</v>
      </c>
      <c r="W193" s="14"/>
      <c r="X193" s="14"/>
    </row>
    <row r="194" spans="1:24" s="1" customFormat="1" ht="13.5" thickBot="1" x14ac:dyDescent="0.25">
      <c r="A194" s="136"/>
      <c r="B194" s="1267"/>
      <c r="C194" s="1321"/>
      <c r="D194" s="456"/>
      <c r="E194" s="1359"/>
      <c r="F194" s="1363"/>
      <c r="G194" s="1103"/>
      <c r="H194" s="1365"/>
      <c r="I194" s="765"/>
      <c r="J194" s="46" t="s">
        <v>18</v>
      </c>
      <c r="K194" s="547">
        <f t="shared" ref="K194:N194" si="12">SUM(K193:K193)</f>
        <v>20</v>
      </c>
      <c r="L194" s="211">
        <f t="shared" si="12"/>
        <v>50</v>
      </c>
      <c r="M194" s="222">
        <f t="shared" si="12"/>
        <v>50</v>
      </c>
      <c r="N194" s="218">
        <f t="shared" si="12"/>
        <v>50</v>
      </c>
      <c r="O194" s="1271"/>
      <c r="P194" s="30"/>
      <c r="Q194" s="316"/>
      <c r="R194" s="317"/>
      <c r="S194" s="318"/>
    </row>
    <row r="195" spans="1:24" s="1" customFormat="1" ht="13.5" thickBot="1" x14ac:dyDescent="0.25">
      <c r="A195" s="129" t="s">
        <v>13</v>
      </c>
      <c r="B195" s="32" t="s">
        <v>34</v>
      </c>
      <c r="C195" s="1289" t="s">
        <v>22</v>
      </c>
      <c r="D195" s="1289"/>
      <c r="E195" s="1289"/>
      <c r="F195" s="1289"/>
      <c r="G195" s="1289"/>
      <c r="H195" s="1289"/>
      <c r="I195" s="1289"/>
      <c r="J195" s="1289"/>
      <c r="K195" s="691">
        <f>K194+K192</f>
        <v>755.3</v>
      </c>
      <c r="L195" s="8">
        <f t="shared" ref="L195:N195" si="13">L194+L192</f>
        <v>1025.3</v>
      </c>
      <c r="M195" s="227">
        <f t="shared" si="13"/>
        <v>806</v>
      </c>
      <c r="N195" s="560">
        <f t="shared" si="13"/>
        <v>806</v>
      </c>
      <c r="O195" s="1393"/>
      <c r="P195" s="1394"/>
      <c r="Q195" s="1394"/>
      <c r="R195" s="1394"/>
      <c r="S195" s="1395"/>
    </row>
    <row r="196" spans="1:24" s="95" customFormat="1" ht="13.5" thickBot="1" x14ac:dyDescent="0.25">
      <c r="A196" s="129" t="s">
        <v>13</v>
      </c>
      <c r="B196" s="1396" t="s">
        <v>49</v>
      </c>
      <c r="C196" s="1397"/>
      <c r="D196" s="1397"/>
      <c r="E196" s="1397"/>
      <c r="F196" s="1397"/>
      <c r="G196" s="1397"/>
      <c r="H196" s="1397"/>
      <c r="I196" s="1397"/>
      <c r="J196" s="1397"/>
      <c r="K196" s="692">
        <f>K188+K116+K37+K195</f>
        <v>11811.699999999999</v>
      </c>
      <c r="L196" s="561">
        <f>L188+L116+L37+L195</f>
        <v>12139.600000000002</v>
      </c>
      <c r="M196" s="562">
        <f>M188+M116+M37+M195</f>
        <v>12592.570000000002</v>
      </c>
      <c r="N196" s="709">
        <f>N188+N116+N37+N195</f>
        <v>13321.099999999999</v>
      </c>
      <c r="O196" s="145"/>
      <c r="P196" s="353"/>
      <c r="Q196" s="353"/>
      <c r="R196" s="353"/>
      <c r="S196" s="146"/>
    </row>
    <row r="197" spans="1:24" s="95" customFormat="1" ht="13.5" thickBot="1" x14ac:dyDescent="0.25">
      <c r="A197" s="147" t="s">
        <v>50</v>
      </c>
      <c r="B197" s="1398" t="s">
        <v>51</v>
      </c>
      <c r="C197" s="1399"/>
      <c r="D197" s="1399"/>
      <c r="E197" s="1399"/>
      <c r="F197" s="1399"/>
      <c r="G197" s="1399"/>
      <c r="H197" s="1399"/>
      <c r="I197" s="1399"/>
      <c r="J197" s="1399"/>
      <c r="K197" s="693">
        <f>K196</f>
        <v>11811.699999999999</v>
      </c>
      <c r="L197" s="563">
        <f t="shared" ref="L197:N197" si="14">L196</f>
        <v>12139.600000000002</v>
      </c>
      <c r="M197" s="564">
        <f t="shared" si="14"/>
        <v>12592.570000000002</v>
      </c>
      <c r="N197" s="710">
        <f t="shared" si="14"/>
        <v>13321.099999999999</v>
      </c>
      <c r="O197" s="148"/>
      <c r="P197" s="354"/>
      <c r="Q197" s="354"/>
      <c r="R197" s="354"/>
      <c r="S197" s="149"/>
    </row>
    <row r="198" spans="1:24" s="1" customFormat="1" ht="21.75" customHeight="1" thickBot="1" x14ac:dyDescent="0.25">
      <c r="A198" s="36"/>
      <c r="B198" s="1400" t="s">
        <v>52</v>
      </c>
      <c r="C198" s="1400"/>
      <c r="D198" s="1400"/>
      <c r="E198" s="1400"/>
      <c r="F198" s="1400"/>
      <c r="G198" s="1400"/>
      <c r="H198" s="1400"/>
      <c r="I198" s="1400"/>
      <c r="J198" s="1400"/>
      <c r="K198" s="1400"/>
      <c r="L198" s="1400"/>
      <c r="M198" s="1400"/>
      <c r="N198" s="1400"/>
      <c r="O198" s="38"/>
      <c r="P198" s="1155"/>
      <c r="Q198" s="1155"/>
      <c r="R198" s="1155"/>
      <c r="S198" s="1155"/>
    </row>
    <row r="199" spans="1:24" s="1" customFormat="1" ht="38.25" customHeight="1" x14ac:dyDescent="0.2">
      <c r="A199" s="37"/>
      <c r="B199" s="1401" t="s">
        <v>53</v>
      </c>
      <c r="C199" s="1402"/>
      <c r="D199" s="1402"/>
      <c r="E199" s="1402"/>
      <c r="F199" s="1402"/>
      <c r="G199" s="1402"/>
      <c r="H199" s="1402"/>
      <c r="I199" s="1402"/>
      <c r="J199" s="1402"/>
      <c r="K199" s="728" t="s">
        <v>129</v>
      </c>
      <c r="L199" s="729" t="s">
        <v>139</v>
      </c>
      <c r="M199" s="730" t="s">
        <v>140</v>
      </c>
      <c r="N199" s="731" t="s">
        <v>141</v>
      </c>
      <c r="O199" s="39"/>
      <c r="P199" s="157"/>
      <c r="Q199" s="157"/>
      <c r="R199" s="157"/>
      <c r="S199" s="157"/>
    </row>
    <row r="200" spans="1:24" s="1" customFormat="1" x14ac:dyDescent="0.2">
      <c r="A200" s="37"/>
      <c r="B200" s="1384" t="s">
        <v>54</v>
      </c>
      <c r="C200" s="1385"/>
      <c r="D200" s="1385"/>
      <c r="E200" s="1385"/>
      <c r="F200" s="1385"/>
      <c r="G200" s="1385"/>
      <c r="H200" s="1385"/>
      <c r="I200" s="1385"/>
      <c r="J200" s="1385"/>
      <c r="K200" s="567">
        <f t="shared" ref="K200:N200" si="15">SUM(K201:K207)</f>
        <v>11246.199999999997</v>
      </c>
      <c r="L200" s="566">
        <f t="shared" si="15"/>
        <v>12021</v>
      </c>
      <c r="M200" s="565">
        <f>SUM(M201:M207)</f>
        <v>11456.869999999999</v>
      </c>
      <c r="N200" s="724">
        <f t="shared" si="15"/>
        <v>12585.999999999996</v>
      </c>
      <c r="P200" s="155"/>
      <c r="Q200" s="155"/>
      <c r="R200" s="155"/>
      <c r="S200" s="155"/>
      <c r="V200" s="14"/>
    </row>
    <row r="201" spans="1:24" s="1" customFormat="1" ht="12.75" customHeight="1" x14ac:dyDescent="0.2">
      <c r="A201" s="37"/>
      <c r="B201" s="1387" t="s">
        <v>55</v>
      </c>
      <c r="C201" s="1388"/>
      <c r="D201" s="1388"/>
      <c r="E201" s="1388"/>
      <c r="F201" s="1388"/>
      <c r="G201" s="1388"/>
      <c r="H201" s="1388"/>
      <c r="I201" s="1388"/>
      <c r="J201" s="1388"/>
      <c r="K201" s="571">
        <f>SUMIF(J13:J193,"sb",K13:K193)</f>
        <v>9143.4</v>
      </c>
      <c r="L201" s="568">
        <f>SUMIF(J13:J193,"sb",L13:L193)</f>
        <v>8717.2000000000007</v>
      </c>
      <c r="M201" s="569">
        <f>SUMIF(J13:J193,"sb",M13:M193)</f>
        <v>8516.4699999999993</v>
      </c>
      <c r="N201" s="570">
        <f>SUMIF(J13:J193,"sb",N13:N193)</f>
        <v>12235.699999999997</v>
      </c>
      <c r="O201" s="988"/>
      <c r="P201" s="156"/>
      <c r="Q201" s="355"/>
      <c r="R201" s="355"/>
      <c r="S201" s="355"/>
    </row>
    <row r="202" spans="1:24" s="1" customFormat="1" ht="12.75" customHeight="1" x14ac:dyDescent="0.2">
      <c r="A202" s="37"/>
      <c r="B202" s="1389" t="s">
        <v>313</v>
      </c>
      <c r="C202" s="1390"/>
      <c r="D202" s="1390"/>
      <c r="E202" s="1390"/>
      <c r="F202" s="1390"/>
      <c r="G202" s="1390"/>
      <c r="H202" s="1390"/>
      <c r="I202" s="1390"/>
      <c r="J202" s="1390"/>
      <c r="K202" s="571"/>
      <c r="L202" s="568">
        <f>SUMIF(J13:J194,"sb(p)",L13:L194)</f>
        <v>1500</v>
      </c>
      <c r="M202" s="568">
        <f>SUMIF(J13:J194,"sb(p)",M13:M194)</f>
        <v>1913.5</v>
      </c>
      <c r="N202" s="570"/>
      <c r="O202" s="193"/>
      <c r="P202" s="156"/>
      <c r="Q202" s="355"/>
      <c r="R202" s="355"/>
      <c r="S202" s="355"/>
    </row>
    <row r="203" spans="1:24" s="1" customFormat="1" ht="12.75" customHeight="1" x14ac:dyDescent="0.2">
      <c r="A203" s="37"/>
      <c r="B203" s="1391" t="s">
        <v>80</v>
      </c>
      <c r="C203" s="1392"/>
      <c r="D203" s="1392"/>
      <c r="E203" s="1392"/>
      <c r="F203" s="1392"/>
      <c r="G203" s="1392"/>
      <c r="H203" s="1392"/>
      <c r="I203" s="1392"/>
      <c r="J203" s="1392"/>
      <c r="K203" s="1153">
        <f>SUMIF(J19:J194,"sb(l)",K19:K194)</f>
        <v>1027.4000000000001</v>
      </c>
      <c r="L203" s="236">
        <f>SUMIF(J19:J194,"sb(l)",L19:L194)</f>
        <v>818.8</v>
      </c>
      <c r="M203" s="245">
        <f>SUMIF(J19:J194,"sb(l)",M19:M194)</f>
        <v>0</v>
      </c>
      <c r="N203" s="495">
        <f>SUMIF(J19:J194,"sb(l)",N19:N194)</f>
        <v>0</v>
      </c>
      <c r="O203" s="1156"/>
      <c r="P203" s="156"/>
      <c r="Q203" s="156"/>
      <c r="R203" s="156"/>
      <c r="S203" s="156"/>
      <c r="X203" s="14"/>
    </row>
    <row r="204" spans="1:24" s="1" customFormat="1" ht="15" customHeight="1" x14ac:dyDescent="0.2">
      <c r="A204" s="37"/>
      <c r="B204" s="1372" t="s">
        <v>56</v>
      </c>
      <c r="C204" s="1373"/>
      <c r="D204" s="1373"/>
      <c r="E204" s="1373"/>
      <c r="F204" s="1373"/>
      <c r="G204" s="1373"/>
      <c r="H204" s="1373"/>
      <c r="I204" s="1373"/>
      <c r="J204" s="1373"/>
      <c r="K204" s="711">
        <f>SUMIF(J13:J193,"sb(sp)",K13:K193)</f>
        <v>361.4</v>
      </c>
      <c r="L204" s="573">
        <f>SUMIF(J13:J193,"sb(sp)",L13:L193)</f>
        <v>350.3</v>
      </c>
      <c r="M204" s="572">
        <f>SUMIF(J13:J193,"sb(sp)",M13:M193)</f>
        <v>350.3</v>
      </c>
      <c r="N204" s="725">
        <f>SUMIF(J13:J193,"sb(sp)",N13:N193)</f>
        <v>350.3</v>
      </c>
      <c r="O204" s="1156"/>
      <c r="P204" s="156"/>
      <c r="Q204" s="156"/>
      <c r="R204" s="156"/>
      <c r="S204" s="156"/>
    </row>
    <row r="205" spans="1:24" s="1" customFormat="1" ht="15" customHeight="1" x14ac:dyDescent="0.2">
      <c r="A205" s="37"/>
      <c r="B205" s="1372" t="s">
        <v>78</v>
      </c>
      <c r="C205" s="1373"/>
      <c r="D205" s="1373"/>
      <c r="E205" s="1373"/>
      <c r="F205" s="1373"/>
      <c r="G205" s="1373"/>
      <c r="H205" s="1373"/>
      <c r="I205" s="1373"/>
      <c r="J205" s="1373"/>
      <c r="K205" s="711">
        <f>SUMIF(J19:J194,"sb(spl)",K19:K194)</f>
        <v>50.9</v>
      </c>
      <c r="L205" s="573">
        <f>SUMIF(J19:J194,"sb(spl)",L19:L194)</f>
        <v>0</v>
      </c>
      <c r="M205" s="572">
        <f>SUMIF(J19:J194,"sb(spl)",M19:M194)</f>
        <v>0</v>
      </c>
      <c r="N205" s="725">
        <f>SUMIF(J19:J194,"sb(spl)",N19:N194)</f>
        <v>0</v>
      </c>
      <c r="O205" s="1156"/>
      <c r="P205" s="156"/>
      <c r="Q205" s="156"/>
      <c r="R205" s="156"/>
      <c r="S205" s="156"/>
    </row>
    <row r="206" spans="1:24" s="1" customFormat="1" x14ac:dyDescent="0.2">
      <c r="A206" s="37"/>
      <c r="B206" s="1372" t="s">
        <v>57</v>
      </c>
      <c r="C206" s="1373"/>
      <c r="D206" s="1373"/>
      <c r="E206" s="1373"/>
      <c r="F206" s="1373"/>
      <c r="G206" s="1373"/>
      <c r="H206" s="1373"/>
      <c r="I206" s="1373"/>
      <c r="J206" s="1373"/>
      <c r="K206" s="712">
        <f>SUMIF(J13:J193,"SB(VB)",K13:K193)</f>
        <v>53.8</v>
      </c>
      <c r="L206" s="574">
        <f>SUMIF(J13:J193,"SB(VB)",L13:L193)</f>
        <v>51.5</v>
      </c>
      <c r="M206" s="575">
        <f>SUMIF(J13:J193,"SB(VB)",M13:M193)</f>
        <v>54.9</v>
      </c>
      <c r="N206" s="726">
        <f>SUMIF(J13:J193,"SB(VB)",N13:N193)</f>
        <v>0</v>
      </c>
      <c r="O206" s="1156"/>
      <c r="P206" s="156"/>
      <c r="Q206" s="156"/>
      <c r="R206" s="156"/>
      <c r="S206" s="156"/>
    </row>
    <row r="207" spans="1:24" s="1" customFormat="1" x14ac:dyDescent="0.2">
      <c r="A207" s="37"/>
      <c r="B207" s="1372" t="s">
        <v>82</v>
      </c>
      <c r="C207" s="1373"/>
      <c r="D207" s="1373"/>
      <c r="E207" s="1373"/>
      <c r="F207" s="1373"/>
      <c r="G207" s="1373"/>
      <c r="H207" s="1373"/>
      <c r="I207" s="1373"/>
      <c r="J207" s="1373"/>
      <c r="K207" s="712">
        <f>SUMIF(J19:J194,"SB(ES)",K19:K194)</f>
        <v>609.29999999999995</v>
      </c>
      <c r="L207" s="574">
        <f>SUMIF(J19:J194,"SB(ES)",L19:L194)</f>
        <v>583.20000000000005</v>
      </c>
      <c r="M207" s="575">
        <f>SUMIF(J19:J194,"SB(ES)",M19:M194)</f>
        <v>621.70000000000005</v>
      </c>
      <c r="N207" s="726">
        <f>SUMIF(J19:J194,"SB(ES)",N19:N194)</f>
        <v>0</v>
      </c>
      <c r="O207" s="1156"/>
      <c r="P207" s="156"/>
      <c r="Q207" s="156"/>
      <c r="R207" s="156"/>
      <c r="S207" s="156"/>
    </row>
    <row r="208" spans="1:24" s="1" customFormat="1" x14ac:dyDescent="0.2">
      <c r="A208" s="37"/>
      <c r="B208" s="1415" t="s">
        <v>58</v>
      </c>
      <c r="C208" s="1416"/>
      <c r="D208" s="1416"/>
      <c r="E208" s="1416"/>
      <c r="F208" s="1416"/>
      <c r="G208" s="1416"/>
      <c r="H208" s="1416"/>
      <c r="I208" s="1416"/>
      <c r="J208" s="1416"/>
      <c r="K208" s="578">
        <f t="shared" ref="K208:N208" si="16">SUM(K209:K211)</f>
        <v>565.49999999999989</v>
      </c>
      <c r="L208" s="577">
        <f>SUM(L209:L211)</f>
        <v>118.6</v>
      </c>
      <c r="M208" s="576">
        <f t="shared" si="16"/>
        <v>1135.6999999999998</v>
      </c>
      <c r="N208" s="727">
        <f t="shared" si="16"/>
        <v>735.1</v>
      </c>
      <c r="O208" s="40"/>
      <c r="P208" s="155"/>
      <c r="Q208" s="155"/>
      <c r="R208" s="155"/>
      <c r="S208" s="155"/>
    </row>
    <row r="209" spans="1:31" s="1" customFormat="1" x14ac:dyDescent="0.2">
      <c r="A209" s="37"/>
      <c r="B209" s="1391" t="s">
        <v>59</v>
      </c>
      <c r="C209" s="1392"/>
      <c r="D209" s="1392"/>
      <c r="E209" s="1392"/>
      <c r="F209" s="1392"/>
      <c r="G209" s="1392"/>
      <c r="H209" s="1392"/>
      <c r="I209" s="1392"/>
      <c r="J209" s="1392"/>
      <c r="K209" s="582">
        <f>SUMIF(J13:J193,"es",K13:K193)</f>
        <v>478.9</v>
      </c>
      <c r="L209" s="580">
        <f>SUMIF(J13:J193,"es",L13:L193)</f>
        <v>0</v>
      </c>
      <c r="M209" s="579">
        <f>SUMIF(J13:J193,"es",M13:M193)</f>
        <v>0</v>
      </c>
      <c r="N209" s="581">
        <f>SUMIF(J13:J193,"es",N13:N193)</f>
        <v>0</v>
      </c>
      <c r="O209" s="1156"/>
      <c r="P209" s="156"/>
      <c r="Q209" s="156"/>
      <c r="R209" s="156"/>
      <c r="S209" s="156"/>
    </row>
    <row r="210" spans="1:31" s="1" customFormat="1" x14ac:dyDescent="0.2">
      <c r="A210" s="37"/>
      <c r="B210" s="1387" t="s">
        <v>60</v>
      </c>
      <c r="C210" s="1388"/>
      <c r="D210" s="1388"/>
      <c r="E210" s="1388"/>
      <c r="F210" s="1388"/>
      <c r="G210" s="1388"/>
      <c r="H210" s="1388"/>
      <c r="I210" s="1388"/>
      <c r="J210" s="1388"/>
      <c r="K210" s="582">
        <f>SUMIF(J13:J193,"lrvb",K13:K193)</f>
        <v>59.3</v>
      </c>
      <c r="L210" s="580">
        <f>SUMIF(J13:J193,"lrvb",L13:L193)</f>
        <v>118.6</v>
      </c>
      <c r="M210" s="579">
        <f>SUMIF(J13:J193,"lrvb",M13:M193)</f>
        <v>1135.6999999999998</v>
      </c>
      <c r="N210" s="581">
        <f>SUMIF(J13:J193,"lrvb",N13:N193)</f>
        <v>735.1</v>
      </c>
      <c r="O210" s="1156"/>
      <c r="P210" s="156"/>
      <c r="Q210" s="156"/>
      <c r="R210" s="156"/>
      <c r="S210" s="156"/>
      <c r="Y210" s="14"/>
      <c r="AE210" s="14"/>
    </row>
    <row r="211" spans="1:31" x14ac:dyDescent="0.2">
      <c r="A211" s="37"/>
      <c r="B211" s="1391" t="s">
        <v>61</v>
      </c>
      <c r="C211" s="1392"/>
      <c r="D211" s="1392"/>
      <c r="E211" s="1392"/>
      <c r="F211" s="1392"/>
      <c r="G211" s="1392"/>
      <c r="H211" s="1392"/>
      <c r="I211" s="1392"/>
      <c r="J211" s="1392"/>
      <c r="K211" s="582">
        <f>SUMIF(J13:J193,"kt",K13:K193)</f>
        <v>27.3</v>
      </c>
      <c r="L211" s="580">
        <f>SUMIF(J13:J193,"kt",L13:L193)</f>
        <v>0</v>
      </c>
      <c r="M211" s="579">
        <f>SUMIF(J13:J193,"kt",M13:M193)</f>
        <v>0</v>
      </c>
      <c r="N211" s="581">
        <f>SUMIF(J13:J193,"kt",N13:N193)</f>
        <v>0</v>
      </c>
      <c r="O211" s="1156"/>
      <c r="P211" s="156"/>
      <c r="Q211" s="156"/>
      <c r="R211" s="156"/>
      <c r="S211" s="156"/>
    </row>
    <row r="212" spans="1:31" ht="13.5" thickBot="1" x14ac:dyDescent="0.25">
      <c r="A212" s="41"/>
      <c r="B212" s="1413" t="s">
        <v>18</v>
      </c>
      <c r="C212" s="1414"/>
      <c r="D212" s="1414"/>
      <c r="E212" s="1414"/>
      <c r="F212" s="1414"/>
      <c r="G212" s="1414"/>
      <c r="H212" s="1414"/>
      <c r="I212" s="1414"/>
      <c r="J212" s="1414"/>
      <c r="K212" s="583">
        <f t="shared" ref="K212:M212" si="17">K208+K200</f>
        <v>11811.699999999997</v>
      </c>
      <c r="L212" s="512">
        <f t="shared" si="17"/>
        <v>12139.6</v>
      </c>
      <c r="M212" s="513">
        <f t="shared" si="17"/>
        <v>12592.57</v>
      </c>
      <c r="N212" s="373">
        <f>N208+N200</f>
        <v>13321.099999999997</v>
      </c>
      <c r="O212" s="42"/>
      <c r="P212" s="154"/>
      <c r="Q212" s="154"/>
      <c r="R212" s="154"/>
      <c r="S212" s="154"/>
    </row>
    <row r="213" spans="1:31" x14ac:dyDescent="0.2">
      <c r="K213" s="54"/>
      <c r="L213" s="54"/>
      <c r="M213" s="54"/>
      <c r="N213" s="54"/>
    </row>
    <row r="214" spans="1:31" x14ac:dyDescent="0.2">
      <c r="F214" s="1448" t="s">
        <v>137</v>
      </c>
      <c r="G214" s="1448"/>
      <c r="H214" s="1448"/>
      <c r="I214" s="1448"/>
      <c r="J214" s="1448"/>
      <c r="K214" s="1448"/>
      <c r="L214" s="1093"/>
      <c r="M214" s="1068"/>
      <c r="N214" s="1093"/>
    </row>
    <row r="215" spans="1:31" x14ac:dyDescent="0.2">
      <c r="K215" s="54"/>
      <c r="L215" s="54"/>
      <c r="M215" s="54"/>
      <c r="N215" s="54"/>
    </row>
    <row r="216" spans="1:31" x14ac:dyDescent="0.2">
      <c r="K216" s="54"/>
      <c r="L216" s="54"/>
      <c r="M216" s="54"/>
      <c r="N216" s="54"/>
    </row>
    <row r="217" spans="1:31" x14ac:dyDescent="0.2">
      <c r="K217" s="54"/>
      <c r="L217" s="54"/>
      <c r="M217" s="54"/>
      <c r="N217" s="54"/>
    </row>
    <row r="218" spans="1:31" x14ac:dyDescent="0.2">
      <c r="K218" s="54"/>
      <c r="L218" s="54"/>
      <c r="M218" s="54"/>
      <c r="N218" s="54"/>
    </row>
    <row r="219" spans="1:31" x14ac:dyDescent="0.2">
      <c r="K219" s="54"/>
      <c r="L219" s="54"/>
      <c r="M219" s="54"/>
      <c r="N219" s="54"/>
    </row>
  </sheetData>
  <mergeCells count="190">
    <mergeCell ref="G24:G26"/>
    <mergeCell ref="H24:H26"/>
    <mergeCell ref="C37:J37"/>
    <mergeCell ref="O103:O104"/>
    <mergeCell ref="O18:O19"/>
    <mergeCell ref="P30:P31"/>
    <mergeCell ref="Q30:Q31"/>
    <mergeCell ref="R30:R31"/>
    <mergeCell ref="O167:O168"/>
    <mergeCell ref="C38:S38"/>
    <mergeCell ref="E39:E40"/>
    <mergeCell ref="E91:E92"/>
    <mergeCell ref="E103:E104"/>
    <mergeCell ref="O132:O133"/>
    <mergeCell ref="G135:G136"/>
    <mergeCell ref="I109:I110"/>
    <mergeCell ref="I105:I106"/>
    <mergeCell ref="E107:E108"/>
    <mergeCell ref="D132:D133"/>
    <mergeCell ref="F132:F133"/>
    <mergeCell ref="H132:H133"/>
    <mergeCell ref="I132:I133"/>
    <mergeCell ref="E111:E113"/>
    <mergeCell ref="S30:S31"/>
    <mergeCell ref="E13:E14"/>
    <mergeCell ref="O25:O26"/>
    <mergeCell ref="A27:A29"/>
    <mergeCell ref="F27:F29"/>
    <mergeCell ref="G27:G29"/>
    <mergeCell ref="I103:I104"/>
    <mergeCell ref="A24:A26"/>
    <mergeCell ref="B24:B26"/>
    <mergeCell ref="C24:C26"/>
    <mergeCell ref="E24:E26"/>
    <mergeCell ref="F24:F26"/>
    <mergeCell ref="O28:O29"/>
    <mergeCell ref="G80:G81"/>
    <mergeCell ref="E64:E65"/>
    <mergeCell ref="B27:B29"/>
    <mergeCell ref="C27:C29"/>
    <mergeCell ref="E27:E29"/>
    <mergeCell ref="O33:O34"/>
    <mergeCell ref="O35:O36"/>
    <mergeCell ref="G13:G19"/>
    <mergeCell ref="I20:I22"/>
    <mergeCell ref="O22:O23"/>
    <mergeCell ref="G32:G33"/>
    <mergeCell ref="G99:G100"/>
    <mergeCell ref="I1:S1"/>
    <mergeCell ref="O6:S6"/>
    <mergeCell ref="O7:O8"/>
    <mergeCell ref="A2:S2"/>
    <mergeCell ref="A3:S3"/>
    <mergeCell ref="A4:S4"/>
    <mergeCell ref="A6:A8"/>
    <mergeCell ref="B6:B8"/>
    <mergeCell ref="C6:C8"/>
    <mergeCell ref="E6:E8"/>
    <mergeCell ref="F6:F8"/>
    <mergeCell ref="G6:G8"/>
    <mergeCell ref="K6:K8"/>
    <mergeCell ref="L6:L8"/>
    <mergeCell ref="M6:M8"/>
    <mergeCell ref="N6:N8"/>
    <mergeCell ref="P7:S7"/>
    <mergeCell ref="F214:K214"/>
    <mergeCell ref="H6:H8"/>
    <mergeCell ref="I6:I8"/>
    <mergeCell ref="J6:J8"/>
    <mergeCell ref="A9:S9"/>
    <mergeCell ref="A10:S10"/>
    <mergeCell ref="B11:S11"/>
    <mergeCell ref="C12:S12"/>
    <mergeCell ref="H13:H19"/>
    <mergeCell ref="A20:A23"/>
    <mergeCell ref="B20:B23"/>
    <mergeCell ref="C20:C23"/>
    <mergeCell ref="E20:E23"/>
    <mergeCell ref="F20:F23"/>
    <mergeCell ref="G20:G23"/>
    <mergeCell ref="E179:E180"/>
    <mergeCell ref="O179:O180"/>
    <mergeCell ref="H20:H23"/>
    <mergeCell ref="E89:E90"/>
    <mergeCell ref="F13:F19"/>
    <mergeCell ref="G107:G108"/>
    <mergeCell ref="I107:I108"/>
    <mergeCell ref="I118:I119"/>
    <mergeCell ref="G109:G110"/>
    <mergeCell ref="O185:O187"/>
    <mergeCell ref="E150:E151"/>
    <mergeCell ref="G150:G151"/>
    <mergeCell ref="E169:E170"/>
    <mergeCell ref="G169:G170"/>
    <mergeCell ref="E132:E133"/>
    <mergeCell ref="E109:E110"/>
    <mergeCell ref="G89:G90"/>
    <mergeCell ref="I91:I93"/>
    <mergeCell ref="G93:G94"/>
    <mergeCell ref="G103:G104"/>
    <mergeCell ref="O144:O147"/>
    <mergeCell ref="C116:J116"/>
    <mergeCell ref="O116:S116"/>
    <mergeCell ref="C117:S117"/>
    <mergeCell ref="E120:E121"/>
    <mergeCell ref="E100:E101"/>
    <mergeCell ref="E114:E115"/>
    <mergeCell ref="G114:G115"/>
    <mergeCell ref="I114:I115"/>
    <mergeCell ref="C118:C119"/>
    <mergeCell ref="E118:E119"/>
    <mergeCell ref="E105:E106"/>
    <mergeCell ref="G105:G106"/>
    <mergeCell ref="B185:B187"/>
    <mergeCell ref="C185:C187"/>
    <mergeCell ref="E185:E187"/>
    <mergeCell ref="F185:F187"/>
    <mergeCell ref="G185:G187"/>
    <mergeCell ref="H185:H187"/>
    <mergeCell ref="C135:C136"/>
    <mergeCell ref="E135:E136"/>
    <mergeCell ref="I135:I136"/>
    <mergeCell ref="G181:G183"/>
    <mergeCell ref="I181:I183"/>
    <mergeCell ref="I184:J184"/>
    <mergeCell ref="I148:J148"/>
    <mergeCell ref="E144:E147"/>
    <mergeCell ref="F144:F147"/>
    <mergeCell ref="G144:G147"/>
    <mergeCell ref="I144:I147"/>
    <mergeCell ref="F137:F138"/>
    <mergeCell ref="H137:H138"/>
    <mergeCell ref="E137:E138"/>
    <mergeCell ref="E141:E143"/>
    <mergeCell ref="G141:G143"/>
    <mergeCell ref="I141:I142"/>
    <mergeCell ref="C195:J195"/>
    <mergeCell ref="O195:S195"/>
    <mergeCell ref="B196:J196"/>
    <mergeCell ref="B197:J197"/>
    <mergeCell ref="T188:T190"/>
    <mergeCell ref="C189:O189"/>
    <mergeCell ref="G190:G191"/>
    <mergeCell ref="O191:O192"/>
    <mergeCell ref="B193:B194"/>
    <mergeCell ref="C193:C194"/>
    <mergeCell ref="E193:E194"/>
    <mergeCell ref="F193:F194"/>
    <mergeCell ref="H193:H194"/>
    <mergeCell ref="O193:O194"/>
    <mergeCell ref="C188:J188"/>
    <mergeCell ref="O188:S188"/>
    <mergeCell ref="B198:N198"/>
    <mergeCell ref="B212:J212"/>
    <mergeCell ref="B206:J206"/>
    <mergeCell ref="B207:J207"/>
    <mergeCell ref="B208:J208"/>
    <mergeCell ref="B209:J209"/>
    <mergeCell ref="B210:J210"/>
    <mergeCell ref="B211:J211"/>
    <mergeCell ref="B199:J199"/>
    <mergeCell ref="B200:J200"/>
    <mergeCell ref="B201:J201"/>
    <mergeCell ref="B203:J203"/>
    <mergeCell ref="B204:J204"/>
    <mergeCell ref="B205:J205"/>
    <mergeCell ref="B202:J202"/>
    <mergeCell ref="O114:O115"/>
    <mergeCell ref="G122:G126"/>
    <mergeCell ref="F123:F130"/>
    <mergeCell ref="O105:O106"/>
    <mergeCell ref="A30:A31"/>
    <mergeCell ref="B30:B31"/>
    <mergeCell ref="C30:C31"/>
    <mergeCell ref="E30:E31"/>
    <mergeCell ref="F30:F31"/>
    <mergeCell ref="G30:G31"/>
    <mergeCell ref="H30:H31"/>
    <mergeCell ref="I30:I31"/>
    <mergeCell ref="O30:O31"/>
    <mergeCell ref="B118:B119"/>
    <mergeCell ref="I39:I40"/>
    <mergeCell ref="O39:O40"/>
    <mergeCell ref="G111:G113"/>
    <mergeCell ref="I111:I113"/>
    <mergeCell ref="O111:O113"/>
    <mergeCell ref="E72:E75"/>
    <mergeCell ref="K95:K96"/>
    <mergeCell ref="G97:G98"/>
    <mergeCell ref="O37:S37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62" orientation="portrait" r:id="rId1"/>
  <rowBreaks count="1" manualBreakCount="1">
    <brk id="192" max="18" man="1"/>
  </rowBreaks>
  <colBreaks count="1" manualBreakCount="1">
    <brk id="1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workbookViewId="0">
      <selection activeCell="B34" sqref="B34"/>
    </sheetView>
  </sheetViews>
  <sheetFormatPr defaultColWidth="9.140625" defaultRowHeight="15" x14ac:dyDescent="0.25"/>
  <cols>
    <col min="1" max="1" width="5.28515625" style="779" customWidth="1"/>
    <col min="2" max="2" width="22.28515625" style="780" customWidth="1"/>
    <col min="3" max="3" width="13.85546875" style="807" customWidth="1"/>
    <col min="4" max="4" width="12.85546875" style="780" customWidth="1"/>
    <col min="5" max="5" width="20.140625" style="780" customWidth="1"/>
    <col min="6" max="6" width="19.7109375" style="780" customWidth="1"/>
    <col min="7" max="7" width="13" style="829" customWidth="1"/>
    <col min="8" max="8" width="15.5703125" style="805" customWidth="1"/>
    <col min="9" max="9" width="13.28515625" style="780" customWidth="1"/>
    <col min="10" max="10" width="10.42578125" style="806" customWidth="1"/>
    <col min="11" max="11" width="10" style="780" customWidth="1"/>
    <col min="12" max="12" width="9.140625" style="780" hidden="1" customWidth="1"/>
    <col min="13" max="13" width="10.28515625" style="832" customWidth="1"/>
    <col min="14" max="14" width="24.7109375" style="780" customWidth="1"/>
    <col min="15" max="15" width="31.42578125" style="780" customWidth="1"/>
    <col min="16" max="16384" width="9.140625" style="780"/>
  </cols>
  <sheetData>
    <row r="2" spans="1:13" ht="15.75" x14ac:dyDescent="0.25">
      <c r="B2" s="1501" t="s">
        <v>226</v>
      </c>
      <c r="C2" s="1501"/>
      <c r="D2" s="1501"/>
      <c r="E2" s="1501"/>
      <c r="F2" s="1501"/>
      <c r="G2" s="1501"/>
      <c r="H2" s="1501"/>
      <c r="I2" s="1501"/>
      <c r="J2" s="1501"/>
      <c r="K2" s="1501"/>
    </row>
    <row r="4" spans="1:13" ht="15.75" x14ac:dyDescent="0.25">
      <c r="B4" s="1501" t="s">
        <v>227</v>
      </c>
      <c r="C4" s="1501"/>
      <c r="D4" s="1501"/>
      <c r="E4" s="1501"/>
      <c r="F4" s="1501"/>
      <c r="G4" s="1501"/>
      <c r="H4" s="1501"/>
      <c r="I4" s="1501"/>
      <c r="J4" s="1501"/>
      <c r="K4" s="1501"/>
    </row>
    <row r="5" spans="1:13" ht="15.75" x14ac:dyDescent="0.25">
      <c r="B5" s="781"/>
      <c r="C5" s="781"/>
      <c r="D5" s="781"/>
      <c r="E5" s="781"/>
      <c r="F5" s="781"/>
      <c r="G5" s="808"/>
      <c r="H5" s="781"/>
      <c r="I5" s="781"/>
      <c r="J5" s="781"/>
      <c r="K5" s="781"/>
    </row>
    <row r="6" spans="1:13" ht="15.75" x14ac:dyDescent="0.25">
      <c r="B6" s="781"/>
      <c r="C6" s="782"/>
      <c r="D6" s="781"/>
      <c r="E6" s="781"/>
      <c r="F6" s="783">
        <v>43353</v>
      </c>
      <c r="G6" s="808"/>
      <c r="H6" s="785"/>
      <c r="I6" s="781"/>
      <c r="J6" s="784"/>
      <c r="K6" s="781"/>
    </row>
    <row r="7" spans="1:13" x14ac:dyDescent="0.25">
      <c r="A7" s="1502" t="s">
        <v>228</v>
      </c>
      <c r="B7" s="1504" t="s">
        <v>229</v>
      </c>
      <c r="C7" s="1504" t="s">
        <v>230</v>
      </c>
      <c r="D7" s="1504" t="s">
        <v>231</v>
      </c>
      <c r="E7" s="1504" t="s">
        <v>232</v>
      </c>
      <c r="F7" s="1504" t="s">
        <v>233</v>
      </c>
      <c r="G7" s="1506" t="s">
        <v>234</v>
      </c>
      <c r="H7" s="1508" t="s">
        <v>235</v>
      </c>
      <c r="I7" s="1504" t="s">
        <v>233</v>
      </c>
      <c r="J7" s="1515" t="s">
        <v>234</v>
      </c>
      <c r="K7" s="1517" t="s">
        <v>164</v>
      </c>
      <c r="M7" s="1525" t="s">
        <v>18</v>
      </c>
    </row>
    <row r="8" spans="1:13" x14ac:dyDescent="0.25">
      <c r="A8" s="1503"/>
      <c r="B8" s="1505"/>
      <c r="C8" s="1505"/>
      <c r="D8" s="1505"/>
      <c r="E8" s="1505"/>
      <c r="F8" s="1505"/>
      <c r="G8" s="1507"/>
      <c r="H8" s="1509"/>
      <c r="I8" s="1505"/>
      <c r="J8" s="1516"/>
      <c r="K8" s="1518"/>
      <c r="M8" s="1526"/>
    </row>
    <row r="9" spans="1:13" x14ac:dyDescent="0.25">
      <c r="A9" s="1519" t="s">
        <v>236</v>
      </c>
      <c r="B9" s="1520"/>
      <c r="C9" s="1520"/>
      <c r="D9" s="1520"/>
      <c r="E9" s="1520"/>
      <c r="F9" s="1520"/>
      <c r="G9" s="1520"/>
      <c r="H9" s="1520"/>
      <c r="I9" s="1520"/>
      <c r="J9" s="1520"/>
      <c r="K9" s="1521"/>
      <c r="M9" s="833"/>
    </row>
    <row r="10" spans="1:13" s="791" customFormat="1" ht="90" x14ac:dyDescent="0.25">
      <c r="A10" s="786">
        <v>1</v>
      </c>
      <c r="B10" s="787" t="s">
        <v>237</v>
      </c>
      <c r="C10" s="788">
        <v>300</v>
      </c>
      <c r="D10" s="789" t="s">
        <v>238</v>
      </c>
      <c r="E10" s="787" t="s">
        <v>239</v>
      </c>
      <c r="F10" s="787" t="s">
        <v>240</v>
      </c>
      <c r="G10" s="809">
        <v>1200</v>
      </c>
      <c r="H10" s="789"/>
      <c r="I10" s="789"/>
      <c r="J10" s="790"/>
      <c r="K10" s="789"/>
      <c r="M10" s="834">
        <f>+G10+J10</f>
        <v>1200</v>
      </c>
    </row>
    <row r="11" spans="1:13" s="791" customFormat="1" ht="90" x14ac:dyDescent="0.25">
      <c r="A11" s="786">
        <v>2</v>
      </c>
      <c r="B11" s="787" t="s">
        <v>241</v>
      </c>
      <c r="C11" s="788">
        <v>5000</v>
      </c>
      <c r="D11" s="789" t="s">
        <v>242</v>
      </c>
      <c r="E11" s="787" t="s">
        <v>243</v>
      </c>
      <c r="F11" s="792" t="s">
        <v>244</v>
      </c>
      <c r="G11" s="809"/>
      <c r="H11" s="787" t="s">
        <v>239</v>
      </c>
      <c r="I11" s="787" t="s">
        <v>245</v>
      </c>
      <c r="J11" s="790">
        <v>8000</v>
      </c>
      <c r="K11" s="793"/>
      <c r="M11" s="834">
        <f t="shared" ref="M11:M15" si="0">+G11+J11</f>
        <v>8000</v>
      </c>
    </row>
    <row r="12" spans="1:13" s="791" customFormat="1" ht="60" x14ac:dyDescent="0.25">
      <c r="A12" s="786">
        <v>3</v>
      </c>
      <c r="B12" s="787" t="s">
        <v>246</v>
      </c>
      <c r="C12" s="788">
        <v>800</v>
      </c>
      <c r="D12" s="789" t="s">
        <v>247</v>
      </c>
      <c r="E12" s="794" t="s">
        <v>248</v>
      </c>
      <c r="F12" s="787" t="s">
        <v>249</v>
      </c>
      <c r="G12" s="809"/>
      <c r="H12" s="787" t="s">
        <v>239</v>
      </c>
      <c r="I12" s="789" t="s">
        <v>250</v>
      </c>
      <c r="J12" s="790">
        <v>600</v>
      </c>
      <c r="K12" s="793"/>
      <c r="M12" s="834">
        <f t="shared" si="0"/>
        <v>600</v>
      </c>
    </row>
    <row r="13" spans="1:13" s="791" customFormat="1" ht="60" x14ac:dyDescent="0.25">
      <c r="A13" s="786">
        <v>4</v>
      </c>
      <c r="B13" s="787" t="s">
        <v>251</v>
      </c>
      <c r="C13" s="788"/>
      <c r="D13" s="789" t="s">
        <v>252</v>
      </c>
      <c r="E13" s="787" t="s">
        <v>253</v>
      </c>
      <c r="F13" s="787" t="s">
        <v>249</v>
      </c>
      <c r="G13" s="809"/>
      <c r="H13" s="787" t="s">
        <v>239</v>
      </c>
      <c r="I13" s="789" t="s">
        <v>250</v>
      </c>
      <c r="J13" s="790">
        <v>600</v>
      </c>
      <c r="K13" s="793"/>
      <c r="M13" s="834">
        <f t="shared" si="0"/>
        <v>600</v>
      </c>
    </row>
    <row r="14" spans="1:13" s="791" customFormat="1" ht="90" x14ac:dyDescent="0.25">
      <c r="A14" s="786">
        <v>5</v>
      </c>
      <c r="B14" s="789" t="s">
        <v>254</v>
      </c>
      <c r="C14" s="788">
        <v>1500</v>
      </c>
      <c r="D14" s="789" t="s">
        <v>255</v>
      </c>
      <c r="E14" s="787" t="s">
        <v>239</v>
      </c>
      <c r="F14" s="787" t="s">
        <v>256</v>
      </c>
      <c r="G14" s="809">
        <v>12500</v>
      </c>
      <c r="H14" s="787"/>
      <c r="I14" s="789"/>
      <c r="J14" s="790"/>
      <c r="K14" s="789"/>
      <c r="M14" s="834">
        <f t="shared" si="0"/>
        <v>12500</v>
      </c>
    </row>
    <row r="15" spans="1:13" s="791" customFormat="1" ht="60" x14ac:dyDescent="0.25">
      <c r="A15" s="786">
        <v>6</v>
      </c>
      <c r="B15" s="787" t="s">
        <v>257</v>
      </c>
      <c r="C15" s="788">
        <v>500</v>
      </c>
      <c r="D15" s="789" t="s">
        <v>258</v>
      </c>
      <c r="E15" s="787" t="s">
        <v>239</v>
      </c>
      <c r="F15" s="787" t="s">
        <v>259</v>
      </c>
      <c r="G15" s="809">
        <v>18000</v>
      </c>
      <c r="H15" s="787"/>
      <c r="I15" s="789"/>
      <c r="J15" s="790"/>
      <c r="K15" s="789"/>
      <c r="M15" s="834">
        <f t="shared" si="0"/>
        <v>18000</v>
      </c>
    </row>
    <row r="16" spans="1:13" s="791" customFormat="1" x14ac:dyDescent="0.25">
      <c r="A16" s="786"/>
      <c r="B16" s="810"/>
      <c r="C16" s="811"/>
      <c r="D16" s="812"/>
      <c r="E16" s="813"/>
      <c r="F16" s="813"/>
      <c r="G16" s="814">
        <f>SUM(G10:G15)</f>
        <v>31700</v>
      </c>
      <c r="H16" s="815"/>
      <c r="I16" s="816"/>
      <c r="J16" s="817">
        <f>SUM(J11:J15)</f>
        <v>9200</v>
      </c>
      <c r="K16" s="818"/>
      <c r="M16" s="835">
        <f>SUM(M10:M15)</f>
        <v>40900</v>
      </c>
    </row>
    <row r="17" spans="1:13" s="791" customFormat="1" x14ac:dyDescent="0.25">
      <c r="A17" s="786"/>
      <c r="B17" s="1522" t="s">
        <v>260</v>
      </c>
      <c r="C17" s="1523"/>
      <c r="D17" s="1523"/>
      <c r="E17" s="1523"/>
      <c r="F17" s="1523"/>
      <c r="G17" s="1523"/>
      <c r="H17" s="1523"/>
      <c r="I17" s="1523"/>
      <c r="J17" s="1523"/>
      <c r="K17" s="1524"/>
      <c r="M17" s="834"/>
    </row>
    <row r="18" spans="1:13" s="791" customFormat="1" ht="75" x14ac:dyDescent="0.25">
      <c r="A18" s="786">
        <v>7</v>
      </c>
      <c r="B18" s="787" t="s">
        <v>261</v>
      </c>
      <c r="C18" s="788">
        <v>40</v>
      </c>
      <c r="D18" s="789" t="s">
        <v>262</v>
      </c>
      <c r="E18" s="787" t="s">
        <v>239</v>
      </c>
      <c r="F18" s="787" t="s">
        <v>263</v>
      </c>
      <c r="G18" s="809">
        <v>500</v>
      </c>
      <c r="H18" s="787"/>
      <c r="I18" s="789"/>
      <c r="J18" s="790"/>
      <c r="K18" s="789"/>
      <c r="M18" s="834">
        <f>+G18+J18</f>
        <v>500</v>
      </c>
    </row>
    <row r="19" spans="1:13" s="791" customFormat="1" ht="75" x14ac:dyDescent="0.25">
      <c r="A19" s="795">
        <v>8</v>
      </c>
      <c r="B19" s="787" t="s">
        <v>264</v>
      </c>
      <c r="C19" s="788">
        <v>200</v>
      </c>
      <c r="D19" s="789" t="s">
        <v>265</v>
      </c>
      <c r="E19" s="787" t="s">
        <v>239</v>
      </c>
      <c r="F19" s="787" t="s">
        <v>266</v>
      </c>
      <c r="G19" s="809">
        <v>8000</v>
      </c>
      <c r="H19" s="787"/>
      <c r="I19" s="789"/>
      <c r="J19" s="790"/>
      <c r="K19" s="789"/>
      <c r="M19" s="834">
        <f t="shared" ref="M19:M21" si="1">+G19+J19</f>
        <v>8000</v>
      </c>
    </row>
    <row r="20" spans="1:13" s="791" customFormat="1" ht="60" x14ac:dyDescent="0.25">
      <c r="A20" s="786">
        <v>9</v>
      </c>
      <c r="B20" s="787" t="s">
        <v>267</v>
      </c>
      <c r="C20" s="796">
        <v>300</v>
      </c>
      <c r="D20" s="787" t="s">
        <v>268</v>
      </c>
      <c r="E20" s="787" t="s">
        <v>269</v>
      </c>
      <c r="F20" s="787" t="s">
        <v>270</v>
      </c>
      <c r="G20" s="809"/>
      <c r="H20" s="787" t="s">
        <v>239</v>
      </c>
      <c r="I20" s="787" t="s">
        <v>271</v>
      </c>
      <c r="J20" s="790">
        <v>1700</v>
      </c>
      <c r="K20" s="789"/>
      <c r="M20" s="834">
        <f t="shared" si="1"/>
        <v>1700</v>
      </c>
    </row>
    <row r="21" spans="1:13" s="791" customFormat="1" ht="75" x14ac:dyDescent="0.25">
      <c r="A21" s="786">
        <v>10</v>
      </c>
      <c r="B21" s="787" t="s">
        <v>272</v>
      </c>
      <c r="C21" s="788">
        <v>200</v>
      </c>
      <c r="D21" s="789" t="s">
        <v>273</v>
      </c>
      <c r="E21" s="787" t="s">
        <v>239</v>
      </c>
      <c r="F21" s="787" t="s">
        <v>266</v>
      </c>
      <c r="G21" s="809">
        <v>2000</v>
      </c>
      <c r="H21" s="787"/>
      <c r="I21" s="789"/>
      <c r="J21" s="790"/>
      <c r="K21" s="789"/>
      <c r="M21" s="834">
        <f t="shared" si="1"/>
        <v>2000</v>
      </c>
    </row>
    <row r="22" spans="1:13" s="791" customFormat="1" x14ac:dyDescent="0.25">
      <c r="A22" s="786"/>
      <c r="B22" s="810"/>
      <c r="C22" s="811"/>
      <c r="D22" s="812"/>
      <c r="E22" s="813"/>
      <c r="F22" s="813"/>
      <c r="G22" s="814">
        <f>SUM(G18:G21)</f>
        <v>10500</v>
      </c>
      <c r="H22" s="815"/>
      <c r="I22" s="816"/>
      <c r="J22" s="817">
        <f>SUM(J18:J21)</f>
        <v>1700</v>
      </c>
      <c r="K22" s="818"/>
      <c r="M22" s="835">
        <f>SUM(M18:M21)</f>
        <v>12200</v>
      </c>
    </row>
    <row r="23" spans="1:13" s="791" customFormat="1" x14ac:dyDescent="0.25">
      <c r="A23" s="786"/>
      <c r="B23" s="1522" t="s">
        <v>274</v>
      </c>
      <c r="C23" s="1523"/>
      <c r="D23" s="1523"/>
      <c r="E23" s="1523"/>
      <c r="F23" s="1523"/>
      <c r="G23" s="1523"/>
      <c r="H23" s="1523"/>
      <c r="I23" s="1523"/>
      <c r="J23" s="1523"/>
      <c r="K23" s="1524"/>
      <c r="M23" s="834"/>
    </row>
    <row r="24" spans="1:13" s="791" customFormat="1" ht="105" x14ac:dyDescent="0.25">
      <c r="A24" s="786">
        <v>11</v>
      </c>
      <c r="B24" s="787" t="s">
        <v>275</v>
      </c>
      <c r="C24" s="788">
        <v>70</v>
      </c>
      <c r="D24" s="789" t="s">
        <v>276</v>
      </c>
      <c r="E24" s="787" t="s">
        <v>277</v>
      </c>
      <c r="F24" s="787" t="s">
        <v>249</v>
      </c>
      <c r="G24" s="809"/>
      <c r="H24" s="787" t="s">
        <v>239</v>
      </c>
      <c r="I24" s="789" t="s">
        <v>250</v>
      </c>
      <c r="J24" s="790">
        <v>400</v>
      </c>
      <c r="K24" s="789"/>
      <c r="M24" s="834">
        <f>+J24+G24</f>
        <v>400</v>
      </c>
    </row>
    <row r="25" spans="1:13" s="791" customFormat="1" ht="60" x14ac:dyDescent="0.25">
      <c r="A25" s="786">
        <v>12</v>
      </c>
      <c r="B25" s="787" t="s">
        <v>278</v>
      </c>
      <c r="C25" s="788">
        <v>80</v>
      </c>
      <c r="D25" s="789" t="s">
        <v>279</v>
      </c>
      <c r="E25" s="787" t="s">
        <v>277</v>
      </c>
      <c r="F25" s="787" t="s">
        <v>249</v>
      </c>
      <c r="G25" s="809"/>
      <c r="H25" s="787" t="s">
        <v>239</v>
      </c>
      <c r="I25" s="789" t="s">
        <v>250</v>
      </c>
      <c r="J25" s="790">
        <v>400</v>
      </c>
      <c r="K25" s="789"/>
      <c r="M25" s="834">
        <f t="shared" ref="M25:M26" si="2">+J25+G25</f>
        <v>400</v>
      </c>
    </row>
    <row r="26" spans="1:13" s="791" customFormat="1" ht="60" x14ac:dyDescent="0.25">
      <c r="A26" s="786">
        <v>13</v>
      </c>
      <c r="B26" s="787" t="s">
        <v>280</v>
      </c>
      <c r="C26" s="796"/>
      <c r="D26" s="789" t="s">
        <v>281</v>
      </c>
      <c r="E26" s="787" t="s">
        <v>282</v>
      </c>
      <c r="F26" s="787" t="s">
        <v>283</v>
      </c>
      <c r="G26" s="809"/>
      <c r="H26" s="787" t="s">
        <v>239</v>
      </c>
      <c r="I26" s="789" t="s">
        <v>283</v>
      </c>
      <c r="J26" s="790">
        <v>3000</v>
      </c>
      <c r="K26" s="789" t="s">
        <v>284</v>
      </c>
      <c r="M26" s="834">
        <f t="shared" si="2"/>
        <v>3000</v>
      </c>
    </row>
    <row r="27" spans="1:13" s="791" customFormat="1" x14ac:dyDescent="0.25">
      <c r="A27" s="786"/>
      <c r="B27" s="810"/>
      <c r="C27" s="830"/>
      <c r="D27" s="812"/>
      <c r="E27" s="813"/>
      <c r="F27" s="813"/>
      <c r="G27" s="831"/>
      <c r="H27" s="813"/>
      <c r="I27" s="812"/>
      <c r="J27" s="817">
        <f>SUM(J24:J26)</f>
        <v>3800</v>
      </c>
      <c r="K27" s="818"/>
      <c r="M27" s="835">
        <f>SUM(M24:M26)</f>
        <v>3800</v>
      </c>
    </row>
    <row r="28" spans="1:13" s="791" customFormat="1" x14ac:dyDescent="0.25">
      <c r="A28" s="786"/>
      <c r="B28" s="1512" t="s">
        <v>285</v>
      </c>
      <c r="C28" s="1513"/>
      <c r="D28" s="1513"/>
      <c r="E28" s="1513"/>
      <c r="F28" s="1513"/>
      <c r="G28" s="1513"/>
      <c r="H28" s="1513"/>
      <c r="I28" s="1513"/>
      <c r="J28" s="1513"/>
      <c r="K28" s="1514"/>
      <c r="M28" s="834"/>
    </row>
    <row r="29" spans="1:13" s="791" customFormat="1" ht="45" x14ac:dyDescent="0.25">
      <c r="A29" s="786">
        <v>14</v>
      </c>
      <c r="B29" s="787" t="s">
        <v>286</v>
      </c>
      <c r="C29" s="788">
        <v>50</v>
      </c>
      <c r="D29" s="789" t="s">
        <v>281</v>
      </c>
      <c r="E29" s="787" t="s">
        <v>239</v>
      </c>
      <c r="F29" s="787" t="s">
        <v>263</v>
      </c>
      <c r="G29" s="809">
        <v>800</v>
      </c>
      <c r="H29" s="787"/>
      <c r="I29" s="789"/>
      <c r="J29" s="790"/>
      <c r="K29" s="789"/>
      <c r="M29" s="834">
        <f>+G29+J29</f>
        <v>800</v>
      </c>
    </row>
    <row r="30" spans="1:13" s="791" customFormat="1" ht="45" x14ac:dyDescent="0.25">
      <c r="A30" s="786">
        <v>15</v>
      </c>
      <c r="B30" s="787" t="s">
        <v>287</v>
      </c>
      <c r="C30" s="788"/>
      <c r="D30" s="789"/>
      <c r="E30" s="794" t="s">
        <v>239</v>
      </c>
      <c r="F30" s="787"/>
      <c r="G30" s="809"/>
      <c r="H30" s="787"/>
      <c r="I30" s="789"/>
      <c r="J30" s="790">
        <v>6000</v>
      </c>
      <c r="K30" s="789" t="s">
        <v>284</v>
      </c>
      <c r="M30" s="834">
        <f t="shared" ref="M30:M35" si="3">+G30+J30</f>
        <v>6000</v>
      </c>
    </row>
    <row r="31" spans="1:13" s="791" customFormat="1" ht="45" x14ac:dyDescent="0.25">
      <c r="A31" s="786">
        <v>16</v>
      </c>
      <c r="B31" s="787" t="s">
        <v>288</v>
      </c>
      <c r="C31" s="788"/>
      <c r="D31" s="789"/>
      <c r="E31" s="787" t="s">
        <v>239</v>
      </c>
      <c r="F31" s="787"/>
      <c r="G31" s="809"/>
      <c r="H31" s="787"/>
      <c r="I31" s="789"/>
      <c r="J31" s="790">
        <v>5000</v>
      </c>
      <c r="K31" s="789" t="s">
        <v>284</v>
      </c>
      <c r="M31" s="834">
        <f t="shared" si="3"/>
        <v>5000</v>
      </c>
    </row>
    <row r="32" spans="1:13" s="791" customFormat="1" ht="45" x14ac:dyDescent="0.25">
      <c r="A32" s="786">
        <v>17</v>
      </c>
      <c r="B32" s="787" t="s">
        <v>289</v>
      </c>
      <c r="C32" s="788"/>
      <c r="D32" s="789" t="s">
        <v>255</v>
      </c>
      <c r="E32" s="787" t="s">
        <v>239</v>
      </c>
      <c r="F32" s="792" t="s">
        <v>290</v>
      </c>
      <c r="G32" s="809">
        <v>1000</v>
      </c>
      <c r="H32" s="787"/>
      <c r="I32" s="789"/>
      <c r="J32" s="790"/>
      <c r="K32" s="789"/>
      <c r="M32" s="834">
        <f t="shared" si="3"/>
        <v>1000</v>
      </c>
    </row>
    <row r="33" spans="1:13" s="791" customFormat="1" ht="60" x14ac:dyDescent="0.25">
      <c r="A33" s="786">
        <v>18</v>
      </c>
      <c r="B33" s="787" t="s">
        <v>291</v>
      </c>
      <c r="C33" s="788"/>
      <c r="D33" s="789" t="s">
        <v>255</v>
      </c>
      <c r="E33" s="787" t="s">
        <v>292</v>
      </c>
      <c r="F33" s="787" t="s">
        <v>249</v>
      </c>
      <c r="G33" s="809"/>
      <c r="H33" s="787" t="s">
        <v>239</v>
      </c>
      <c r="I33" s="787" t="s">
        <v>293</v>
      </c>
      <c r="J33" s="790">
        <v>1000</v>
      </c>
      <c r="K33" s="789"/>
      <c r="M33" s="834">
        <f t="shared" si="3"/>
        <v>1000</v>
      </c>
    </row>
    <row r="34" spans="1:13" s="791" customFormat="1" ht="60" x14ac:dyDescent="0.25">
      <c r="A34" s="786">
        <v>19</v>
      </c>
      <c r="B34" s="787" t="s">
        <v>294</v>
      </c>
      <c r="C34" s="788"/>
      <c r="D34" s="789"/>
      <c r="E34" s="787" t="s">
        <v>295</v>
      </c>
      <c r="F34" s="787"/>
      <c r="G34" s="809"/>
      <c r="H34" s="787" t="s">
        <v>239</v>
      </c>
      <c r="I34" s="789"/>
      <c r="J34" s="790">
        <v>1500</v>
      </c>
      <c r="K34" s="789" t="s">
        <v>284</v>
      </c>
      <c r="M34" s="834">
        <f t="shared" si="3"/>
        <v>1500</v>
      </c>
    </row>
    <row r="35" spans="1:13" s="791" customFormat="1" ht="60" x14ac:dyDescent="0.25">
      <c r="A35" s="786">
        <v>20</v>
      </c>
      <c r="B35" s="787" t="s">
        <v>296</v>
      </c>
      <c r="C35" s="788">
        <v>1500</v>
      </c>
      <c r="D35" s="789" t="s">
        <v>297</v>
      </c>
      <c r="E35" s="787" t="s">
        <v>298</v>
      </c>
      <c r="F35" s="787" t="s">
        <v>249</v>
      </c>
      <c r="G35" s="809"/>
      <c r="H35" s="787" t="s">
        <v>239</v>
      </c>
      <c r="I35" s="789" t="s">
        <v>250</v>
      </c>
      <c r="J35" s="790">
        <v>2000</v>
      </c>
      <c r="K35" s="789"/>
      <c r="M35" s="834">
        <f t="shared" si="3"/>
        <v>2000</v>
      </c>
    </row>
    <row r="36" spans="1:13" s="791" customFormat="1" x14ac:dyDescent="0.25">
      <c r="A36" s="786"/>
      <c r="B36" s="810"/>
      <c r="C36" s="811"/>
      <c r="D36" s="812"/>
      <c r="E36" s="813"/>
      <c r="F36" s="813"/>
      <c r="G36" s="814">
        <f>SUM(G29:G35)</f>
        <v>1800</v>
      </c>
      <c r="H36" s="815"/>
      <c r="I36" s="816"/>
      <c r="J36" s="817">
        <f>SUM(J29:J35)</f>
        <v>15500</v>
      </c>
      <c r="K36" s="818"/>
      <c r="M36" s="835">
        <f>SUM(M29:M35)</f>
        <v>17300</v>
      </c>
    </row>
    <row r="37" spans="1:13" s="791" customFormat="1" x14ac:dyDescent="0.25">
      <c r="A37" s="786"/>
      <c r="B37" s="1512" t="s">
        <v>299</v>
      </c>
      <c r="C37" s="1513"/>
      <c r="D37" s="1513"/>
      <c r="E37" s="1513"/>
      <c r="F37" s="1513"/>
      <c r="G37" s="1513"/>
      <c r="H37" s="1513"/>
      <c r="I37" s="1513"/>
      <c r="J37" s="1513"/>
      <c r="K37" s="1514"/>
      <c r="M37" s="834"/>
    </row>
    <row r="38" spans="1:13" s="791" customFormat="1" ht="60" x14ac:dyDescent="0.25">
      <c r="A38" s="786">
        <v>21</v>
      </c>
      <c r="B38" s="794" t="s">
        <v>300</v>
      </c>
      <c r="C38" s="797"/>
      <c r="D38" s="798" t="s">
        <v>301</v>
      </c>
      <c r="E38" s="787" t="s">
        <v>239</v>
      </c>
      <c r="F38" s="790"/>
      <c r="G38" s="819">
        <v>1000</v>
      </c>
      <c r="H38" s="798"/>
      <c r="I38" s="798"/>
      <c r="J38" s="790"/>
      <c r="K38" s="798"/>
      <c r="M38" s="834">
        <f>+G38+J38</f>
        <v>1000</v>
      </c>
    </row>
    <row r="39" spans="1:13" s="791" customFormat="1" ht="60" x14ac:dyDescent="0.25">
      <c r="A39" s="786">
        <v>22</v>
      </c>
      <c r="B39" s="794" t="s">
        <v>302</v>
      </c>
      <c r="C39" s="797"/>
      <c r="D39" s="798" t="s">
        <v>301</v>
      </c>
      <c r="E39" s="787" t="s">
        <v>239</v>
      </c>
      <c r="F39" s="790"/>
      <c r="G39" s="819">
        <v>1000</v>
      </c>
      <c r="H39" s="798"/>
      <c r="I39" s="798"/>
      <c r="J39" s="790"/>
      <c r="K39" s="798"/>
      <c r="M39" s="834">
        <f>+G39+J39</f>
        <v>1000</v>
      </c>
    </row>
    <row r="40" spans="1:13" s="791" customFormat="1" x14ac:dyDescent="0.25">
      <c r="A40" s="786"/>
      <c r="B40" s="820"/>
      <c r="C40" s="821"/>
      <c r="D40" s="822"/>
      <c r="E40" s="813"/>
      <c r="F40" s="823"/>
      <c r="G40" s="824">
        <f>SUM(G38:G39)</f>
        <v>2000</v>
      </c>
      <c r="H40" s="822"/>
      <c r="I40" s="822"/>
      <c r="J40" s="822"/>
      <c r="K40" s="825"/>
      <c r="M40" s="835">
        <f>SUM(M38:M39)</f>
        <v>2000</v>
      </c>
    </row>
    <row r="41" spans="1:13" s="791" customFormat="1" x14ac:dyDescent="0.25">
      <c r="A41" s="786"/>
      <c r="B41" s="1512" t="s">
        <v>303</v>
      </c>
      <c r="C41" s="1513"/>
      <c r="D41" s="1513"/>
      <c r="E41" s="1513"/>
      <c r="F41" s="1513"/>
      <c r="G41" s="1513"/>
      <c r="H41" s="1513"/>
      <c r="I41" s="1513"/>
      <c r="J41" s="1513"/>
      <c r="K41" s="1514"/>
      <c r="M41" s="834"/>
    </row>
    <row r="42" spans="1:13" s="791" customFormat="1" ht="45" x14ac:dyDescent="0.25">
      <c r="A42" s="786">
        <v>23</v>
      </c>
      <c r="B42" s="787" t="s">
        <v>304</v>
      </c>
      <c r="C42" s="788"/>
      <c r="D42" s="789" t="s">
        <v>305</v>
      </c>
      <c r="E42" s="787" t="s">
        <v>239</v>
      </c>
      <c r="F42" s="787"/>
      <c r="G42" s="809">
        <v>2000</v>
      </c>
      <c r="H42" s="787"/>
      <c r="I42" s="789"/>
      <c r="J42" s="790"/>
      <c r="K42" s="789"/>
      <c r="M42" s="834">
        <f>+G42+J42</f>
        <v>2000</v>
      </c>
    </row>
    <row r="43" spans="1:13" s="791" customFormat="1" ht="45" x14ac:dyDescent="0.25">
      <c r="A43" s="786">
        <v>24</v>
      </c>
      <c r="B43" s="787" t="s">
        <v>306</v>
      </c>
      <c r="C43" s="788"/>
      <c r="D43" s="789" t="s">
        <v>307</v>
      </c>
      <c r="E43" s="787" t="s">
        <v>239</v>
      </c>
      <c r="F43" s="787"/>
      <c r="G43" s="809">
        <v>2000</v>
      </c>
      <c r="H43" s="787"/>
      <c r="I43" s="789"/>
      <c r="J43" s="790"/>
      <c r="K43" s="789"/>
      <c r="M43" s="834">
        <f>+G43+J43</f>
        <v>2000</v>
      </c>
    </row>
    <row r="44" spans="1:13" s="791" customFormat="1" x14ac:dyDescent="0.25">
      <c r="A44" s="786"/>
      <c r="B44" s="787"/>
      <c r="C44" s="788"/>
      <c r="D44" s="789"/>
      <c r="E44" s="787"/>
      <c r="F44" s="787"/>
      <c r="G44" s="826">
        <f>SUM(G42:G43)</f>
        <v>4000</v>
      </c>
      <c r="H44" s="787"/>
      <c r="I44" s="789"/>
      <c r="J44" s="790"/>
      <c r="K44" s="789"/>
      <c r="M44" s="835">
        <f>SUM(M42:M43)</f>
        <v>4000</v>
      </c>
    </row>
    <row r="45" spans="1:13" x14ac:dyDescent="0.25">
      <c r="A45" s="1527" t="s">
        <v>18</v>
      </c>
      <c r="B45" s="1527"/>
      <c r="C45" s="1527"/>
      <c r="D45" s="1527"/>
      <c r="E45" s="1527"/>
      <c r="F45" s="1527"/>
      <c r="G45" s="827">
        <f>+G10+G11+G12+G13+G14+G15+G18+G19+G20+G21+G24+G25+G26+G29+G30+G31+G32+G33+G34+G35+G38+G39+G42+G43</f>
        <v>50000</v>
      </c>
      <c r="H45" s="1527" t="s">
        <v>18</v>
      </c>
      <c r="I45" s="1527"/>
      <c r="J45" s="799">
        <f>+J10+J11+J12+J13+J14+J15+J18+J19+J20+J21+J24+J25+J26+J29+J30+J31+J32+J33+J35+J38+J39+J34+J42+J43</f>
        <v>30200</v>
      </c>
      <c r="K45" s="837" t="s">
        <v>18</v>
      </c>
      <c r="M45" s="836">
        <f>+M44+M40+M36+M27+M22+M16</f>
        <v>80200</v>
      </c>
    </row>
    <row r="46" spans="1:13" ht="15.75" x14ac:dyDescent="0.25">
      <c r="B46" s="800" t="s">
        <v>308</v>
      </c>
      <c r="C46" s="801"/>
      <c r="D46" s="800"/>
      <c r="E46" s="800"/>
      <c r="F46" s="800"/>
      <c r="G46" s="828"/>
      <c r="H46" s="802" t="s">
        <v>309</v>
      </c>
      <c r="I46" s="802"/>
      <c r="J46" s="803"/>
      <c r="K46" s="802"/>
      <c r="L46" s="804"/>
    </row>
    <row r="47" spans="1:13" ht="15.75" x14ac:dyDescent="0.25">
      <c r="B47" s="800" t="s">
        <v>310</v>
      </c>
      <c r="C47" s="801"/>
      <c r="D47" s="800"/>
      <c r="E47" s="800"/>
      <c r="F47" s="800"/>
      <c r="G47" s="828"/>
      <c r="H47" s="1510" t="s">
        <v>311</v>
      </c>
      <c r="I47" s="1510"/>
      <c r="J47" s="1510"/>
      <c r="K47" s="1510"/>
      <c r="L47" s="1511"/>
    </row>
    <row r="48" spans="1:13" ht="15.75" x14ac:dyDescent="0.25">
      <c r="B48" s="800" t="s">
        <v>312</v>
      </c>
      <c r="C48" s="801"/>
      <c r="D48" s="800"/>
      <c r="E48" s="800"/>
      <c r="F48" s="800"/>
      <c r="G48" s="828"/>
    </row>
  </sheetData>
  <mergeCells count="23">
    <mergeCell ref="M7:M8"/>
    <mergeCell ref="B23:K23"/>
    <mergeCell ref="B28:K28"/>
    <mergeCell ref="B41:K41"/>
    <mergeCell ref="A45:F45"/>
    <mergeCell ref="H45:I45"/>
    <mergeCell ref="H47:L47"/>
    <mergeCell ref="B37:K37"/>
    <mergeCell ref="I7:I8"/>
    <mergeCell ref="J7:J8"/>
    <mergeCell ref="K7:K8"/>
    <mergeCell ref="A9:K9"/>
    <mergeCell ref="B17:K17"/>
    <mergeCell ref="B2:K2"/>
    <mergeCell ref="B4:K4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11 programa</vt:lpstr>
      <vt:lpstr>Aiškinamoji lentelė</vt:lpstr>
      <vt:lpstr>Sporto renginiai</vt:lpstr>
      <vt:lpstr>LOF raštas</vt:lpstr>
      <vt:lpstr>'11 programa'!Print_Area</vt:lpstr>
      <vt:lpstr>'Aiškinamoji lentelė'!Print_Area</vt:lpstr>
      <vt:lpstr>'11 programa'!Print_Titles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Lietute Demidova</cp:lastModifiedBy>
  <cp:lastPrinted>2019-01-31T15:05:11Z</cp:lastPrinted>
  <dcterms:created xsi:type="dcterms:W3CDTF">2015-11-25T08:18:21Z</dcterms:created>
  <dcterms:modified xsi:type="dcterms:W3CDTF">2019-02-05T07:18:25Z</dcterms:modified>
</cp:coreProperties>
</file>