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0" yWindow="0" windowWidth="20490" windowHeight="7755"/>
  </bookViews>
  <sheets>
    <sheet name="Projektų sąrašas " sheetId="1" r:id="rId1"/>
    <sheet name="lyginamasis variantas" sheetId="4" state="hidden" r:id="rId2"/>
  </sheets>
  <definedNames>
    <definedName name="_xlnm.Print_Area" localSheetId="1">'lyginamasis variantas'!$A$1:$N$185</definedName>
    <definedName name="_xlnm.Print_Area" localSheetId="0">'Projektų sąrašas '!$A$1:$L$147</definedName>
    <definedName name="_xlnm.Print_Titles" localSheetId="1">'lyginamasis variantas'!$8:$9</definedName>
    <definedName name="_xlnm.Print_Titles" localSheetId="0">'Projektų sąrašas '!$9:$10</definedName>
  </definedNames>
  <calcPr calcId="162913"/>
</workbook>
</file>

<file path=xl/calcChain.xml><?xml version="1.0" encoding="utf-8"?>
<calcChain xmlns="http://schemas.openxmlformats.org/spreadsheetml/2006/main">
  <c r="H121" i="1" l="1"/>
  <c r="G120" i="1"/>
  <c r="G119" i="1"/>
  <c r="I95" i="1" l="1"/>
  <c r="J95" i="1"/>
  <c r="K95" i="1"/>
  <c r="L95" i="1"/>
  <c r="H91" i="1"/>
  <c r="H95" i="1" s="1"/>
  <c r="I72" i="1" l="1"/>
  <c r="J72" i="1"/>
  <c r="K72" i="1"/>
  <c r="J32" i="1"/>
  <c r="K32" i="1"/>
  <c r="L32" i="1"/>
  <c r="G31" i="1"/>
  <c r="G90" i="1" l="1"/>
  <c r="G19" i="1" l="1"/>
  <c r="G140" i="1" l="1"/>
  <c r="G81" i="1" l="1"/>
  <c r="G79" i="1"/>
  <c r="H109" i="1" l="1"/>
  <c r="G109" i="1" s="1"/>
  <c r="H70" i="1" l="1"/>
  <c r="G114" i="1" l="1"/>
  <c r="G113" i="1"/>
  <c r="G128" i="1" l="1"/>
  <c r="G127" i="1"/>
  <c r="G126" i="1"/>
  <c r="G125" i="1"/>
  <c r="G124" i="1"/>
  <c r="G62" i="1" l="1"/>
  <c r="G50" i="1" l="1"/>
  <c r="I30" i="1" l="1"/>
  <c r="I32" i="1" s="1"/>
  <c r="H30" i="1"/>
  <c r="H32" i="1" s="1"/>
  <c r="G70" i="1" l="1"/>
  <c r="G78" i="1" l="1"/>
  <c r="G76" i="1"/>
  <c r="G57" i="1" l="1"/>
  <c r="G91" i="1" l="1"/>
  <c r="G82" i="1" l="1"/>
  <c r="G74" i="1" l="1"/>
  <c r="G84" i="1"/>
  <c r="G85" i="1"/>
  <c r="G86" i="1"/>
  <c r="G87" i="1"/>
  <c r="G88" i="1"/>
  <c r="G89" i="1"/>
  <c r="G93" i="1"/>
  <c r="G94" i="1"/>
  <c r="G83" i="1"/>
  <c r="G92" i="1" l="1"/>
  <c r="G77" i="1"/>
  <c r="G80" i="1"/>
  <c r="H67" i="1"/>
  <c r="G63" i="1" l="1"/>
  <c r="G60" i="1"/>
  <c r="G58" i="1"/>
  <c r="G56" i="1"/>
  <c r="H55" i="1"/>
  <c r="H72" i="1" s="1"/>
  <c r="G53" i="1"/>
  <c r="L52" i="1"/>
  <c r="G52" i="1" s="1"/>
  <c r="L47" i="1"/>
  <c r="L72" i="1" s="1"/>
  <c r="G47" i="1" l="1"/>
  <c r="G40" i="1"/>
  <c r="G39" i="1"/>
  <c r="G37" i="1"/>
  <c r="G141" i="1" l="1"/>
  <c r="G132" i="1"/>
  <c r="G107" i="1"/>
  <c r="G102" i="1"/>
  <c r="G101" i="1"/>
  <c r="G100" i="1"/>
  <c r="G29" i="1" l="1"/>
  <c r="H175" i="4" l="1"/>
  <c r="J182" i="4" l="1"/>
  <c r="K182" i="4"/>
  <c r="L182" i="4"/>
  <c r="M182" i="4"/>
  <c r="I182" i="4"/>
  <c r="I175" i="4"/>
  <c r="J118" i="4" l="1"/>
  <c r="I151" i="4"/>
  <c r="H15" i="4"/>
  <c r="G15" i="1" l="1"/>
  <c r="I162" i="4" l="1"/>
  <c r="H68" i="4" l="1"/>
  <c r="G106" i="1" l="1"/>
  <c r="H131" i="4" l="1"/>
  <c r="I89" i="4" l="1"/>
  <c r="J89" i="4"/>
  <c r="K89" i="4"/>
  <c r="L89" i="4"/>
  <c r="M89" i="4"/>
  <c r="H86" i="4"/>
  <c r="H85" i="4" l="1"/>
  <c r="I14" i="4" l="1"/>
  <c r="J18" i="4" l="1"/>
  <c r="K18" i="4"/>
  <c r="L18" i="4"/>
  <c r="M18" i="4"/>
  <c r="J162" i="4"/>
  <c r="L162" i="4"/>
  <c r="M162" i="4"/>
  <c r="H156" i="4"/>
  <c r="J151" i="4"/>
  <c r="K151" i="4"/>
  <c r="L151" i="4"/>
  <c r="M151" i="4"/>
  <c r="H144" i="4"/>
  <c r="H129" i="4"/>
  <c r="K118" i="4" l="1"/>
  <c r="L118" i="4"/>
  <c r="M118" i="4"/>
  <c r="H105" i="4"/>
  <c r="H102" i="4"/>
  <c r="J34" i="4"/>
  <c r="K34" i="4"/>
  <c r="L34" i="4"/>
  <c r="G22" i="1" l="1"/>
  <c r="H25" i="4"/>
  <c r="H53" i="4" l="1"/>
  <c r="H51" i="4"/>
  <c r="H52" i="4"/>
  <c r="H50" i="4"/>
  <c r="I96" i="4" l="1"/>
  <c r="I95" i="4" l="1"/>
  <c r="H96" i="4"/>
  <c r="H95" i="4" l="1"/>
  <c r="I28" i="4"/>
  <c r="I21" i="4"/>
  <c r="H21" i="4" l="1"/>
  <c r="H69" i="4"/>
  <c r="H129" i="1" l="1"/>
  <c r="I129" i="1"/>
  <c r="K129" i="1"/>
  <c r="L129" i="1"/>
  <c r="I18" i="4" l="1"/>
  <c r="H16" i="4" l="1"/>
  <c r="G55" i="1"/>
  <c r="G44" i="1"/>
  <c r="H45" i="4"/>
  <c r="H67" i="4" l="1"/>
  <c r="H60" i="4"/>
  <c r="H55" i="4"/>
  <c r="H144" i="1" l="1"/>
  <c r="I144" i="1"/>
  <c r="J144" i="1"/>
  <c r="K144" i="1"/>
  <c r="L144" i="1"/>
  <c r="I138" i="1"/>
  <c r="J138" i="1"/>
  <c r="K138" i="1"/>
  <c r="L138" i="1"/>
  <c r="H171" i="4" l="1"/>
  <c r="I121" i="1" l="1"/>
  <c r="J121" i="1"/>
  <c r="K121" i="1"/>
  <c r="L121" i="1"/>
  <c r="H134" i="4"/>
  <c r="H150" i="4"/>
  <c r="H149" i="4"/>
  <c r="J126" i="4" l="1"/>
  <c r="K126" i="4"/>
  <c r="L126" i="4"/>
  <c r="M126" i="4"/>
  <c r="I103" i="1"/>
  <c r="J103" i="1"/>
  <c r="K103" i="1"/>
  <c r="L103" i="1"/>
  <c r="H103" i="1"/>
  <c r="H125" i="4"/>
  <c r="I124" i="4"/>
  <c r="H124" i="4" s="1"/>
  <c r="I126" i="4" l="1"/>
  <c r="H106" i="4"/>
  <c r="H177" i="4" l="1"/>
  <c r="H178" i="4"/>
  <c r="H180" i="4"/>
  <c r="H174" i="4"/>
  <c r="H168" i="4"/>
  <c r="H167" i="4"/>
  <c r="H166" i="4"/>
  <c r="H155" i="4"/>
  <c r="H157" i="4"/>
  <c r="H158" i="4"/>
  <c r="H159" i="4"/>
  <c r="H160" i="4"/>
  <c r="H130" i="4"/>
  <c r="H120" i="4"/>
  <c r="H104" i="4"/>
  <c r="H108" i="4"/>
  <c r="H109" i="4"/>
  <c r="H110" i="4"/>
  <c r="H111" i="4"/>
  <c r="H113" i="4"/>
  <c r="H114" i="4"/>
  <c r="H116" i="4"/>
  <c r="H117" i="4"/>
  <c r="H94" i="4"/>
  <c r="H97" i="4"/>
  <c r="H98" i="4"/>
  <c r="H99" i="4"/>
  <c r="H100" i="4"/>
  <c r="H64" i="4"/>
  <c r="H65" i="4" s="1"/>
  <c r="H66" i="4"/>
  <c r="H71" i="4"/>
  <c r="H72" i="4"/>
  <c r="H74" i="4"/>
  <c r="H75" i="4"/>
  <c r="H76" i="4"/>
  <c r="H78" i="4"/>
  <c r="H79" i="4"/>
  <c r="H80" i="4"/>
  <c r="H82" i="4"/>
  <c r="H83" i="4"/>
  <c r="H84" i="4"/>
  <c r="H87" i="4"/>
  <c r="H88" i="4"/>
  <c r="H63" i="4"/>
  <c r="H61" i="4"/>
  <c r="H59" i="4"/>
  <c r="H54" i="4"/>
  <c r="H56" i="4"/>
  <c r="H57" i="4"/>
  <c r="H46" i="4"/>
  <c r="H47" i="4"/>
  <c r="H44" i="4"/>
  <c r="H42" i="4"/>
  <c r="H38" i="4"/>
  <c r="H39" i="4"/>
  <c r="H40" i="4"/>
  <c r="H41" i="4"/>
  <c r="H37" i="4"/>
  <c r="H22" i="4"/>
  <c r="H24" i="4"/>
  <c r="H26" i="4"/>
  <c r="H27" i="4"/>
  <c r="H28" i="4"/>
  <c r="H30" i="4"/>
  <c r="H31" i="4"/>
  <c r="H32" i="4"/>
  <c r="H33" i="4"/>
  <c r="H20" i="4"/>
  <c r="H17" i="4"/>
  <c r="H13" i="4"/>
  <c r="H14" i="4"/>
  <c r="H18" i="4" s="1"/>
  <c r="H12" i="4"/>
  <c r="G13" i="1"/>
  <c r="M183" i="4"/>
  <c r="M172" i="4"/>
  <c r="M23" i="4"/>
  <c r="M34" i="4" s="1"/>
  <c r="H89" i="4" l="1"/>
  <c r="H182" i="4"/>
  <c r="H172" i="4"/>
  <c r="L172" i="4"/>
  <c r="K172" i="4"/>
  <c r="J172" i="4"/>
  <c r="I165" i="4"/>
  <c r="I172" i="4" s="1"/>
  <c r="K154" i="4"/>
  <c r="K162" i="4" s="1"/>
  <c r="H148" i="4"/>
  <c r="H146" i="4"/>
  <c r="H145" i="4"/>
  <c r="H143" i="4"/>
  <c r="H140" i="4"/>
  <c r="H138" i="4"/>
  <c r="I137" i="4"/>
  <c r="H133" i="4"/>
  <c r="H128" i="4"/>
  <c r="H123" i="4"/>
  <c r="H122" i="4"/>
  <c r="I115" i="4"/>
  <c r="H115" i="4" s="1"/>
  <c r="I93" i="4"/>
  <c r="H93" i="4" s="1"/>
  <c r="I92" i="4"/>
  <c r="I23" i="4"/>
  <c r="I34" i="4" s="1"/>
  <c r="G14" i="1"/>
  <c r="G16" i="1"/>
  <c r="H17" i="1"/>
  <c r="I17" i="1"/>
  <c r="J17" i="1"/>
  <c r="K17" i="1"/>
  <c r="L17" i="1"/>
  <c r="L145" i="1" s="1"/>
  <c r="G20" i="1"/>
  <c r="G23" i="1"/>
  <c r="G24" i="1"/>
  <c r="G26" i="1"/>
  <c r="G30" i="1"/>
  <c r="G35" i="1"/>
  <c r="G36" i="1"/>
  <c r="G45" i="1"/>
  <c r="G61" i="1"/>
  <c r="G64" i="1"/>
  <c r="G65" i="1"/>
  <c r="G67" i="1"/>
  <c r="G68" i="1"/>
  <c r="G69" i="1"/>
  <c r="G71" i="1"/>
  <c r="G75" i="1"/>
  <c r="G95" i="1" s="1"/>
  <c r="G97" i="1"/>
  <c r="G99" i="1"/>
  <c r="G105" i="1"/>
  <c r="G110" i="1"/>
  <c r="G115" i="1"/>
  <c r="G116" i="1"/>
  <c r="G118" i="1"/>
  <c r="H138" i="1"/>
  <c r="G133" i="1"/>
  <c r="G134" i="1"/>
  <c r="G135" i="1"/>
  <c r="G72" i="1" l="1"/>
  <c r="G17" i="1"/>
  <c r="H145" i="1"/>
  <c r="G103" i="1"/>
  <c r="I145" i="1"/>
  <c r="I118" i="4"/>
  <c r="H126" i="4"/>
  <c r="G129" i="1"/>
  <c r="J129" i="1"/>
  <c r="J145" i="1" s="1"/>
  <c r="H137" i="4"/>
  <c r="H151" i="4" s="1"/>
  <c r="H23" i="4"/>
  <c r="H34" i="4" s="1"/>
  <c r="H154" i="4"/>
  <c r="H162" i="4" s="1"/>
  <c r="G144" i="1"/>
  <c r="G21" i="1"/>
  <c r="G32" i="1" s="1"/>
  <c r="G138" i="1"/>
  <c r="K145" i="1"/>
  <c r="J183" i="4"/>
  <c r="G121" i="1"/>
  <c r="L183" i="4"/>
  <c r="H92" i="4"/>
  <c r="H118" i="4" s="1"/>
  <c r="K183" i="4"/>
  <c r="G145" i="1" l="1"/>
  <c r="I183" i="4"/>
  <c r="H183" i="4"/>
</calcChain>
</file>

<file path=xl/comments1.xml><?xml version="1.0" encoding="utf-8"?>
<comments xmlns="http://schemas.openxmlformats.org/spreadsheetml/2006/main">
  <authors>
    <author>Regina Intienė</author>
    <author>Audra Cepiene</author>
    <author>Saulina Paulauskiene</author>
  </authors>
  <commentList>
    <comment ref="G81" authorId="0"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H82" authorId="1" shapeId="0">
      <text>
        <r>
          <rPr>
            <sz val="9"/>
            <color indexed="81"/>
            <rFont val="Tahoma"/>
            <family val="2"/>
            <charset val="186"/>
          </rPr>
          <t>14.792,02 (2018 m.)+127.300 (2019 m.)+ 116.500 (2020 m.) + 130.000 (2021 m.)=388.592,02</t>
        </r>
      </text>
    </comment>
    <comment ref="B91" authorId="1"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panaudota 1.101.120,96 Eur SB
</t>
        </r>
      </text>
    </comment>
    <comment ref="H91" authorId="1"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H92" authorId="0" shapeId="0">
      <text>
        <r>
          <rPr>
            <sz val="9"/>
            <color indexed="81"/>
            <rFont val="Tahoma"/>
            <family val="2"/>
            <charset val="186"/>
          </rPr>
          <t>2016 m. panaudota 67.321,98 Eur, 2017 m. 84.119,06 Eur, 2018 m. 91.842,90. 2019 m. planuojama suma 323.900 Eur, 2020 m. -200.000 Eur, 2021 m. 200.000 Eur.</t>
        </r>
      </text>
    </comment>
    <comment ref="H109" authorId="2" shapeId="0">
      <text>
        <r>
          <rPr>
            <b/>
            <sz val="9"/>
            <color indexed="81"/>
            <rFont val="Tahoma"/>
            <family val="2"/>
            <charset val="186"/>
          </rPr>
          <t>Saulina Paulauskiene:</t>
        </r>
        <r>
          <rPr>
            <sz val="9"/>
            <color indexed="81"/>
            <rFont val="Tahoma"/>
            <family val="2"/>
            <charset val="186"/>
          </rPr>
          <t xml:space="preserve">
2018 m. 16335,00 Eur</t>
        </r>
      </text>
    </comment>
  </commentList>
</comments>
</file>

<file path=xl/comments2.xml><?xml version="1.0" encoding="utf-8"?>
<comments xmlns="http://schemas.openxmlformats.org/spreadsheetml/2006/main">
  <authors>
    <author>Audra Cepiene</author>
  </authors>
  <commentList>
    <comment ref="I31" authorId="0" shapeId="0">
      <text>
        <r>
          <rPr>
            <sz val="9"/>
            <color indexed="81"/>
            <rFont val="Tahoma"/>
            <family val="2"/>
            <charset val="186"/>
          </rPr>
          <t xml:space="preserve">Lešos techniniam pasiūlymui ir projektui parengti
</t>
        </r>
      </text>
    </comment>
    <comment ref="H49" authorId="0" shapeId="0">
      <text>
        <r>
          <rPr>
            <b/>
            <sz val="9"/>
            <color indexed="81"/>
            <rFont val="Tahoma"/>
            <family val="2"/>
            <charset val="186"/>
          </rPr>
          <t>projekto vertė 5,5 tūkst. eur</t>
        </r>
      </text>
    </comment>
    <comment ref="C99" authorId="0" shapeId="0">
      <text>
        <r>
          <rPr>
            <sz val="9"/>
            <color indexed="81"/>
            <rFont val="Tahoma"/>
            <family val="2"/>
            <charset val="186"/>
          </rPr>
          <t>Klaipėdos miesto savivaldybės administracijos direktoriaus 2017 m. birželio 9 d.                                                          įsakymo  Nr. AD1-1502  redakcija</t>
        </r>
      </text>
    </comment>
    <comment ref="H183" authorId="0" shapeId="0">
      <text>
        <r>
          <rPr>
            <b/>
            <sz val="9"/>
            <color indexed="81"/>
            <rFont val="Tahoma"/>
            <family val="2"/>
            <charset val="186"/>
          </rPr>
          <t xml:space="preserve">įvesta formulė
</t>
        </r>
        <r>
          <rPr>
            <sz val="9"/>
            <color indexed="81"/>
            <rFont val="Tahoma"/>
            <family val="2"/>
            <charset val="186"/>
          </rPr>
          <t xml:space="preserve">
</t>
        </r>
      </text>
    </comment>
  </commentList>
</comments>
</file>

<file path=xl/sharedStrings.xml><?xml version="1.0" encoding="utf-8"?>
<sst xmlns="http://schemas.openxmlformats.org/spreadsheetml/2006/main" count="1186" uniqueCount="491">
  <si>
    <t>Investicijų projekto pavadinimas</t>
  </si>
  <si>
    <t>Savivaldybės biudžeto lėšų poreikis</t>
  </si>
  <si>
    <t>Europos Sąjungos ir kita tarptautinė finansinė parama</t>
  </si>
  <si>
    <t>Lietuvos Respublikos valstybės biudžeto lėšų poreikis</t>
  </si>
  <si>
    <t>Kelių priežiūros ir plėtros programos lėšos</t>
  </si>
  <si>
    <t>pradžia</t>
  </si>
  <si>
    <t>pabaiga</t>
  </si>
  <si>
    <t>SB</t>
  </si>
  <si>
    <t>ES</t>
  </si>
  <si>
    <t xml:space="preserve">VB </t>
  </si>
  <si>
    <t>KPPP</t>
  </si>
  <si>
    <r>
      <t>Naujo tilto</t>
    </r>
    <r>
      <rPr>
        <sz val="10"/>
        <color theme="1"/>
        <rFont val="Times New Roman"/>
        <family val="1"/>
        <charset val="186"/>
      </rPr>
      <t xml:space="preserve"> su pakeliamu mechanizmu per Danę statyba ir prieigų sutvarkymas Danės pakrantėje </t>
    </r>
  </si>
  <si>
    <t>06 programa. Susisiekimo sistemos priežiūros ir plėtros programa</t>
  </si>
  <si>
    <t xml:space="preserve">Danės g. rekonstravimas (siekiant racionaliai suplanuoti jungtis su Bastionų g., nauju tiltu per Danės upę ir Artojų g.) </t>
  </si>
  <si>
    <t>Joniškės g. rekonstravimas (II etapas – nuo Klemiškės g. iki Liepų g., Šienpjovių g.)</t>
  </si>
  <si>
    <t>010304</t>
  </si>
  <si>
    <t>010305</t>
  </si>
  <si>
    <t>02 programa. Subalansuoto turizmo skatinimo ir vystymo programa</t>
  </si>
  <si>
    <t>020101</t>
  </si>
  <si>
    <t>020102</t>
  </si>
  <si>
    <t>020103</t>
  </si>
  <si>
    <t xml:space="preserve">Bastionų komplekso (Jono kalnelio) ir jo prieigų sutvarkymas, sukuriant išskirtinį kultūros ir turizmo traukos centrą bei skatinant smulkųjį ir vidutinį verslą </t>
  </si>
  <si>
    <t>Eur</t>
  </si>
  <si>
    <t>Įgyvendinimo terminai</t>
  </si>
  <si>
    <t>Programos priemonės kodas</t>
  </si>
  <si>
    <t>Iš viso:</t>
  </si>
  <si>
    <t>Bendra projekto vertė</t>
  </si>
  <si>
    <t>05 programa. Aplinkos apsaugos programa</t>
  </si>
  <si>
    <t>010104</t>
  </si>
  <si>
    <t>Oro taršos kietosiomis dalelėmis mažinimas, atnaujinant gatvių priežiūros ir valymo technologijas</t>
  </si>
  <si>
    <t>010105</t>
  </si>
  <si>
    <t>010401</t>
  </si>
  <si>
    <t>010402</t>
  </si>
  <si>
    <t xml:space="preserve">Sąjūdžio parko reprezentacinės dalies ir prieigų sutvarkymas </t>
  </si>
  <si>
    <t>010303</t>
  </si>
  <si>
    <t>Asignavimų valdytojo kodas</t>
  </si>
  <si>
    <t>5-</t>
  </si>
  <si>
    <t>4-</t>
  </si>
  <si>
    <t>6-</t>
  </si>
  <si>
    <t>Kitos lėšos</t>
  </si>
  <si>
    <t>01030202</t>
  </si>
  <si>
    <t>01030201</t>
  </si>
  <si>
    <t>2019</t>
  </si>
  <si>
    <t>5</t>
  </si>
  <si>
    <t>01010102</t>
  </si>
  <si>
    <t>01010101</t>
  </si>
  <si>
    <t>01010103</t>
  </si>
  <si>
    <t>01010104</t>
  </si>
  <si>
    <t>2016</t>
  </si>
  <si>
    <t>2020</t>
  </si>
  <si>
    <t>Atsakingas asmuo</t>
  </si>
  <si>
    <t xml:space="preserve">Finansavimo sutarties Nr. / Institucija su kuria sudaryta sutartis
</t>
  </si>
  <si>
    <t>01010105</t>
  </si>
  <si>
    <t>Pajūrio g. rekonstravimas</t>
  </si>
  <si>
    <t>01010201</t>
  </si>
  <si>
    <t>01010202</t>
  </si>
  <si>
    <t>01010203</t>
  </si>
  <si>
    <t>01010301</t>
  </si>
  <si>
    <t xml:space="preserve">II etapas. Žiedinės Tilžės g., Mokyklos g. ir Šilutės pl. sankryžos pertvarkymas į šviesoforinę </t>
  </si>
  <si>
    <t>01010302</t>
  </si>
  <si>
    <t>Neeksploatuojamų požeminių perėjų Šilutės pl. rekonstravimas</t>
  </si>
  <si>
    <t>01010303</t>
  </si>
  <si>
    <t>01010401</t>
  </si>
  <si>
    <t>01010402</t>
  </si>
  <si>
    <t>Savanorių g. rekonstravimas</t>
  </si>
  <si>
    <t>01010403</t>
  </si>
  <si>
    <t>Statybininkų prospekto tęsinio tiesimas nuo Šilutės pl. per LEZ teritoriją iki 141 kelio: II etapas – Lypkių gatvės ruožo nuo Šilutės plento tiesimas</t>
  </si>
  <si>
    <t>01010501</t>
  </si>
  <si>
    <t>01010502</t>
  </si>
  <si>
    <t>01010503</t>
  </si>
  <si>
    <t>Švyturio gatvės rekonstravimo projekto parengimas ir įgyvendinimas (I etapas – nuo Naujosios Uosto g. iki Malūnininkų g.)</t>
  </si>
  <si>
    <t>01010601</t>
  </si>
  <si>
    <t>010202</t>
  </si>
  <si>
    <t>Klaipėdos miesto viešojo transporto atnaujinimas (autobusų įsigijimas)</t>
  </si>
  <si>
    <t>010203</t>
  </si>
  <si>
    <t>01030104</t>
  </si>
  <si>
    <t>01030106</t>
  </si>
  <si>
    <t>6</t>
  </si>
  <si>
    <t>010302</t>
  </si>
  <si>
    <t>Privažiuojamojo kelio prie pastato Debreceno g. 48  įrengimas ir pastato aplinkos sutvarkymas</t>
  </si>
  <si>
    <t>Aikštės prie Santuokų rūmų atnaujinimas</t>
  </si>
  <si>
    <t>Skvero tarp Puodžių g. ir Bokštų g., skirto Vydūno paminklui įrengti, sutvarkymas</t>
  </si>
  <si>
    <t>Skvero Bokštų gatvėje sutvarkymas</t>
  </si>
  <si>
    <t>Pėsčiųjų tako tarp Gedminų g. ir Taikos pr. (nuo Nr. 109) atnaujinimas (Debreceno mikrorajonas)</t>
  </si>
  <si>
    <t>010106</t>
  </si>
  <si>
    <t>010107</t>
  </si>
  <si>
    <t>Ąžuolyno giraitės sutvarkymas, gerinant gamtinę aplinką ir skatinant aktyvų laisvalaikį ir lankytojų srautus</t>
  </si>
  <si>
    <t>01010701</t>
  </si>
  <si>
    <t>01010702</t>
  </si>
  <si>
    <t>01010703</t>
  </si>
  <si>
    <t>01010706</t>
  </si>
  <si>
    <t>01010707</t>
  </si>
  <si>
    <t>01010708</t>
  </si>
  <si>
    <t>2018</t>
  </si>
  <si>
    <t>2017</t>
  </si>
  <si>
    <t>47,4 ha Medelyno gyvenamojo rajono infrastruktūros išvystymas. I etapas</t>
  </si>
  <si>
    <t>Bendrojo ugdymo mokyklos pastato statyba šiaurinėje miesto dalyje</t>
  </si>
  <si>
    <t>Ikimokyklinio ugdymo mokyklų pastatų modernizavimas ir plėtra:</t>
  </si>
  <si>
    <t>D.Šakinienė</t>
  </si>
  <si>
    <t xml:space="preserve">Klaipėdos karalienės Luizės jaunimo centro (Puodžių g.) modernizavimas, plėtojant neformaliojo ugdymosi galimybes </t>
  </si>
  <si>
    <t xml:space="preserve">Sporto bazių modernizavimas ir plėtra:
</t>
  </si>
  <si>
    <t>Klaipėdos  daugiafunkcio sveikatingumo centro statyba</t>
  </si>
  <si>
    <t>G. Dovidaitis</t>
  </si>
  <si>
    <t xml:space="preserve">Irklavimo bazės (Gluosnių skg. 8) modernizavimas </t>
  </si>
  <si>
    <t>Naujos sporto salės statyba</t>
  </si>
  <si>
    <t>Teikiamų socialinių paslaugų infrastruktūros tobulinimas siekiant atitikti keliamus reikalavimus:</t>
  </si>
  <si>
    <t xml:space="preserve">Laikino apnakvindinimo namų steigimas </t>
  </si>
  <si>
    <t>Laikino apgyvendinimo namų infrastruktūros modernizavimas (Šilutės pl. 8, nakvynės namai)</t>
  </si>
  <si>
    <t>Socialinio būsto fondo plėtra:</t>
  </si>
  <si>
    <t>Pastato Taikos pr. 76 modernizavimas (pastato lauko sienų apšiltinimas, laiptinių remontas)</t>
  </si>
  <si>
    <t xml:space="preserve">08 programa. Kultūros plėtros programa </t>
  </si>
  <si>
    <t>10 programa. Ugdymo proceso užtikrinimo programa</t>
  </si>
  <si>
    <t>01020402</t>
  </si>
  <si>
    <t>01020403</t>
  </si>
  <si>
    <t>01020407</t>
  </si>
  <si>
    <t>02010101</t>
  </si>
  <si>
    <t>02010104</t>
  </si>
  <si>
    <t>02010106</t>
  </si>
  <si>
    <t>02010107</t>
  </si>
  <si>
    <t>02010108</t>
  </si>
  <si>
    <t>02010109</t>
  </si>
  <si>
    <t>02010201</t>
  </si>
  <si>
    <t>02010202</t>
  </si>
  <si>
    <t>02010203</t>
  </si>
  <si>
    <t>02010301</t>
  </si>
  <si>
    <t>02010302</t>
  </si>
  <si>
    <t>02010303</t>
  </si>
  <si>
    <t>010301</t>
  </si>
  <si>
    <t>01030203</t>
  </si>
  <si>
    <t>01030207</t>
  </si>
  <si>
    <t>01030102</t>
  </si>
  <si>
    <t>01030107</t>
  </si>
  <si>
    <t>01030108</t>
  </si>
  <si>
    <t>01040102</t>
  </si>
  <si>
    <t>07 programa. Miesto infrastruktūros objektų priežiūros ir modernizavimo programa</t>
  </si>
  <si>
    <t>11 programa. Kūno kultūros ir sporto plėtros programa</t>
  </si>
  <si>
    <t>12 programa. Socialinės atskirties mažinimo programa</t>
  </si>
  <si>
    <t>13 programa. Sveikatos apsaugos programa</t>
  </si>
  <si>
    <t>010101</t>
  </si>
  <si>
    <t>Miesto aikščių, skverų ir kitų bendro naudojimo teritorijų atnaujinimas ir priežiūra:</t>
  </si>
  <si>
    <t>Klaipėdos miesto  2014–2020 m. integruotų investicijų programos projektų įgyvendinimas:</t>
  </si>
  <si>
    <t>Centrinės miesto dalies gatvių tinklo modernizavimas:</t>
  </si>
  <si>
    <t>Šiaurinės miesto dalies gatvių tinklo modernizavimas:</t>
  </si>
  <si>
    <t>010102</t>
  </si>
  <si>
    <t>Šiaurės ir pietų transporto koridorių gatvių tinklo modernizavimas:</t>
  </si>
  <si>
    <t>010103</t>
  </si>
  <si>
    <t>Pajūrio rekreacinių teritorijų gatvių tinklo modernizavimas:</t>
  </si>
  <si>
    <t>Rytų ir vakarų krypties gatvių tinklo modernizavimas:</t>
  </si>
  <si>
    <t>Eismo srautų reguliavimo ir saugumo priemonių įgyvendinimas:</t>
  </si>
  <si>
    <t>2014</t>
  </si>
  <si>
    <t>Klaipėdos miesto paplūdimių sutvarkymo priemonių 2016–2019 metų plano įgyvendinimas</t>
  </si>
  <si>
    <t>LKAB „Klaipėdos Smeltė“ 2013 m. balandžio 26 d. partnerystės sutartis  Nr. J9-470</t>
  </si>
  <si>
    <t>2013</t>
  </si>
  <si>
    <t>N. Vedeikienė</t>
  </si>
  <si>
    <t>J. Rimkienė</t>
  </si>
  <si>
    <t>Pasirašoma kas met nauja sutartis einamiems metams</t>
  </si>
  <si>
    <t>Sutartis nepasirašyta/CPVA agentūra</t>
  </si>
  <si>
    <t>D. Stankevičienė</t>
  </si>
  <si>
    <t>R. Dekėrytė</t>
  </si>
  <si>
    <t>E. Čerbienė</t>
  </si>
  <si>
    <t>J. Dumbauskaitė</t>
  </si>
  <si>
    <t>J. Vorobjova</t>
  </si>
  <si>
    <t>2015</t>
  </si>
  <si>
    <t>2021</t>
  </si>
  <si>
    <t>V. Švedas</t>
  </si>
  <si>
    <t>I. Gustaitienė</t>
  </si>
  <si>
    <t>R. Stasiulis</t>
  </si>
  <si>
    <t>V. Lendraitienė</t>
  </si>
  <si>
    <t>2022</t>
  </si>
  <si>
    <t>V. Varnaitė</t>
  </si>
  <si>
    <t>2023</t>
  </si>
  <si>
    <t>A. Orentienė</t>
  </si>
  <si>
    <t>Nepasirašyta</t>
  </si>
  <si>
    <t>D. Šakinienė</t>
  </si>
  <si>
    <t>Kt</t>
  </si>
  <si>
    <r>
      <rPr>
        <b/>
        <sz val="12"/>
        <rFont val="Times New Roman"/>
        <family val="1"/>
        <charset val="186"/>
      </rPr>
      <t xml:space="preserve">INVESTICINIŲ </t>
    </r>
    <r>
      <rPr>
        <b/>
        <sz val="12"/>
        <color theme="1"/>
        <rFont val="Times New Roman"/>
        <family val="1"/>
        <charset val="186"/>
      </rPr>
      <t xml:space="preserve"> PROJEKTŲ SĄRAŠAS</t>
    </r>
  </si>
  <si>
    <t>Fachverkinės architektūros pastatų komplekso (Bažnyčių g. 4 / Daržų g. 10, Bažnyčių g. 6, Vežėjų g. 4, Aukštoji g. 1 / Didžioji Vandens g. 2) tvarkyba</t>
  </si>
  <si>
    <t>Iš viso investiciniams projektams įgyvendinti:</t>
  </si>
  <si>
    <t>Tilžės g. nuo Šilutės pl. iki geležinkelio pervažos rekonstravimas, pertvarkant žiedinę Mokyklos g. ir Šilutės pl. sankryžą</t>
  </si>
  <si>
    <t xml:space="preserve">I etapas. Tilžės g. nuo Šilutės pl. iki geležinkelio pervažos rekonstravimas </t>
  </si>
  <si>
    <t>Neformaliojo švietimo įstaigų pastatų rekonstravimas:</t>
  </si>
  <si>
    <t>Nakvynės namų pastato (Viršutinė g. 21) rekonstravimas</t>
  </si>
  <si>
    <t xml:space="preserve">VšĮ Klaipėdos universitetinės ligoninės dalies pastato Liepojos g. 39 rekonstravimas </t>
  </si>
  <si>
    <t>Sakurų parko įrengimas teritorijoje tarp Žvejų rūmų, Taikos pr., Naikupės g. ir įvažiuojamojo kelio į Žvejų rūmus</t>
  </si>
  <si>
    <r>
      <rPr>
        <b/>
        <sz val="10"/>
        <color theme="1"/>
        <rFont val="Times New Roman"/>
        <family val="1"/>
        <charset val="186"/>
      </rPr>
      <t>Bastionų gatvės tiesimas:</t>
    </r>
    <r>
      <rPr>
        <sz val="10"/>
        <color theme="1"/>
        <rFont val="Times New Roman"/>
        <family val="1"/>
        <charset val="186"/>
      </rPr>
      <t xml:space="preserve"> I etapo Bastionų g. nuo Danės g. iki Danės upės ir nuo Danės upės iki Gluosnių g. tiesimas ir II etapo Bastionų g. nuo Gluosnių g. iki Bangų g. tiesimas</t>
    </r>
  </si>
  <si>
    <t xml:space="preserve">Naujo įvažiuojamojo kelio (Priešpilio g.) į piliavietę ir Kruizinių laivų terminalą tiesimas </t>
  </si>
  <si>
    <t>Dubliuojančios gatvės nuo Šiltnamių g. iki Klaipėdos g. su pėsčiųjų ir dviračių taku ir įvažomis į Liepojos g. įrengimas</t>
  </si>
  <si>
    <t xml:space="preserve">Jūrininkų prospekto ruožo nuo Šilutės pl. iki Minijos g. rekonstravimas </t>
  </si>
  <si>
    <t>Bendri Klaipėdos valstybinio jūrų uosto direkcijos ir miesto projektai:</t>
  </si>
  <si>
    <t>Dalyvavimas projekte „Uostamiesčiai: darnaus judumo principų integravimas (PORT Cities: Integrating Sustainability, PORTIS)“</t>
  </si>
  <si>
    <t>„Gilijos“ pradinės mokyklos (Taikos pr. 68) pastato energinio efektyvumo didinimas</t>
  </si>
  <si>
    <t>Jeronimo Kačinsko muzikos mokyklos (Statybininkų pr. 5) pastato energinio efektyvumo didinimas</t>
  </si>
  <si>
    <t xml:space="preserve">Administracinės paskirties pastato J. Karoso g. 12 rekonstravimas į gydymo paskirties pastatą </t>
  </si>
  <si>
    <t>Viešosios įstaigos Klaipėdos universitetinės ligoninės centrinio korpuso operacinės rekonstravimas Liepojos g. 41</t>
  </si>
  <si>
    <t>Savivaldybės socialinio būsto fondo gyvenamųjų namų statyba žemės sklypuose Irklų g. 1 ir Rambyno g. 14A</t>
  </si>
  <si>
    <t>Projekto „Klaipėdos miesto savivaldybės viešosios bibliotekos „Kauno atžalyno“ filialas – naujos galimybės mažiems ir dideliems“ įgyvendinimas</t>
  </si>
  <si>
    <r>
      <rPr>
        <b/>
        <sz val="10"/>
        <color theme="1"/>
        <rFont val="Times New Roman"/>
        <family val="1"/>
        <charset val="186"/>
      </rPr>
      <t xml:space="preserve">4 </t>
    </r>
    <r>
      <rPr>
        <sz val="10"/>
        <color theme="1"/>
        <rFont val="Times New Roman"/>
        <family val="1"/>
        <charset val="186"/>
      </rPr>
      <t>– Urbanistinės plėtros departamento asignavimų valdytojas</t>
    </r>
  </si>
  <si>
    <r>
      <rPr>
        <b/>
        <sz val="10"/>
        <color theme="1"/>
        <rFont val="Times New Roman"/>
        <family val="1"/>
        <charset val="186"/>
      </rPr>
      <t>5</t>
    </r>
    <r>
      <rPr>
        <sz val="10"/>
        <color theme="1"/>
        <rFont val="Times New Roman"/>
        <family val="1"/>
        <charset val="186"/>
      </rPr>
      <t xml:space="preserve"> – Investicijų ir ekonomikos departamento asignavimų valdytojas</t>
    </r>
  </si>
  <si>
    <r>
      <rPr>
        <b/>
        <sz val="10"/>
        <color theme="1"/>
        <rFont val="Times New Roman"/>
        <family val="1"/>
        <charset val="186"/>
      </rPr>
      <t xml:space="preserve">6 </t>
    </r>
    <r>
      <rPr>
        <sz val="10"/>
        <color theme="1"/>
        <rFont val="Times New Roman"/>
        <family val="1"/>
        <charset val="186"/>
      </rPr>
      <t>– Miesto ūkio departamento asignavimų valdytojas</t>
    </r>
  </si>
  <si>
    <t>Ekspozicijos projektavimas ir įrengimas piliavietės šiaurinėje kurtinoje</t>
  </si>
  <si>
    <t xml:space="preserve">Tauralaukio gyvenvietės gatvių rekonstravimas </t>
  </si>
  <si>
    <t>Lyginamasis variantas</t>
  </si>
  <si>
    <t>Paaiškinimas dėl siūlomo keitimo</t>
  </si>
  <si>
    <t>01010710</t>
  </si>
  <si>
    <t>Buvusios AB „Klaipėdos energija“ teritorijos dalies  konversija,  sudarant sąlygas vystyti komercines, rekreacines veiklas</t>
  </si>
  <si>
    <t xml:space="preserve">Atgimimo aikštės sutvarkymas, didinant patrauklumą investicijoms, skatinant lankytojų srautus </t>
  </si>
  <si>
    <t>Danės upės krantinių rekonstrukcija ir prieigų (Danės skveras su fontanais) sutvarkymas</t>
  </si>
  <si>
    <t xml:space="preserve">Pėsčiųjų tako sutvarkymas palei Taikos pr. nuo Sausio 15-osios iki Kauno g., paverčiant viešąja erdve, pritaikyta gyventojams bei smulkiajam ir vidutiniam verslui </t>
  </si>
  <si>
    <t>Malūno parko teritorijos sutvarkymas, gerinant gamtinę aplinką ir skatinant lankytojų srautus</t>
  </si>
  <si>
    <t xml:space="preserve">Viešosios erdvės prie buvusio „Vaidilos“ kino teatro konversija </t>
  </si>
  <si>
    <t>Kompleksinis tikslinės teritorijos daugiabučių namų kiemų tvarkymas</t>
  </si>
  <si>
    <t>02010112</t>
  </si>
  <si>
    <t xml:space="preserve">Klaipėdos „Versmės“ progimnazijos sporto aikštyno atnaujinimas </t>
  </si>
  <si>
    <t>2</t>
  </si>
  <si>
    <t xml:space="preserve">Futbolo mokyklos ir baseino pastatų konversija, I etapas </t>
  </si>
  <si>
    <t xml:space="preserve">Futbolo mokyklos ir baseino pastatų konversija, II etapas </t>
  </si>
  <si>
    <t>0103020201</t>
  </si>
  <si>
    <t>0103020202</t>
  </si>
  <si>
    <t>Klaipėdos sunkiosios atletikos centro statyba</t>
  </si>
  <si>
    <t>01030208</t>
  </si>
  <si>
    <t>02010113</t>
  </si>
  <si>
    <t>02010114</t>
  </si>
  <si>
    <t>Klaipėdos Simono Dacho progimnazijos Kuršių a. 2/3 modernizavimas (sporto salės atnaujinimas)</t>
  </si>
  <si>
    <t>01020204</t>
  </si>
  <si>
    <t>01020205</t>
  </si>
  <si>
    <t>01030204</t>
  </si>
  <si>
    <t xml:space="preserve">Dviračių ir pėsčiųjų tako nuo Paryžiaus Komunos g. iki Jono kalnelio tiltelio įrengimas </t>
  </si>
  <si>
    <t>01030301</t>
  </si>
  <si>
    <t xml:space="preserve">Dviračių ir pėsčiųjų tako Danės upės slėnio teritorijoje nuo Klaipėdos g. tilto iki miesto ribos įrengimas </t>
  </si>
  <si>
    <t>01030302</t>
  </si>
  <si>
    <t>01030303</t>
  </si>
  <si>
    <t>01030304</t>
  </si>
  <si>
    <t>Kūlių Vartų g. ir Bangų g., Tiltų g., Galinio Pylimo g., Taikos pr. sankryžos rekonstravimas</t>
  </si>
  <si>
    <t>01010304</t>
  </si>
  <si>
    <t>01010602</t>
  </si>
  <si>
    <t>Viešojo transporto paslaugų organizavimas:</t>
  </si>
  <si>
    <t>010201</t>
  </si>
  <si>
    <t>01020105</t>
  </si>
  <si>
    <t>Viešojo transporto (autobusų ir maršrutinių taksi) integravimo sistemos įrangos įsigijimas ir atnaujinimas</t>
  </si>
  <si>
    <t>Naujų ekologiškų viešojo transporto ir  alternatyvaus judėjimo projektų įgyvendinimas</t>
  </si>
  <si>
    <t>01030401</t>
  </si>
  <si>
    <t>01030402</t>
  </si>
  <si>
    <t>Elektra varomo viešojo transporto naujų galimybių plėtra (DEPO), ELENA</t>
  </si>
  <si>
    <t>01030403</t>
  </si>
  <si>
    <t>Elektromobilių įkrovimo stotelių įrengimas  Klaipėdos mieste</t>
  </si>
  <si>
    <t>01030404</t>
  </si>
  <si>
    <t>01030405</t>
  </si>
  <si>
    <t>01010106</t>
  </si>
  <si>
    <t>01010107</t>
  </si>
  <si>
    <t>01010108</t>
  </si>
  <si>
    <t>01010113</t>
  </si>
  <si>
    <t>Monika</t>
  </si>
  <si>
    <t>M. Enciūtė</t>
  </si>
  <si>
    <t>I. Dulkytė</t>
  </si>
  <si>
    <t xml:space="preserve">Turgaus aikštės su prieigomis sutvarkymas, pritaikant verslo, bendruomenės poreikiams </t>
  </si>
  <si>
    <t>J. Poimanskienė</t>
  </si>
  <si>
    <t>M. Lygnugarienė</t>
  </si>
  <si>
    <t>R. Mockus</t>
  </si>
  <si>
    <t>Jurgita J.</t>
  </si>
  <si>
    <t>V. Pronskuvienė</t>
  </si>
  <si>
    <t xml:space="preserve">Klaipėdos miesto gatvių pėsčiųjų perėjų kryptinis apšvietimas </t>
  </si>
  <si>
    <t>Klaipėdos Tauralaukio progimnazijos pastato (Klaipėdos g. 31) rekonstravimas siekiant išplėsti ugdymui skirtas patalpas</t>
  </si>
  <si>
    <t>02010115</t>
  </si>
  <si>
    <t>Keleivinio transporto stotelių su įvažomis Klaipėdos miesto gatvėse projektavimas ir įrengimas (I etapas; II etapas)</t>
  </si>
  <si>
    <t>2008</t>
  </si>
  <si>
    <t>Pėsčiųjų tako tarp Gedminų g. ir Taikos pr. (nuo Nr. 99) rekonstravimas ir keleivių išlaipinimo aikštelių įrengimas (Debreceno mikrorajonas)</t>
  </si>
  <si>
    <t>Energinio efektyvumo didinimas lopšeliuose-darželiuose (2018 m. – „Radastėlė“, „Bangelė“, „Putinėlis“, „Žilvitis“, „Boružėlė“)</t>
  </si>
  <si>
    <t>02010116</t>
  </si>
  <si>
    <t xml:space="preserve">Modernių ugdymosi erdvių sukūrimas Klaipėdos miesto progimnazijose ir gimnazijose („Smeltės“, Liudviko Stulpino, „Sendvario“, „Gedminų“, „Verdenės“ progimnazijose ir  „Vėtrungės“, „Varpo“ gimnazijose) </t>
  </si>
  <si>
    <t>Gedminų progimnazijos modernizavimas (projekto „Bendrojo ugdymo mokyklų (progimnazijų, pagrindinių mokyklų) modernizavimas ir šiuolaikinių mokymosi erdvių kūrimas“ įgyvendinimas)</t>
  </si>
  <si>
    <t>N. Lendraitis</t>
  </si>
  <si>
    <t>J. Jasilionienė</t>
  </si>
  <si>
    <t>E. Dolebienė</t>
  </si>
  <si>
    <t xml:space="preserve">Modernaus bendruomenės centro-bibliotekos statyba pietinėje miesto dalyje  </t>
  </si>
  <si>
    <t>V. Kovaitis</t>
  </si>
  <si>
    <t>01030205</t>
  </si>
  <si>
    <t>01030206</t>
  </si>
  <si>
    <t>Senamiesčio grindinio atnaujinimas ir universalaus dizaino pritaikymas</t>
  </si>
  <si>
    <t>Sporto aikštynų atnaujinimas (modernizavimas)</t>
  </si>
  <si>
    <t>D. Gerasimovienė</t>
  </si>
  <si>
    <t>Automobilių stovėjimo aikštelės teritorijoje  Bangų g., Klaipėdoje, įrengimas</t>
  </si>
  <si>
    <t>Pamario gatvės rekonstravimas</t>
  </si>
  <si>
    <t>Klaipėdos regiono turizmo informacinės infrastruktūros sistemos sukūrimas ir įdiegimas</t>
  </si>
  <si>
    <t>Turizmo informacinės infrastruktūros sukūrimas ir pritaikymas neįgaliųjų poreikiams pietvakarinėje Klaipėdos regiono dalyje</t>
  </si>
  <si>
    <t>Klaipėdos miesto bendrojo plano kraštovaizdžio dalies keitimas ir Melnragės parko įrengimas</t>
  </si>
  <si>
    <t>Šilutės plento ruožo nuo Tilžės g. iki geležinkelio pervažos (iki Kauno g.) rekonstrukcija</t>
  </si>
  <si>
    <r>
      <t>Kombinuotų kelionių jungčių (</t>
    </r>
    <r>
      <rPr>
        <i/>
        <sz val="10"/>
        <rFont val="Times New Roman"/>
        <family val="1"/>
        <charset val="186"/>
      </rPr>
      <t>PARK&amp;RIDE</t>
    </r>
    <r>
      <rPr>
        <sz val="10"/>
        <rFont val="Times New Roman"/>
        <family val="1"/>
        <charset val="186"/>
      </rPr>
      <t>) įrengimas (šiaurinėje miesto dalyje)</t>
    </r>
  </si>
  <si>
    <t>Bendruomenės centro-bibliotekos (Molo g. 60) pastato kapitalinis remontas</t>
  </si>
  <si>
    <t xml:space="preserve">Klaipėdos Prano Mašioto progimnazijos pastato Varpų g. 3 rekonstravimas </t>
  </si>
  <si>
    <t>Klaipėdos lopšelio-darželio „Svirpliukas“ (Liepų g. 43A) pastato energinio efektyvumo didinimas</t>
  </si>
  <si>
    <t>Klaipėdos lopšelio-darželio „Žiogelis“ pastato Kauno g. 27 modernizavimas</t>
  </si>
  <si>
    <r>
      <t xml:space="preserve">Klaipėdos „Ąžuolyno“ gimnazijos modernizavimas </t>
    </r>
    <r>
      <rPr>
        <b/>
        <sz val="10"/>
        <rFont val="Times New Roman"/>
        <family val="1"/>
        <charset val="186"/>
      </rPr>
      <t/>
    </r>
  </si>
  <si>
    <t>Šiaurinio rago teritorijoje esančios automobilių aikštelės įrengimas (70 stovėjimo vietų)</t>
  </si>
  <si>
    <t>A. Kabalinienė</t>
  </si>
  <si>
    <t xml:space="preserve">Senyvo amžiaus asmenų globos paslaugų plėtra rekonstruojant pastatą, esantį Melnragės gyvenamajame rajone, Vaivos g. 23 </t>
  </si>
  <si>
    <t>Taikos pr. nuo Sausios 15-osios g. iki Kauno g. rekonstravimas (techninio projekto parengimas)</t>
  </si>
  <si>
    <t>Baltijos pr. ir Šilutės pl. žiedinės sankryžos rekonstravimas (techninio projekto parengimas)</t>
  </si>
  <si>
    <t xml:space="preserve">Automatinės eismo priežiūros prietaisų įsigijimas ir nuoma </t>
  </si>
  <si>
    <t>1</t>
  </si>
  <si>
    <t>Viešųjų erdvių, gatvių ir kiemų apšvietimo tinklų išplėtimas ar įrengimas</t>
  </si>
  <si>
    <t>01030101</t>
  </si>
  <si>
    <t xml:space="preserve">Daugiabučių gyvenamųjų namų kvartalų priežiūros vykdymas: </t>
  </si>
  <si>
    <t xml:space="preserve">Daugiabučių namų kiemų infrastruktūros gerinimo programos įgyvendinimas </t>
  </si>
  <si>
    <t>R. Intienė</t>
  </si>
  <si>
    <t xml:space="preserve">Klaipėdos miesto paviršinių nuotekų tinklų įrengimas, remontas ir rekonstrukcija </t>
  </si>
  <si>
    <t>A. Montvilienė</t>
  </si>
  <si>
    <r>
      <t>Vingio mikrorajono aikštės atnaujinimas</t>
    </r>
    <r>
      <rPr>
        <sz val="10"/>
        <color rgb="FFFF0000"/>
        <rFont val="Times New Roman"/>
        <family val="1"/>
        <charset val="186"/>
      </rPr>
      <t xml:space="preserve"> </t>
    </r>
  </si>
  <si>
    <t>010311</t>
  </si>
  <si>
    <t xml:space="preserve">Sraigtasparnių nusileidimo aikštelės įrengimas ligoninių miestelyje  </t>
  </si>
  <si>
    <t xml:space="preserve">Pėsčiųjų ir dviračių tilto tarp Tauralaukio ir Žolynų kvartalo įrengimas </t>
  </si>
  <si>
    <t xml:space="preserve">BĮ Klaipėdos „Žaliakalnio“ gimnazijos pastato inžinerinių sistemų ir vidaus patalpų remontas </t>
  </si>
  <si>
    <t>Lifto įrengimas Bendruomenės namuose Debreceno g. 48</t>
  </si>
  <si>
    <t xml:space="preserve">01010608 </t>
  </si>
  <si>
    <t>Lifto įrengimas Martyno Mažvydo progimnazijoje</t>
  </si>
  <si>
    <t>01030209</t>
  </si>
  <si>
    <t>16 vietų automobilių stovėjimo aikštelės įrengimas šalia žemės sklypo Irklų g. 2</t>
  </si>
  <si>
    <t>01040103</t>
  </si>
  <si>
    <t>010312</t>
  </si>
  <si>
    <t>Regioninio stadiono statybos techninės dokumentacijos parengimas</t>
  </si>
  <si>
    <t>Pilies didžiojo bokšto atkūrimas (II etapas)</t>
  </si>
  <si>
    <t>Klaipėdos pilies ir bastionų komplekso restauravimas ir atgaivinimas (I etapas)</t>
  </si>
  <si>
    <t>01010504</t>
  </si>
  <si>
    <t>01010505</t>
  </si>
  <si>
    <t>Klemiškės g. rekonstravimas</t>
  </si>
  <si>
    <t>Naujo kelio tarp Klemiškės g. ir Tilžės g. tiesimas</t>
  </si>
  <si>
    <t>Reikalinga didinti projekto vertę, nes Sąjudžio parke siūloma įrengti vaizdo stebėjimo sistemą (4 kameras) bei atlikti projektavimo bei elektrotechnikos darbus</t>
  </si>
  <si>
    <t>Siūloma didinti projekto finansinę vertę. Pagal Kainodaros taisyklių (Kainodaros taisyklės patvirtintos Viešųjų pirkimų tarnybos direktoriaus 2017 m. birželio 28 d. įsakymu Nr. 1S-95 „Dėl kainodaros taisyklių metodikos patvirtinimo“) 17.2 punktą, prieš pirkimo pradžią rengiamuose dokumentuose turi būti numatyta pradinė sutarties vertė. Siūloma padidinti šio investicinio projekto vertę, suformuojant 10 proc. rezervą rangos darbams</t>
  </si>
  <si>
    <t>Reikalinga įtraukti praleistą projektą į Investicijų projektų sąrašą. Koreguojama techninė klaida</t>
  </si>
  <si>
    <t>Reikalinga mažinti priemonės finansavimo apimtį, nes rangos darbai nupirkti pigiau negu planuota</t>
  </si>
  <si>
    <t>Projekto derinimo metu su Melnragės bendruomene, buvo nuspręsta įrengti sporto ir vaikų žaidimo aikštelę bei apšvietimą. Todėl didėja projekto finansinė apimtis, lėšas 2019 m. siūloma planuoti iš Aplinkos apsaugos programos lėšų, kitų (Kt) finansavimo šaltinių ir tartis su uoste veikiančiomis įmonėmis dėl paramos projektui</t>
  </si>
  <si>
    <t>Atsisakius įgyvendinti Tauralaukio projektą ES lėšomis, jos yra perkeliamos šiam projektui. Papildomai planuojama rekonstruoti vieną korpusą iškeliant antrą aukštą bei įkuriant 95 papildomas ugdymo vietas</t>
  </si>
  <si>
    <t>Siūloma įtraukti naują investicinį projektą,  siekiant įgyvendinti 2013-2020 m. strateginio plėtros plano priemonę 1.6.3.7. "Pasirengti naujo Klaipėdos regiono stadiono statybai", kol kas planuojant lėšas tik techninio projekto parengimui. Lėšų objekto statybai bus siekiama gauti iš valstybės biudžeto.</t>
  </si>
  <si>
    <t xml:space="preserve">Reikalinga atvaizduoti lėšų perskirstymą tarp projektų, įgyvendinamų pagal 2014-2020 metų Europos Sąjungos fondų priemonę Nr. 07.1.1-CPVA-R-904 „Didžiųjų miestų kompleksinė plėtra“ </t>
  </si>
  <si>
    <t>Reikalinga didinti projekto finansinę apimtį, kadangi pasirašius su paslaugų tiekėju papildomą susitarimą dėl atsakingo partnerio keitimo ir paslaugų termino pratęsimo, techninio projekto užbaigimui reikalingos papildomos lėšos. Taip pat, rengiant techninį projektą, buvo patikslinta krantinių ir skvero darbų kaina. Finansavimo sutartis su CPVA pasirašyta 2018 kovo mėn., kur buvo detalizuotos tinkamos ir netinkamos išlaidos bei pagrįstos planuojamos projekto išlaidos</t>
  </si>
  <si>
    <t>Siekiant įgyvendinti Klaipėdos m. sav. 2013-2020 m. strateginio plėtros plano 1.6.3.7 priemonę "Sudaryti sąlygas Klaipėdos regiono stadiono statybai galimybių studijos parinktoje vietoje", siūloma įtraukti naują investicinį projektą.</t>
  </si>
  <si>
    <t>Siekiant įgyvendinti Klaipėdos m. sav. 2013-2020 m. strateginio plėtros plano 2.1.2.14 priemonę, kurioje numatyta rekonstruoti Klemiškės g.,  siūloma įtraukti  investicinį projektą.</t>
  </si>
  <si>
    <t xml:space="preserve">Siūloma didinti projekto finansinę vertę, kadangi iškilo nenumatytų darbų poreikis - planuojama atnaujinti 7 sankryžas ir įrengti 42 naujus šviesoforus. </t>
  </si>
  <si>
    <t>Reikalinga koreguoti lėšų poreikio pasiskirstymą pagal finansavimo šaltinius. Projekto vertė nesikeičia</t>
  </si>
  <si>
    <t>Siūloma koreguoti finansinę apimtį, kadangi įsigijus rangos darbus pigiau nei planuota, mažėja projekto vertė. Taip pat siūloma tikslinti projekto įgyvendinimo terminus.</t>
  </si>
  <si>
    <t>Siūloma didinti projekto finansinę vertę, kadangi, vykdant viešųjų pirkimų procedūras, tiekėjai pateikė didesnę nei planuota kainą</t>
  </si>
  <si>
    <t>Reikalinga koreguoti lėšų pasiskirstymą pagal finansavimo šaltinius. Projekto vertė nesikeičia</t>
  </si>
  <si>
    <t>Siūloma didinti projekto finansinę apimtį, kadangi į paprastojo remonto aprašą įtraukti papildomi darbai ir vykdant viešųjų pirkimų procedūras tiekėjai pasiūlė didesnę nei planuota kainą.</t>
  </si>
  <si>
    <t>Siūloma nežymiai didinti projekto finansinę apimtį, kadangi į techninį projektą įtraukti papildomi darbai</t>
  </si>
  <si>
    <t>Dėl projekto pabrangimo, atsisakyta įgyvendinti Tauralaukio projektą ES lėšomis. Kadangi būtinybėDėl to atsiranda didesnis SB lėšų poreikis. Taip pat, rangos darbų pradžia perkeliama į 2020 m., todėl projektą planuojama baigti 2021 m.</t>
  </si>
  <si>
    <t xml:space="preserve">Siūloma didinti projekto vertę, nes pasikeitus situacijai, iškilo papildomų darbų poreikis.  Projektuotojas parengė techninio projekto pakeitimus. Dalis papildomų darbų, kurių vertė sudaro 160 tūkst. Eur,  yra tiesiogiai susiję su pasirengimu būsimos muziejaus ekspozicijos įrengimui. Projekto statybos darbams reikalinga papildoma suma – 190 tūkst. eurų.  Taip pat 2017 m. pabaigoje, dar nebuvo aišku, kiek lėšų šiam investiciniams projektui bus panaudota iki 2017-12-31. Paaiškėjo, kad 260,0 tūkst. Eur nespėta panaudoti ir dėl to yra reikalinga nepanaudotų lėšų likutį planuoti 2018 m. </t>
  </si>
  <si>
    <t>Savivaldybės tarybos kolegijos sprendimu (2018-03-20 posėdžio protokolas Nr. TAK-2) buvo nutarta piliavietės atkūrimą pradėti nuo pilies didžiojo bokšto tūrio atstatymo etapiškai panaudojant metlines konstrukcijas iš vidaus. Jame būtų įrengiamas informacinis centras, miesto urbanistinės raidos ir pilies atkūrimo ekspozicija, apžvalgos aikštelė. Siūloma 2019 m. parengti techninį projektą, kurio kaina sudarys apie 108 tūkst. Eur.  Preliminariais skaičiavimais, bokšto tūrio atstatymas panaudojant metalines konstrukcijas kainuotų 700 tūkst. Eur, keliamos bokšto mūro sienos kainuotų papildomai 700 tūkst. Eur (iš viso 1400 tūkst. Eur)</t>
  </si>
  <si>
    <t>Siūloma didinti projekto finansinę vertę, kadangi techniniai projektai bus rengiami ne tik ES  lėšomis finansuojamoms gatvėms</t>
  </si>
  <si>
    <t>Įrašomas papildomas finansavimo šaltinis, kadangi investicinis projektas pateiktas valstybės investicijų programos finansavimui gauti</t>
  </si>
  <si>
    <t>Įrašomas kitas finansavimo šaltinis, kadangi projektą numatoma finansuoti pagal ESCO modelį</t>
  </si>
  <si>
    <t>Pėsčiųjų ir dviračių takų Minijos g. nuo Baltijos pr., Pilies g., Naujojoje Uosto g. įrengimas (techninio projekto parengimas)</t>
  </si>
  <si>
    <t>Tikslinamas projekto įgyvendinimo terminas.</t>
  </si>
  <si>
    <r>
      <rPr>
        <b/>
        <sz val="10"/>
        <color rgb="FFFF0000"/>
        <rFont val="Times New Roman"/>
        <family val="1"/>
        <charset val="186"/>
      </rPr>
      <t>2022</t>
    </r>
    <r>
      <rPr>
        <sz val="10"/>
        <color rgb="FFFF0000"/>
        <rFont val="Times New Roman"/>
        <family val="1"/>
        <charset val="186"/>
      </rPr>
      <t xml:space="preserve"> </t>
    </r>
    <r>
      <rPr>
        <strike/>
        <sz val="10"/>
        <color rgb="FFFF0000"/>
        <rFont val="Times New Roman"/>
        <family val="1"/>
        <charset val="186"/>
      </rPr>
      <t>2020</t>
    </r>
  </si>
  <si>
    <t>Psichikos sveikatos centro Narkomanų detoksikacijos skyriaus Galinio Pylimo g. 3, Klaipėdoje, remontas</t>
  </si>
  <si>
    <t>_______________________________________________</t>
  </si>
  <si>
    <t>Siūloma padidinti projekto finansavimo apimtį, nes papildomos lėšos bus reikalingos inžinerinių tinklų aplinkos tvarkybai</t>
  </si>
  <si>
    <t>Siūloma padidinti finansavimo apimtį 733805 €  iš Savivaldybės biudžeto, siekiant pabaigti rangos darbus 2019 m.</t>
  </si>
  <si>
    <t>010308</t>
  </si>
  <si>
    <t xml:space="preserve">VšĮ Jūrininkų sveikatos priežiūros centro infrastruktūros plėtra (naujo pastato statyba) </t>
  </si>
  <si>
    <t xml:space="preserve">Klaipėdos miesto savivaldybės 2019–2021 metų 
strateginio veiklos plano
1 priedas
</t>
  </si>
  <si>
    <t>Savivaldybes jungiančių turizmo trasų ir turizmo maršrutų informacinės infrastruktūros plėtra</t>
  </si>
  <si>
    <t xml:space="preserve">Puodžių gatvės rekonstravimas  </t>
  </si>
  <si>
    <t>Žvejybos produktų iškrovimo vietos prie jūros Klaipėdos miesto teritorijoje įrengimas</t>
  </si>
  <si>
    <t>Klaipėdos miesto viešojo transporto švieslenčių ir informacinių švieslenčių įrengimas ir atnaujinimas</t>
  </si>
  <si>
    <t>I. Kanto ir S. Daukanto gatvių sankryžoje esančio skvero sutvarkymas</t>
  </si>
  <si>
    <t>2025</t>
  </si>
  <si>
    <t>2024</t>
  </si>
  <si>
    <t>Automobilių stovėjimo aikštelės teritorijoje  Bangų g., Klaipėdoje, įrengimas (techninio projekto parengimas)</t>
  </si>
  <si>
    <t>Keleivinio transporto stotelių su įvažomis Klaipėdos miesto gatvėse projektavimas ir įrengimas (I etapas, II etapas)</t>
  </si>
  <si>
    <t>Daugiabučių namų kiemų infrastruktūros gerinimo priemonių plano įgyvendinimas</t>
  </si>
  <si>
    <t>Eil. Nr.</t>
  </si>
  <si>
    <t>3</t>
  </si>
  <si>
    <t>4</t>
  </si>
  <si>
    <t>7</t>
  </si>
  <si>
    <t>Klaipėdos Tauralaukio progimnazijos pastato (Klaipėdos g. 31) rekonstravimas į ikimokyklinio ir priešmokyklinio ugdymo įstaigą</t>
  </si>
  <si>
    <t>Ikimokyklinio ir priešmokyklinio prieinamumo didinimas Klaipėdos mieste (lopšelio-darželio „Svirpliukas“ modernizavimas)</t>
  </si>
  <si>
    <t>IED V. Tkačik ir V. Kovaitis</t>
  </si>
  <si>
    <t>E. Deltuvaitė</t>
  </si>
  <si>
    <t>V. Tkačik</t>
  </si>
  <si>
    <t xml:space="preserve">Klaipėdos miesto Skulptūrų parko sutvarkymas </t>
  </si>
  <si>
    <t xml:space="preserve">Vingio mikrorajono aikštės atnaujinimas </t>
  </si>
  <si>
    <t>Teritorijos Pempininkų tako gale (ties Debreceno g.18) sutvarkymas</t>
  </si>
  <si>
    <t>23</t>
  </si>
  <si>
    <t>K. Šakarnis</t>
  </si>
  <si>
    <t>8</t>
  </si>
  <si>
    <t>9</t>
  </si>
  <si>
    <t>10</t>
  </si>
  <si>
    <t>11</t>
  </si>
  <si>
    <t>12</t>
  </si>
  <si>
    <t>13</t>
  </si>
  <si>
    <t>14</t>
  </si>
  <si>
    <t>15</t>
  </si>
  <si>
    <t>16</t>
  </si>
  <si>
    <t>17</t>
  </si>
  <si>
    <t>18</t>
  </si>
  <si>
    <t>19</t>
  </si>
  <si>
    <t>20</t>
  </si>
  <si>
    <t>21</t>
  </si>
  <si>
    <t>22</t>
  </si>
  <si>
    <t>24</t>
  </si>
  <si>
    <t>25</t>
  </si>
  <si>
    <t>26</t>
  </si>
  <si>
    <t>27</t>
  </si>
  <si>
    <t>28</t>
  </si>
  <si>
    <t>29</t>
  </si>
  <si>
    <t>30</t>
  </si>
  <si>
    <t>31</t>
  </si>
  <si>
    <t>32</t>
  </si>
  <si>
    <t>33</t>
  </si>
  <si>
    <t>34</t>
  </si>
  <si>
    <t>35</t>
  </si>
  <si>
    <t>36</t>
  </si>
  <si>
    <t>37</t>
  </si>
  <si>
    <t>38</t>
  </si>
  <si>
    <t>39</t>
  </si>
  <si>
    <t>40</t>
  </si>
  <si>
    <t>41</t>
  </si>
  <si>
    <t>61</t>
  </si>
  <si>
    <t>42</t>
  </si>
  <si>
    <t>43</t>
  </si>
  <si>
    <t>44</t>
  </si>
  <si>
    <t>45</t>
  </si>
  <si>
    <t>46</t>
  </si>
  <si>
    <t>47</t>
  </si>
  <si>
    <t>48</t>
  </si>
  <si>
    <t>49</t>
  </si>
  <si>
    <t>50</t>
  </si>
  <si>
    <t>51</t>
  </si>
  <si>
    <t>52</t>
  </si>
  <si>
    <t>53</t>
  </si>
  <si>
    <t>54</t>
  </si>
  <si>
    <t>55</t>
  </si>
  <si>
    <t>56</t>
  </si>
  <si>
    <t>57</t>
  </si>
  <si>
    <t>58</t>
  </si>
  <si>
    <t>59</t>
  </si>
  <si>
    <t>60</t>
  </si>
  <si>
    <t>62</t>
  </si>
  <si>
    <t>63</t>
  </si>
  <si>
    <t>64</t>
  </si>
  <si>
    <t>67</t>
  </si>
  <si>
    <t>68</t>
  </si>
  <si>
    <t>69</t>
  </si>
  <si>
    <t>70</t>
  </si>
  <si>
    <t>71</t>
  </si>
  <si>
    <t>72</t>
  </si>
  <si>
    <t>73</t>
  </si>
  <si>
    <t>74</t>
  </si>
  <si>
    <t>75</t>
  </si>
  <si>
    <t>76</t>
  </si>
  <si>
    <t>77</t>
  </si>
  <si>
    <t>78</t>
  </si>
  <si>
    <t>79</t>
  </si>
  <si>
    <t>84</t>
  </si>
  <si>
    <t>85</t>
  </si>
  <si>
    <t>86</t>
  </si>
  <si>
    <t>87</t>
  </si>
  <si>
    <t>88</t>
  </si>
  <si>
    <t>89</t>
  </si>
  <si>
    <t>90</t>
  </si>
  <si>
    <t>91</t>
  </si>
  <si>
    <t>92</t>
  </si>
  <si>
    <t>93</t>
  </si>
  <si>
    <t>94</t>
  </si>
  <si>
    <t>95</t>
  </si>
  <si>
    <t>96</t>
  </si>
  <si>
    <t>97</t>
  </si>
  <si>
    <t>98</t>
  </si>
  <si>
    <r>
      <t>Naujo tilto</t>
    </r>
    <r>
      <rPr>
        <sz val="10"/>
        <rFont val="Times New Roman"/>
        <family val="1"/>
        <charset val="186"/>
      </rPr>
      <t xml:space="preserve"> su pakeliamu mechanizmu per Danę statyba ir prieigų sutvarkymas Danės pakrantėje </t>
    </r>
  </si>
  <si>
    <r>
      <rPr>
        <b/>
        <sz val="10"/>
        <rFont val="Times New Roman"/>
        <family val="1"/>
        <charset val="186"/>
      </rPr>
      <t>Bastionų gatvės tiesimas:</t>
    </r>
    <r>
      <rPr>
        <sz val="10"/>
        <rFont val="Times New Roman"/>
        <family val="1"/>
        <charset val="186"/>
      </rPr>
      <t xml:space="preserve"> I etapo Bastionų g. nuo Danės g. iki Danės upės ir nuo Danės upės iki Gluosnių g. tiesimas ir II etapo Bastionų g. nuo Gluosnių g. iki Bangų g. tiesimas</t>
    </r>
  </si>
  <si>
    <t>INVESTICINIŲ  PROJEKTŲ SĄRAŠAS</t>
  </si>
  <si>
    <t>Komunalinių atliekų tvarkymo infrastruktūros plėtra Klaipėdos miesto, Skuodo ir Kretingos rajonų bei Neringos savivaldybėse</t>
  </si>
  <si>
    <t>Klaipėdos miesto paplūdimių sutvarkymo priemonių plano įgyvendinimas</t>
  </si>
  <si>
    <t xml:space="preserve">Laivų nuleidimo prieplaukos ir saugojimo aikštelės sklype šalia Liepų g. tilto įrengimas </t>
  </si>
  <si>
    <t>65</t>
  </si>
  <si>
    <t>66</t>
  </si>
  <si>
    <t>80</t>
  </si>
  <si>
    <t>81</t>
  </si>
  <si>
    <t>82</t>
  </si>
  <si>
    <t>83</t>
  </si>
  <si>
    <t>Statybininkų prospekto tęsinio tiesimas nuo Šilutės pl. per LEZ teritoriją iki 141 kelio: II etapas – Lypkių gatvės ruožo nuo Šilutės plento tiesimas (techninio projekto ir koncesijos dokumentų parengimas)</t>
  </si>
  <si>
    <t>Klaipėdos pilies ir bastionų komplekso restauravimas ir atgaivinimas (IIetapas) (pilies didžiojo bokšto atkūrimas)</t>
  </si>
  <si>
    <t xml:space="preserve">Pėsčiųjų ir dviračių takų Minijos g. nuo Baltijos pr., Pilies g., Naujojoje Uosto g. įrengimas </t>
  </si>
  <si>
    <t>Dviračių ir pėsčiųjų takų jungčių ir šių takų iki sklypo Smiltynės g. 25 ir iki Naujosios perkėlos Smiltynėje įrengimas</t>
  </si>
  <si>
    <t xml:space="preserve">AB „Klaipėdos vanduo“ įstatinio kapitalo didinimas įgyvendinant ES lėšomis finansuojamą projektą „Paviršinių nuotekų sistemų tvarkymas Klaipėdos mieste“ įgyvendinimas (projekto vykdytoja – AB „Klaipėdos vanduo“) </t>
  </si>
  <si>
    <r>
      <t>Uostamiesčiai: darnaus judumo principų integravimas (</t>
    </r>
    <r>
      <rPr>
        <i/>
        <sz val="10"/>
        <rFont val="Times New Roman"/>
        <family val="1"/>
        <charset val="186"/>
      </rPr>
      <t>PORT Cities: Integrating Sustainability</t>
    </r>
    <r>
      <rPr>
        <sz val="10"/>
        <rFont val="Times New Roman"/>
        <family val="1"/>
        <charset val="186"/>
      </rPr>
      <t xml:space="preserve">, PORTIS) </t>
    </r>
  </si>
  <si>
    <r>
      <t>Kombinuotų kelionių jungčių (</t>
    </r>
    <r>
      <rPr>
        <i/>
        <sz val="10"/>
        <rFont val="Times New Roman"/>
        <family val="1"/>
        <charset val="186"/>
      </rPr>
      <t>Park&amp;Ride</t>
    </r>
    <r>
      <rPr>
        <sz val="10"/>
        <rFont val="Times New Roman"/>
        <family val="1"/>
        <charset val="186"/>
      </rPr>
      <t>) įrengimas (šiaurinėje miesto dalyje)</t>
    </r>
  </si>
  <si>
    <t>Privažiuojamojo kelio ties Baltijos pr. 109 lietaus nuotekų tinklų Klaipėdoje tiesimas</t>
  </si>
  <si>
    <t>Energinio efektyvumo didinimas lopšeliuose-darželiuose: m.-d. „Saulutė“, l.-d. „Vėrinėlis“, l.-d. „Pingvinukas“, l.-d. „Putinėlis“, l.-d. „Kregždutė“, l.-d. „Radastėlė“, l.-d. „Boružėlė“</t>
  </si>
  <si>
    <t>Klaipėdos Jeronimo Kačinsko muzikos mokyklos (Statybininkų pr. 5) pastato energinio efektyvumo didinimas</t>
  </si>
  <si>
    <t>Savivaldybės biudžetinės įstaigos bandomojo energijos vartojimo efektyvumo didinimo projekto įgyvendinimas (2020 m. – l.-d. „Klevelis“)</t>
  </si>
  <si>
    <t>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</si>
</sst>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sz val="10"/>
      <color rgb="FF000000"/>
      <name val="Times New Roman"/>
      <family val="1"/>
      <charset val="186"/>
    </font>
    <font>
      <sz val="10"/>
      <color theme="1"/>
      <name val="Calibri"/>
      <family val="2"/>
      <charset val="186"/>
      <scheme val="minor"/>
    </font>
    <font>
      <i/>
      <sz val="10"/>
      <name val="Times New Roman"/>
      <family val="1"/>
      <charset val="186"/>
    </font>
    <font>
      <sz val="9"/>
      <color indexed="81"/>
      <name val="Tahoma"/>
      <family val="2"/>
      <charset val="186"/>
    </font>
    <font>
      <b/>
      <sz val="9"/>
      <color indexed="81"/>
      <name val="Tahoma"/>
      <family val="2"/>
      <charset val="186"/>
    </font>
    <font>
      <sz val="11"/>
      <color theme="1"/>
      <name val="Times New Roman"/>
      <family val="1"/>
      <charset val="186"/>
    </font>
    <font>
      <b/>
      <sz val="10"/>
      <name val="Times New Roman"/>
      <family val="1"/>
      <charset val="186"/>
    </font>
    <font>
      <b/>
      <sz val="12"/>
      <color theme="1"/>
      <name val="Times New Roman"/>
      <family val="1"/>
      <charset val="186"/>
    </font>
    <font>
      <sz val="10"/>
      <name val="Times New Roman"/>
      <family val="1"/>
      <charset val="204"/>
    </font>
    <font>
      <b/>
      <sz val="10"/>
      <name val="Times New Roman"/>
      <family val="1"/>
      <charset val="204"/>
    </font>
    <font>
      <b/>
      <sz val="12"/>
      <name val="Times New Roman"/>
      <family val="1"/>
      <charset val="186"/>
    </font>
    <font>
      <strike/>
      <sz val="10"/>
      <color rgb="FFFF0000"/>
      <name val="Times New Roman"/>
      <family val="1"/>
      <charset val="186"/>
    </font>
    <font>
      <b/>
      <sz val="10"/>
      <color rgb="FFFF0000"/>
      <name val="Times New Roman"/>
      <family val="1"/>
      <charset val="186"/>
    </font>
    <font>
      <sz val="8"/>
      <color theme="1"/>
      <name val="Times New Roman"/>
      <family val="1"/>
      <charset val="186"/>
    </font>
    <font>
      <sz val="11"/>
      <name val="Times New Roman"/>
      <family val="1"/>
      <charset val="186"/>
    </font>
    <font>
      <sz val="11"/>
      <name val="Calibri"/>
      <family val="2"/>
      <charset val="186"/>
      <scheme val="minor"/>
    </font>
    <font>
      <b/>
      <sz val="10"/>
      <color rgb="FF1F497D"/>
      <name val="Times New Roman"/>
      <family val="1"/>
      <charset val="186"/>
    </font>
    <font>
      <strike/>
      <sz val="10"/>
      <name val="Times New Roman"/>
      <family val="1"/>
      <charset val="186"/>
    </font>
    <font>
      <sz val="11"/>
      <color rgb="FFFF0000"/>
      <name val="Times New Roman"/>
      <family val="1"/>
      <charset val="186"/>
    </font>
  </fonts>
  <fills count="10">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CC"/>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6">
    <xf numFmtId="0" fontId="0" fillId="0" borderId="0" xfId="0"/>
    <xf numFmtId="0" fontId="1" fillId="0" borderId="1" xfId="0" applyFont="1" applyBorder="1" applyAlignment="1">
      <alignment vertical="center" wrapText="1"/>
    </xf>
    <xf numFmtId="0" fontId="1" fillId="0" borderId="6" xfId="0" applyFont="1" applyBorder="1" applyAlignment="1">
      <alignment vertical="center" wrapText="1"/>
    </xf>
    <xf numFmtId="4"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1" fillId="0" borderId="0" xfId="0" applyFont="1"/>
    <xf numFmtId="0" fontId="1" fillId="0" borderId="0" xfId="0" applyFont="1" applyAlignment="1">
      <alignment horizontal="center" wrapText="1"/>
    </xf>
    <xf numFmtId="0" fontId="1" fillId="0" borderId="0" xfId="0" applyFont="1" applyAlignment="1">
      <alignment horizontal="right"/>
    </xf>
    <xf numFmtId="0" fontId="2" fillId="0" borderId="1" xfId="0" applyFont="1" applyBorder="1" applyAlignment="1">
      <alignment horizontal="center" vertical="center" wrapText="1"/>
    </xf>
    <xf numFmtId="49" fontId="1" fillId="3" borderId="4" xfId="0" applyNumberFormat="1" applyFont="1" applyFill="1" applyBorder="1" applyAlignment="1">
      <alignment vertical="center" wrapText="1"/>
    </xf>
    <xf numFmtId="49" fontId="1" fillId="3" borderId="1" xfId="0" applyNumberFormat="1" applyFont="1" applyFill="1" applyBorder="1" applyAlignment="1">
      <alignment horizontal="left" vertical="top" wrapText="1"/>
    </xf>
    <xf numFmtId="4" fontId="1" fillId="0" borderId="1" xfId="0" applyNumberFormat="1" applyFont="1" applyBorder="1" applyAlignment="1">
      <alignment horizontal="left" vertical="top" wrapText="1"/>
    </xf>
    <xf numFmtId="49" fontId="1" fillId="0" borderId="0" xfId="0" applyNumberFormat="1" applyFont="1"/>
    <xf numFmtId="49" fontId="2" fillId="0" borderId="0" xfId="0" applyNumberFormat="1" applyFont="1" applyAlignment="1">
      <alignment horizontal="right" vertical="top"/>
    </xf>
    <xf numFmtId="49" fontId="4" fillId="0" borderId="0" xfId="0" applyNumberFormat="1" applyFont="1"/>
    <xf numFmtId="49" fontId="1" fillId="0" borderId="1" xfId="0" applyNumberFormat="1" applyFont="1" applyBorder="1" applyAlignment="1">
      <alignment vertical="center" wrapText="1"/>
    </xf>
    <xf numFmtId="49" fontId="1" fillId="0" borderId="5" xfId="0" applyNumberFormat="1" applyFont="1" applyBorder="1" applyAlignment="1">
      <alignment horizontal="left" vertical="top" wrapText="1"/>
    </xf>
    <xf numFmtId="49" fontId="1" fillId="0" borderId="0" xfId="0" applyNumberFormat="1" applyFont="1" applyAlignment="1">
      <alignment horizontal="center" wrapText="1"/>
    </xf>
    <xf numFmtId="49" fontId="1" fillId="0" borderId="6"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49" fontId="5" fillId="0" borderId="1" xfId="0" applyNumberFormat="1" applyFont="1" applyBorder="1" applyAlignment="1">
      <alignment horizontal="center" vertical="center" textRotation="90" wrapText="1"/>
    </xf>
    <xf numFmtId="49" fontId="1" fillId="0" borderId="1" xfId="0" applyNumberFormat="1" applyFont="1" applyBorder="1" applyAlignment="1">
      <alignment horizontal="center" vertical="top"/>
    </xf>
    <xf numFmtId="49" fontId="1" fillId="0" borderId="1" xfId="0" applyNumberFormat="1" applyFont="1" applyBorder="1"/>
    <xf numFmtId="49" fontId="1" fillId="0" borderId="4" xfId="0" applyNumberFormat="1" applyFont="1" applyBorder="1" applyAlignment="1">
      <alignment horizontal="center" vertical="center" wrapText="1"/>
    </xf>
    <xf numFmtId="4" fontId="2" fillId="0" borderId="1" xfId="0" applyNumberFormat="1" applyFont="1" applyBorder="1" applyAlignment="1">
      <alignment vertical="top" wrapText="1"/>
    </xf>
    <xf numFmtId="4" fontId="1" fillId="0" borderId="1" xfId="0" applyNumberFormat="1" applyFont="1" applyBorder="1" applyAlignment="1">
      <alignment vertical="top" wrapText="1"/>
    </xf>
    <xf numFmtId="4" fontId="1" fillId="0" borderId="6" xfId="0" applyNumberFormat="1" applyFont="1" applyBorder="1" applyAlignment="1">
      <alignment vertical="top" wrapText="1"/>
    </xf>
    <xf numFmtId="49" fontId="1" fillId="3" borderId="7" xfId="0" applyNumberFormat="1" applyFont="1" applyFill="1" applyBorder="1" applyAlignment="1">
      <alignment horizontal="center" vertical="top" wrapText="1"/>
    </xf>
    <xf numFmtId="49" fontId="1" fillId="0" borderId="4" xfId="0" applyNumberFormat="1" applyFont="1" applyBorder="1" applyAlignment="1">
      <alignment horizontal="center" vertical="top" wrapText="1"/>
    </xf>
    <xf numFmtId="4" fontId="3" fillId="0" borderId="1" xfId="0" applyNumberFormat="1" applyFont="1" applyFill="1" applyBorder="1" applyAlignment="1">
      <alignment vertical="top" wrapText="1"/>
    </xf>
    <xf numFmtId="49" fontId="3" fillId="0" borderId="1" xfId="0" applyNumberFormat="1" applyFont="1" applyFill="1" applyBorder="1" applyAlignment="1">
      <alignment horizontal="center" vertical="center" wrapText="1"/>
    </xf>
    <xf numFmtId="0" fontId="3" fillId="3" borderId="12" xfId="0" applyFont="1" applyFill="1" applyBorder="1" applyAlignment="1">
      <alignment horizontal="left" vertical="top" wrapText="1"/>
    </xf>
    <xf numFmtId="0" fontId="3" fillId="3" borderId="7" xfId="0" applyFont="1" applyFill="1" applyBorder="1" applyAlignment="1">
      <alignment horizontal="left" vertical="top" wrapText="1"/>
    </xf>
    <xf numFmtId="49" fontId="1" fillId="3" borderId="7" xfId="0" applyNumberFormat="1" applyFont="1" applyFill="1" applyBorder="1" applyAlignment="1">
      <alignment horizontal="left" vertical="top" wrapText="1"/>
    </xf>
    <xf numFmtId="3" fontId="3" fillId="3" borderId="1" xfId="0" applyNumberFormat="1" applyFont="1" applyFill="1" applyBorder="1" applyAlignment="1">
      <alignment horizontal="left" vertical="top" wrapText="1"/>
    </xf>
    <xf numFmtId="49" fontId="3" fillId="0" borderId="1" xfId="0" applyNumberFormat="1" applyFont="1" applyBorder="1" applyAlignment="1">
      <alignment horizontal="center" vertical="top"/>
    </xf>
    <xf numFmtId="0" fontId="10" fillId="0" borderId="0" xfId="0" applyFont="1" applyAlignment="1">
      <alignment vertical="top"/>
    </xf>
    <xf numFmtId="49" fontId="2" fillId="0" borderId="1" xfId="0" applyNumberFormat="1" applyFont="1" applyBorder="1" applyAlignment="1">
      <alignment horizontal="center" vertical="top" wrapText="1"/>
    </xf>
    <xf numFmtId="3" fontId="11" fillId="3" borderId="1" xfId="0" applyNumberFormat="1" applyFont="1" applyFill="1" applyBorder="1" applyAlignment="1">
      <alignment horizontal="left" vertical="top" wrapText="1"/>
    </xf>
    <xf numFmtId="3" fontId="3" fillId="3" borderId="1" xfId="0" applyNumberFormat="1" applyFont="1" applyFill="1" applyBorder="1" applyAlignment="1">
      <alignment vertical="top" wrapText="1"/>
    </xf>
    <xf numFmtId="3" fontId="11" fillId="3" borderId="1" xfId="0" applyNumberFormat="1" applyFont="1" applyFill="1" applyBorder="1" applyAlignment="1">
      <alignment vertical="top" wrapText="1"/>
    </xf>
    <xf numFmtId="3" fontId="11" fillId="5" borderId="1" xfId="0" applyNumberFormat="1" applyFont="1" applyFill="1" applyBorder="1" applyAlignment="1">
      <alignment vertical="top" wrapText="1"/>
    </xf>
    <xf numFmtId="3" fontId="11" fillId="0" borderId="1" xfId="0" applyNumberFormat="1" applyFont="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2" borderId="0" xfId="0" applyFont="1" applyFill="1" applyBorder="1" applyAlignment="1">
      <alignment vertical="center" wrapText="1"/>
    </xf>
    <xf numFmtId="0" fontId="1" fillId="0" borderId="0" xfId="0" applyFont="1" applyFill="1"/>
    <xf numFmtId="49" fontId="1" fillId="0" borderId="1" xfId="0" applyNumberFormat="1" applyFont="1" applyFill="1" applyBorder="1"/>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49" fontId="2" fillId="0" borderId="1" xfId="0" applyNumberFormat="1" applyFont="1" applyBorder="1" applyAlignment="1">
      <alignment horizontal="center" vertical="top"/>
    </xf>
    <xf numFmtId="49" fontId="2" fillId="0" borderId="6" xfId="0" applyNumberFormat="1" applyFont="1" applyBorder="1" applyAlignment="1">
      <alignment horizontal="center" vertical="top" wrapText="1"/>
    </xf>
    <xf numFmtId="4" fontId="2" fillId="0" borderId="1" xfId="0" applyNumberFormat="1" applyFont="1" applyFill="1" applyBorder="1" applyAlignment="1">
      <alignment vertical="center" wrapText="1"/>
    </xf>
    <xf numFmtId="4" fontId="2" fillId="0" borderId="1" xfId="0" applyNumberFormat="1" applyFont="1" applyFill="1" applyBorder="1" applyAlignment="1">
      <alignment wrapText="1"/>
    </xf>
    <xf numFmtId="49" fontId="2" fillId="3" borderId="10"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4" fontId="2" fillId="3" borderId="1" xfId="0" applyNumberFormat="1" applyFont="1" applyFill="1" applyBorder="1" applyAlignment="1">
      <alignment vertical="top" wrapText="1"/>
    </xf>
    <xf numFmtId="49" fontId="2" fillId="0" borderId="5" xfId="0" applyNumberFormat="1" applyFont="1" applyBorder="1" applyAlignment="1">
      <alignment horizontal="center" vertical="top" wrapText="1"/>
    </xf>
    <xf numFmtId="4" fontId="11" fillId="3" borderId="1" xfId="0" applyNumberFormat="1" applyFont="1" applyFill="1" applyBorder="1" applyAlignment="1">
      <alignment vertical="top" wrapText="1"/>
    </xf>
    <xf numFmtId="4" fontId="11" fillId="0" borderId="1" xfId="0" applyNumberFormat="1" applyFont="1" applyFill="1" applyBorder="1" applyAlignment="1">
      <alignment vertical="top" wrapText="1"/>
    </xf>
    <xf numFmtId="0" fontId="12" fillId="0" borderId="0" xfId="0" applyFont="1" applyAlignment="1">
      <alignment horizontal="center" wrapText="1"/>
    </xf>
    <xf numFmtId="0" fontId="13" fillId="3" borderId="1" xfId="0" applyFont="1" applyFill="1" applyBorder="1" applyAlignment="1">
      <alignment horizontal="left" vertical="top" wrapText="1"/>
    </xf>
    <xf numFmtId="49" fontId="14"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4" fontId="1" fillId="0" borderId="0" xfId="0" applyNumberFormat="1" applyFont="1"/>
    <xf numFmtId="49" fontId="2" fillId="0" borderId="6"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9" fontId="1" fillId="0" borderId="1" xfId="0" applyNumberFormat="1" applyFont="1" applyBorder="1" applyAlignment="1">
      <alignment wrapText="1"/>
    </xf>
    <xf numFmtId="49" fontId="2" fillId="0" borderId="1" xfId="0" applyNumberFormat="1" applyFont="1" applyFill="1" applyBorder="1" applyAlignment="1">
      <alignment horizontal="center" vertical="top"/>
    </xf>
    <xf numFmtId="49" fontId="1" fillId="0" borderId="1" xfId="0" applyNumberFormat="1" applyFont="1" applyBorder="1" applyAlignment="1">
      <alignment horizontal="left" vertical="center"/>
    </xf>
    <xf numFmtId="49"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top" wrapText="1"/>
    </xf>
    <xf numFmtId="4" fontId="1" fillId="3" borderId="2" xfId="0" applyNumberFormat="1" applyFont="1" applyFill="1" applyBorder="1" applyAlignment="1">
      <alignment horizontal="center" vertical="top" wrapText="1"/>
    </xf>
    <xf numFmtId="4" fontId="2" fillId="3" borderId="2" xfId="0" applyNumberFormat="1" applyFont="1" applyFill="1" applyBorder="1" applyAlignment="1"/>
    <xf numFmtId="49" fontId="2" fillId="3"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top" wrapText="1"/>
    </xf>
    <xf numFmtId="4" fontId="2" fillId="3" borderId="2" xfId="0" applyNumberFormat="1"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11" fillId="0" borderId="1" xfId="0" applyNumberFormat="1" applyFont="1" applyFill="1" applyBorder="1" applyAlignment="1">
      <alignment horizontal="center" vertical="top" wrapText="1"/>
    </xf>
    <xf numFmtId="49" fontId="11" fillId="0" borderId="10"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xf>
    <xf numFmtId="4" fontId="3" fillId="3" borderId="2" xfId="0" applyNumberFormat="1" applyFont="1" applyFill="1" applyBorder="1" applyAlignment="1">
      <alignment horizontal="center" vertical="top"/>
    </xf>
    <xf numFmtId="0" fontId="2" fillId="0" borderId="10" xfId="0" applyFont="1" applyFill="1" applyBorder="1" applyAlignment="1">
      <alignment horizontal="left" vertical="top" wrapText="1"/>
    </xf>
    <xf numFmtId="49" fontId="2" fillId="3" borderId="2" xfId="0" applyNumberFormat="1" applyFont="1" applyFill="1" applyBorder="1"/>
    <xf numFmtId="49" fontId="1" fillId="3" borderId="2" xfId="0" applyNumberFormat="1" applyFont="1" applyFill="1" applyBorder="1" applyAlignment="1">
      <alignment vertical="top"/>
    </xf>
    <xf numFmtId="0" fontId="1" fillId="3" borderId="2" xfId="0" applyFont="1" applyFill="1" applyBorder="1" applyAlignment="1">
      <alignment vertical="top"/>
    </xf>
    <xf numFmtId="49" fontId="1" fillId="0" borderId="1" xfId="0" applyNumberFormat="1" applyFont="1" applyBorder="1" applyAlignment="1">
      <alignment vertical="top" wrapText="1"/>
    </xf>
    <xf numFmtId="0" fontId="1" fillId="0" borderId="1" xfId="0" applyFont="1" applyBorder="1" applyAlignment="1">
      <alignment horizontal="center" vertical="top" textRotation="90" wrapText="1"/>
    </xf>
    <xf numFmtId="4" fontId="2" fillId="6" borderId="1" xfId="0" applyNumberFormat="1" applyFont="1" applyFill="1" applyBorder="1" applyAlignment="1">
      <alignment horizontal="center" vertical="top" wrapText="1"/>
    </xf>
    <xf numFmtId="4" fontId="1" fillId="3" borderId="6"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xf>
    <xf numFmtId="4" fontId="1" fillId="3" borderId="1" xfId="0" applyNumberFormat="1" applyFont="1" applyFill="1" applyBorder="1" applyAlignment="1">
      <alignment horizontal="center" vertical="top" wrapText="1"/>
    </xf>
    <xf numFmtId="4" fontId="1" fillId="3" borderId="4" xfId="0" applyNumberFormat="1" applyFont="1" applyFill="1" applyBorder="1" applyAlignment="1">
      <alignment horizontal="center" vertical="top" wrapText="1"/>
    </xf>
    <xf numFmtId="49" fontId="1" fillId="3" borderId="12" xfId="0" applyNumberFormat="1" applyFont="1" applyFill="1" applyBorder="1" applyAlignment="1">
      <alignment horizontal="center" vertical="top" wrapText="1"/>
    </xf>
    <xf numFmtId="4" fontId="1" fillId="3" borderId="5" xfId="0" applyNumberFormat="1" applyFont="1" applyFill="1" applyBorder="1" applyAlignment="1">
      <alignment horizontal="center" vertical="top" wrapText="1"/>
    </xf>
    <xf numFmtId="49" fontId="1" fillId="3" borderId="7" xfId="0" applyNumberFormat="1" applyFont="1" applyFill="1" applyBorder="1" applyAlignment="1">
      <alignment horizontal="center" vertical="center" wrapText="1"/>
    </xf>
    <xf numFmtId="49" fontId="2" fillId="0" borderId="4" xfId="0" applyNumberFormat="1" applyFont="1" applyBorder="1" applyAlignment="1">
      <alignment horizontal="center" vertical="top" wrapText="1"/>
    </xf>
    <xf numFmtId="49" fontId="2" fillId="3" borderId="7" xfId="0" applyNumberFormat="1" applyFont="1" applyFill="1" applyBorder="1" applyAlignment="1">
      <alignment horizontal="center" vertical="top" wrapText="1"/>
    </xf>
    <xf numFmtId="4" fontId="1" fillId="3" borderId="5" xfId="0" applyNumberFormat="1" applyFont="1" applyFill="1" applyBorder="1" applyAlignment="1">
      <alignment vertical="top" wrapText="1"/>
    </xf>
    <xf numFmtId="49" fontId="2" fillId="3" borderId="5"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top" wrapText="1"/>
    </xf>
    <xf numFmtId="4" fontId="3" fillId="3" borderId="5" xfId="0" applyNumberFormat="1" applyFont="1" applyFill="1" applyBorder="1" applyAlignment="1">
      <alignment vertical="top" wrapText="1"/>
    </xf>
    <xf numFmtId="49" fontId="11" fillId="3"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9" fontId="3" fillId="3" borderId="2" xfId="0" applyNumberFormat="1" applyFont="1" applyFill="1" applyBorder="1" applyAlignment="1">
      <alignment horizontal="center" vertical="center" wrapText="1"/>
    </xf>
    <xf numFmtId="4" fontId="3" fillId="3" borderId="2"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xf>
    <xf numFmtId="49" fontId="11" fillId="3" borderId="2"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top"/>
    </xf>
    <xf numFmtId="4" fontId="11" fillId="3" borderId="2" xfId="0" applyNumberFormat="1" applyFont="1" applyFill="1" applyBorder="1" applyAlignment="1">
      <alignment horizontal="center" vertical="top"/>
    </xf>
    <xf numFmtId="49" fontId="1" fillId="2" borderId="0" xfId="0" applyNumberFormat="1" applyFont="1" applyFill="1" applyBorder="1"/>
    <xf numFmtId="49" fontId="1" fillId="0" borderId="0" xfId="0" applyNumberFormat="1" applyFont="1" applyAlignment="1">
      <alignment vertical="top"/>
    </xf>
    <xf numFmtId="0" fontId="12" fillId="0" borderId="0" xfId="0" applyFont="1" applyAlignment="1">
      <alignment horizontal="center" vertical="top" wrapText="1"/>
    </xf>
    <xf numFmtId="4" fontId="2" fillId="0" borderId="10" xfId="0" applyNumberFormat="1" applyFont="1" applyFill="1" applyBorder="1" applyAlignment="1">
      <alignment vertical="top"/>
    </xf>
    <xf numFmtId="49" fontId="11" fillId="3" borderId="10" xfId="0" applyNumberFormat="1" applyFont="1" applyFill="1" applyBorder="1" applyAlignment="1">
      <alignment horizontal="center" vertical="top" wrapText="1"/>
    </xf>
    <xf numFmtId="0" fontId="1" fillId="2" borderId="0" xfId="0" applyFont="1" applyFill="1" applyBorder="1" applyAlignment="1">
      <alignment vertical="top" wrapText="1"/>
    </xf>
    <xf numFmtId="0" fontId="1" fillId="0" borderId="1" xfId="0" applyFont="1" applyFill="1" applyBorder="1" applyAlignment="1">
      <alignment vertical="top" wrapText="1"/>
    </xf>
    <xf numFmtId="49" fontId="2" fillId="3" borderId="2" xfId="0" applyNumberFormat="1" applyFont="1" applyFill="1" applyBorder="1" applyAlignment="1">
      <alignment vertical="top"/>
    </xf>
    <xf numFmtId="0" fontId="3" fillId="0" borderId="6" xfId="0" applyFont="1" applyBorder="1" applyAlignment="1">
      <alignment vertical="center" wrapText="1"/>
    </xf>
    <xf numFmtId="49" fontId="11" fillId="0" borderId="6" xfId="0" applyNumberFormat="1" applyFont="1" applyBorder="1" applyAlignment="1">
      <alignment horizontal="center" vertical="top" wrapText="1"/>
    </xf>
    <xf numFmtId="49" fontId="3" fillId="0" borderId="6" xfId="0" applyNumberFormat="1" applyFont="1" applyBorder="1" applyAlignment="1">
      <alignment horizontal="center" vertical="center" wrapText="1"/>
    </xf>
    <xf numFmtId="4" fontId="3" fillId="3" borderId="8" xfId="0" applyNumberFormat="1" applyFont="1" applyFill="1" applyBorder="1" applyAlignment="1">
      <alignment horizontal="center" vertical="top" wrapText="1"/>
    </xf>
    <xf numFmtId="49" fontId="2" fillId="4" borderId="15" xfId="0" applyNumberFormat="1" applyFont="1" applyFill="1" applyBorder="1" applyAlignment="1">
      <alignment horizontal="right" vertical="top" wrapText="1"/>
    </xf>
    <xf numFmtId="49" fontId="2" fillId="4" borderId="14" xfId="0" applyNumberFormat="1" applyFont="1" applyFill="1" applyBorder="1" applyAlignment="1">
      <alignment horizontal="right" vertical="top" wrapText="1"/>
    </xf>
    <xf numFmtId="49" fontId="2" fillId="4" borderId="16" xfId="0" applyNumberFormat="1" applyFont="1" applyFill="1" applyBorder="1" applyAlignment="1">
      <alignment horizontal="right" vertical="top" wrapText="1"/>
    </xf>
    <xf numFmtId="49" fontId="2" fillId="4" borderId="2" xfId="0" applyNumberFormat="1" applyFont="1" applyFill="1" applyBorder="1" applyAlignment="1">
      <alignment horizontal="right" vertical="top" wrapText="1"/>
    </xf>
    <xf numFmtId="49" fontId="2" fillId="6" borderId="2" xfId="0" applyNumberFormat="1" applyFont="1" applyFill="1" applyBorder="1" applyAlignment="1">
      <alignment horizontal="right" vertical="top" wrapText="1"/>
    </xf>
    <xf numFmtId="49" fontId="2" fillId="6" borderId="3" xfId="0" applyNumberFormat="1" applyFont="1" applyFill="1" applyBorder="1" applyAlignment="1">
      <alignment horizontal="right" vertical="top" wrapText="1"/>
    </xf>
    <xf numFmtId="4" fontId="2" fillId="6" borderId="1" xfId="0" applyNumberFormat="1" applyFont="1" applyFill="1" applyBorder="1" applyAlignment="1">
      <alignment vertical="center" wrapText="1"/>
    </xf>
    <xf numFmtId="164" fontId="2" fillId="6" borderId="1" xfId="0" applyNumberFormat="1" applyFont="1" applyFill="1" applyBorder="1" applyAlignment="1">
      <alignment horizontal="center" vertical="top" wrapText="1"/>
    </xf>
    <xf numFmtId="49" fontId="1" fillId="3" borderId="4" xfId="0" applyNumberFormat="1" applyFont="1" applyFill="1" applyBorder="1" applyAlignment="1">
      <alignment horizontal="left" vertical="top" wrapText="1"/>
    </xf>
    <xf numFmtId="49" fontId="5" fillId="0" borderId="1" xfId="0" applyNumberFormat="1" applyFont="1" applyBorder="1" applyAlignment="1">
      <alignment horizontal="center" vertical="center" wrapText="1"/>
    </xf>
    <xf numFmtId="49" fontId="1" fillId="0" borderId="22" xfId="0" applyNumberFormat="1" applyFont="1" applyBorder="1" applyAlignment="1">
      <alignment vertical="center" wrapText="1"/>
    </xf>
    <xf numFmtId="0" fontId="2" fillId="3" borderId="21" xfId="0" applyFont="1" applyFill="1" applyBorder="1" applyAlignment="1">
      <alignment horizontal="center" vertical="center" wrapText="1"/>
    </xf>
    <xf numFmtId="49" fontId="1" fillId="3" borderId="25" xfId="0" applyNumberFormat="1" applyFont="1" applyFill="1" applyBorder="1" applyAlignment="1">
      <alignment vertical="center" wrapText="1"/>
    </xf>
    <xf numFmtId="49" fontId="2" fillId="4" borderId="23" xfId="0" applyNumberFormat="1" applyFont="1" applyFill="1" applyBorder="1" applyAlignment="1">
      <alignment horizontal="right" vertical="top" wrapText="1"/>
    </xf>
    <xf numFmtId="4" fontId="1" fillId="0" borderId="21" xfId="0" applyNumberFormat="1" applyFont="1" applyBorder="1" applyAlignment="1">
      <alignment horizontal="center" vertical="top" wrapText="1"/>
    </xf>
    <xf numFmtId="4" fontId="1" fillId="3" borderId="27" xfId="0" applyNumberFormat="1" applyFont="1" applyFill="1" applyBorder="1" applyAlignment="1">
      <alignment horizontal="center" vertical="top" wrapText="1"/>
    </xf>
    <xf numFmtId="4" fontId="2" fillId="6" borderId="21" xfId="0" applyNumberFormat="1" applyFont="1" applyFill="1" applyBorder="1" applyAlignment="1">
      <alignment vertical="center" wrapText="1"/>
    </xf>
    <xf numFmtId="49" fontId="1" fillId="3" borderId="22" xfId="0" applyNumberFormat="1" applyFont="1" applyFill="1" applyBorder="1" applyAlignment="1">
      <alignment horizontal="left" vertical="top" wrapText="1"/>
    </xf>
    <xf numFmtId="49" fontId="1" fillId="0" borderId="20" xfId="0" applyNumberFormat="1" applyFont="1" applyBorder="1" applyAlignment="1">
      <alignment horizontal="left" vertical="top" wrapText="1"/>
    </xf>
    <xf numFmtId="49" fontId="2" fillId="6" borderId="23" xfId="0" applyNumberFormat="1" applyFont="1" applyFill="1" applyBorder="1" applyAlignment="1">
      <alignment horizontal="right" vertical="top" wrapText="1"/>
    </xf>
    <xf numFmtId="49" fontId="2" fillId="0" borderId="22" xfId="0" applyNumberFormat="1" applyFont="1" applyFill="1" applyBorder="1" applyAlignment="1">
      <alignment vertical="center" wrapText="1"/>
    </xf>
    <xf numFmtId="49" fontId="1" fillId="3" borderId="25" xfId="0" applyNumberFormat="1" applyFont="1" applyFill="1" applyBorder="1" applyAlignment="1">
      <alignment horizontal="center" vertical="top" wrapText="1"/>
    </xf>
    <xf numFmtId="49" fontId="1" fillId="3" borderId="20" xfId="0" applyNumberFormat="1" applyFont="1" applyFill="1" applyBorder="1" applyAlignment="1">
      <alignment horizontal="center" vertical="top" wrapText="1"/>
    </xf>
    <xf numFmtId="49" fontId="1" fillId="3" borderId="22" xfId="0" applyNumberFormat="1" applyFont="1" applyFill="1" applyBorder="1" applyAlignment="1">
      <alignment horizontal="center" vertical="top" wrapText="1"/>
    </xf>
    <xf numFmtId="4" fontId="1" fillId="3" borderId="21" xfId="0" applyNumberFormat="1" applyFont="1" applyFill="1" applyBorder="1" applyAlignment="1">
      <alignment horizontal="center" vertical="top" wrapText="1"/>
    </xf>
    <xf numFmtId="49" fontId="2" fillId="3" borderId="23" xfId="0" applyNumberFormat="1" applyFont="1" applyFill="1" applyBorder="1" applyAlignment="1">
      <alignment horizontal="center" vertical="top" wrapText="1"/>
    </xf>
    <xf numFmtId="4" fontId="1" fillId="3" borderId="24" xfId="0" applyNumberFormat="1" applyFont="1" applyFill="1" applyBorder="1" applyAlignment="1">
      <alignment horizontal="center" vertical="top" wrapText="1"/>
    </xf>
    <xf numFmtId="49" fontId="2" fillId="3" borderId="22" xfId="0" applyNumberFormat="1" applyFont="1" applyFill="1" applyBorder="1" applyAlignment="1">
      <alignment horizontal="center" vertical="top" wrapText="1"/>
    </xf>
    <xf numFmtId="4" fontId="2" fillId="3" borderId="24" xfId="0" applyNumberFormat="1" applyFont="1" applyFill="1" applyBorder="1" applyAlignment="1">
      <alignment horizontal="center" vertical="top" wrapText="1"/>
    </xf>
    <xf numFmtId="49" fontId="1" fillId="3" borderId="31" xfId="0" applyNumberFormat="1" applyFont="1" applyFill="1" applyBorder="1" applyAlignment="1">
      <alignment horizontal="center" vertical="top" wrapText="1"/>
    </xf>
    <xf numFmtId="4" fontId="1" fillId="3" borderId="29" xfId="0" applyNumberFormat="1" applyFont="1" applyFill="1" applyBorder="1" applyAlignment="1">
      <alignment horizontal="center" vertical="top" wrapText="1"/>
    </xf>
    <xf numFmtId="4" fontId="3" fillId="3" borderId="29" xfId="0" applyNumberFormat="1" applyFont="1" applyFill="1" applyBorder="1" applyAlignment="1">
      <alignment horizontal="center" vertical="top" wrapText="1"/>
    </xf>
    <xf numFmtId="4" fontId="3" fillId="3" borderId="24" xfId="0" applyNumberFormat="1" applyFont="1" applyFill="1" applyBorder="1" applyAlignment="1">
      <alignment horizontal="center" vertical="top" wrapText="1"/>
    </xf>
    <xf numFmtId="4" fontId="3" fillId="3" borderId="21" xfId="0" applyNumberFormat="1" applyFont="1" applyFill="1" applyBorder="1" applyAlignment="1">
      <alignment horizontal="center" vertical="top"/>
    </xf>
    <xf numFmtId="4" fontId="11" fillId="3" borderId="24" xfId="0" applyNumberFormat="1" applyFont="1" applyFill="1" applyBorder="1" applyAlignment="1">
      <alignment horizontal="center" vertical="top"/>
    </xf>
    <xf numFmtId="49" fontId="2" fillId="2" borderId="33" xfId="0" applyNumberFormat="1" applyFont="1" applyFill="1" applyBorder="1" applyAlignment="1">
      <alignment vertical="top"/>
    </xf>
    <xf numFmtId="49" fontId="2" fillId="0" borderId="22" xfId="0" applyNumberFormat="1" applyFont="1" applyFill="1" applyBorder="1" applyAlignment="1">
      <alignment vertical="top"/>
    </xf>
    <xf numFmtId="0" fontId="1" fillId="0" borderId="21" xfId="0" applyFont="1" applyFill="1" applyBorder="1" applyAlignment="1">
      <alignment vertical="center" wrapText="1"/>
    </xf>
    <xf numFmtId="0" fontId="1" fillId="0" borderId="24" xfId="0" applyFont="1" applyFill="1" applyBorder="1" applyAlignment="1">
      <alignment vertical="top"/>
    </xf>
    <xf numFmtId="49" fontId="1" fillId="0" borderId="22" xfId="0" applyNumberFormat="1" applyFont="1" applyBorder="1" applyAlignment="1">
      <alignment horizontal="center" vertical="top"/>
    </xf>
    <xf numFmtId="49" fontId="1" fillId="0" borderId="22" xfId="0" applyNumberFormat="1" applyFont="1" applyBorder="1" applyAlignment="1">
      <alignment vertical="top"/>
    </xf>
    <xf numFmtId="49" fontId="1" fillId="0" borderId="22" xfId="0" applyNumberFormat="1" applyFont="1" applyBorder="1" applyAlignment="1">
      <alignment horizontal="center" vertical="top" wrapText="1"/>
    </xf>
    <xf numFmtId="49" fontId="1" fillId="0" borderId="25" xfId="0" applyNumberFormat="1" applyFont="1" applyBorder="1" applyAlignment="1">
      <alignment horizontal="center" vertical="top" wrapText="1"/>
    </xf>
    <xf numFmtId="49" fontId="1" fillId="0" borderId="20"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1" fillId="0" borderId="21" xfId="0" applyFont="1" applyBorder="1" applyAlignment="1">
      <alignment horizontal="center" vertical="top" wrapText="1"/>
    </xf>
    <xf numFmtId="164" fontId="2" fillId="6" borderId="21" xfId="0" applyNumberFormat="1" applyFont="1" applyFill="1" applyBorder="1" applyAlignment="1">
      <alignment horizontal="center" vertical="top" wrapText="1"/>
    </xf>
    <xf numFmtId="49" fontId="2" fillId="4" borderId="34" xfId="0" applyNumberFormat="1" applyFont="1" applyFill="1" applyBorder="1" applyAlignment="1">
      <alignment horizontal="right" vertical="top" wrapText="1"/>
    </xf>
    <xf numFmtId="164" fontId="2" fillId="4" borderId="30" xfId="0" applyNumberFormat="1" applyFont="1" applyFill="1" applyBorder="1" applyAlignment="1">
      <alignment horizontal="center" vertical="top" wrapText="1"/>
    </xf>
    <xf numFmtId="4" fontId="2" fillId="7" borderId="37" xfId="0" applyNumberFormat="1" applyFont="1" applyFill="1" applyBorder="1" applyAlignment="1">
      <alignment horizontal="center" vertical="center" wrapText="1"/>
    </xf>
    <xf numFmtId="4" fontId="2" fillId="7" borderId="38"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top"/>
    </xf>
    <xf numFmtId="49" fontId="1" fillId="0" borderId="5" xfId="0" applyNumberFormat="1" applyFont="1" applyBorder="1" applyAlignment="1">
      <alignment horizontal="center" vertical="top"/>
    </xf>
    <xf numFmtId="4" fontId="3" fillId="0" borderId="4" xfId="0" applyNumberFormat="1" applyFont="1" applyBorder="1" applyAlignment="1">
      <alignment horizontal="center" vertical="top" wrapText="1"/>
    </xf>
    <xf numFmtId="49" fontId="2" fillId="3" borderId="4" xfId="0" applyNumberFormat="1" applyFont="1" applyFill="1" applyBorder="1" applyAlignment="1">
      <alignment horizontal="center" vertical="top" wrapText="1"/>
    </xf>
    <xf numFmtId="49" fontId="1" fillId="3" borderId="4" xfId="0" applyNumberFormat="1" applyFont="1" applyFill="1" applyBorder="1" applyAlignment="1">
      <alignment horizontal="center" vertical="center" wrapText="1"/>
    </xf>
    <xf numFmtId="4" fontId="1" fillId="3" borderId="21" xfId="0" applyNumberFormat="1" applyFont="1" applyFill="1" applyBorder="1" applyAlignment="1">
      <alignment horizontal="center" vertical="top"/>
    </xf>
    <xf numFmtId="49" fontId="1" fillId="0" borderId="25" xfId="0" applyNumberFormat="1" applyFont="1" applyBorder="1" applyAlignment="1">
      <alignment horizontal="center" vertical="top"/>
    </xf>
    <xf numFmtId="49" fontId="2" fillId="0" borderId="4" xfId="0" applyNumberFormat="1" applyFont="1" applyBorder="1" applyAlignment="1">
      <alignment horizontal="center" vertical="top"/>
    </xf>
    <xf numFmtId="49" fontId="1" fillId="0" borderId="4" xfId="0" applyNumberFormat="1" applyFont="1" applyBorder="1" applyAlignment="1">
      <alignment horizontal="center" vertical="top"/>
    </xf>
    <xf numFmtId="4" fontId="1" fillId="3" borderId="29" xfId="0" applyNumberFormat="1" applyFont="1" applyFill="1" applyBorder="1" applyAlignment="1">
      <alignment horizontal="center" vertical="top"/>
    </xf>
    <xf numFmtId="0" fontId="4" fillId="0" borderId="1" xfId="0" applyFont="1" applyBorder="1" applyAlignment="1">
      <alignment horizontal="center" vertical="top" wrapText="1"/>
    </xf>
    <xf numFmtId="0" fontId="1" fillId="3" borderId="0" xfId="0" applyFont="1" applyFill="1"/>
    <xf numFmtId="0" fontId="10" fillId="0" borderId="0" xfId="0" applyFont="1" applyBorder="1" applyAlignment="1">
      <alignment vertical="top"/>
    </xf>
    <xf numFmtId="0" fontId="4" fillId="3" borderId="1" xfId="0" applyFont="1" applyFill="1" applyBorder="1" applyAlignment="1">
      <alignment horizontal="left" vertical="top" wrapText="1"/>
    </xf>
    <xf numFmtId="4" fontId="4" fillId="0" borderId="1" xfId="0" applyNumberFormat="1" applyFont="1" applyFill="1" applyBorder="1" applyAlignment="1">
      <alignment horizontal="center" vertical="top" wrapText="1"/>
    </xf>
    <xf numFmtId="49" fontId="3" fillId="0" borderId="22" xfId="0" applyNumberFormat="1" applyFont="1" applyBorder="1" applyAlignment="1">
      <alignment horizontal="center" vertical="top"/>
    </xf>
    <xf numFmtId="49" fontId="11"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4" fontId="3" fillId="3" borderId="6" xfId="0" applyNumberFormat="1" applyFont="1" applyFill="1" applyBorder="1" applyAlignment="1">
      <alignment horizontal="center" vertical="top" wrapText="1"/>
    </xf>
    <xf numFmtId="4" fontId="3" fillId="3" borderId="4" xfId="0" applyNumberFormat="1" applyFont="1" applyFill="1" applyBorder="1" applyAlignment="1">
      <alignment horizontal="center" vertical="top" wrapText="1"/>
    </xf>
    <xf numFmtId="4" fontId="3" fillId="3" borderId="21" xfId="0" applyNumberFormat="1" applyFont="1" applyFill="1" applyBorder="1" applyAlignment="1">
      <alignment horizontal="center" vertical="top" wrapText="1"/>
    </xf>
    <xf numFmtId="4" fontId="1" fillId="3" borderId="1" xfId="0" applyNumberFormat="1" applyFont="1" applyFill="1" applyBorder="1" applyAlignment="1">
      <alignment horizontal="center" vertical="top"/>
    </xf>
    <xf numFmtId="4" fontId="1" fillId="3" borderId="5" xfId="0" applyNumberFormat="1" applyFont="1" applyFill="1" applyBorder="1" applyAlignment="1">
      <alignment horizontal="center" vertical="top"/>
    </xf>
    <xf numFmtId="49" fontId="11" fillId="3" borderId="4"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 fontId="16" fillId="3" borderId="1" xfId="0" applyNumberFormat="1" applyFont="1" applyFill="1" applyBorder="1" applyAlignment="1">
      <alignment horizontal="center" vertical="top" wrapText="1"/>
    </xf>
    <xf numFmtId="4" fontId="16" fillId="3" borderId="1" xfId="0" applyNumberFormat="1" applyFont="1" applyFill="1" applyBorder="1" applyAlignment="1">
      <alignment horizontal="center" vertical="top"/>
    </xf>
    <xf numFmtId="4" fontId="3" fillId="3" borderId="24" xfId="0" applyNumberFormat="1" applyFont="1" applyFill="1" applyBorder="1" applyAlignment="1">
      <alignment horizontal="center" vertical="top"/>
    </xf>
    <xf numFmtId="0" fontId="1" fillId="0" borderId="5" xfId="0" applyFont="1" applyBorder="1" applyAlignment="1">
      <alignment horizontal="center" vertical="top" wrapText="1"/>
    </xf>
    <xf numFmtId="0" fontId="1" fillId="0" borderId="4" xfId="0" applyFont="1" applyBorder="1" applyAlignment="1">
      <alignment horizontal="center" vertical="top" wrapText="1"/>
    </xf>
    <xf numFmtId="0" fontId="3" fillId="0" borderId="1" xfId="0" applyFont="1" applyBorder="1" applyAlignment="1">
      <alignment horizontal="left" vertical="top" wrapText="1"/>
    </xf>
    <xf numFmtId="4" fontId="4" fillId="3" borderId="1"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4" fontId="2" fillId="6" borderId="21" xfId="0" applyNumberFormat="1" applyFont="1" applyFill="1" applyBorder="1" applyAlignment="1">
      <alignment horizontal="center" vertical="top" wrapText="1"/>
    </xf>
    <xf numFmtId="4" fontId="4" fillId="3" borderId="4" xfId="0" applyNumberFormat="1" applyFont="1" applyFill="1" applyBorder="1" applyAlignment="1">
      <alignment horizontal="center" vertical="top" wrapText="1"/>
    </xf>
    <xf numFmtId="4" fontId="3" fillId="3" borderId="21" xfId="0" applyNumberFormat="1" applyFont="1" applyFill="1" applyBorder="1" applyAlignment="1">
      <alignment horizontal="left" vertical="top" wrapText="1"/>
    </xf>
    <xf numFmtId="4" fontId="16" fillId="3" borderId="5" xfId="0" applyNumberFormat="1" applyFont="1" applyFill="1" applyBorder="1" applyAlignment="1">
      <alignment horizontal="center" vertical="top" wrapText="1"/>
    </xf>
    <xf numFmtId="4" fontId="3" fillId="3" borderId="1" xfId="0" applyNumberFormat="1" applyFont="1" applyFill="1" applyBorder="1" applyAlignment="1">
      <alignment vertical="top" wrapText="1"/>
    </xf>
    <xf numFmtId="49" fontId="11"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49" fontId="13" fillId="0" borderId="1" xfId="0" applyNumberFormat="1" applyFont="1" applyBorder="1" applyAlignment="1">
      <alignment horizontal="center" vertical="top" wrapText="1"/>
    </xf>
    <xf numFmtId="49" fontId="1" fillId="3" borderId="1" xfId="0" applyNumberFormat="1" applyFont="1" applyFill="1" applyBorder="1" applyAlignment="1">
      <alignment horizontal="center" vertical="top"/>
    </xf>
    <xf numFmtId="49" fontId="1" fillId="3" borderId="20" xfId="0" applyNumberFormat="1" applyFont="1" applyFill="1" applyBorder="1" applyAlignment="1">
      <alignment horizontal="left" vertical="top" wrapText="1"/>
    </xf>
    <xf numFmtId="49" fontId="1" fillId="3" borderId="5"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center" vertical="top"/>
    </xf>
    <xf numFmtId="49" fontId="3" fillId="3" borderId="1" xfId="0" applyNumberFormat="1" applyFont="1" applyFill="1" applyBorder="1" applyAlignment="1">
      <alignment horizontal="center" vertical="center" wrapText="1"/>
    </xf>
    <xf numFmtId="49" fontId="1" fillId="3" borderId="23"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49" fontId="1" fillId="3" borderId="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top" wrapText="1"/>
    </xf>
    <xf numFmtId="4" fontId="4" fillId="3" borderId="6" xfId="0" applyNumberFormat="1" applyFont="1" applyFill="1" applyBorder="1" applyAlignment="1">
      <alignment horizontal="center" vertical="top" wrapText="1"/>
    </xf>
    <xf numFmtId="49" fontId="1" fillId="3" borderId="1" xfId="0" applyNumberFormat="1" applyFont="1" applyFill="1" applyBorder="1" applyAlignment="1">
      <alignment vertical="top" wrapText="1"/>
    </xf>
    <xf numFmtId="0" fontId="1" fillId="3" borderId="1" xfId="0" applyFont="1" applyFill="1" applyBorder="1" applyAlignment="1">
      <alignment horizontal="left" vertical="top" wrapText="1"/>
    </xf>
    <xf numFmtId="0" fontId="11"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49" fontId="18" fillId="3" borderId="25" xfId="0" applyNumberFormat="1" applyFont="1" applyFill="1" applyBorder="1" applyAlignment="1">
      <alignment horizontal="center" vertical="top" wrapText="1"/>
    </xf>
    <xf numFmtId="49" fontId="3" fillId="3" borderId="22" xfId="0" applyNumberFormat="1" applyFont="1" applyFill="1" applyBorder="1" applyAlignment="1">
      <alignment horizontal="center" vertical="top" wrapText="1"/>
    </xf>
    <xf numFmtId="0" fontId="3" fillId="3" borderId="2" xfId="0" applyFont="1" applyFill="1" applyBorder="1" applyAlignment="1">
      <alignment horizontal="center" vertical="top" wrapText="1"/>
    </xf>
    <xf numFmtId="49" fontId="1" fillId="3" borderId="6"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xf>
    <xf numFmtId="49" fontId="3" fillId="3" borderId="4" xfId="0" applyNumberFormat="1" applyFont="1" applyFill="1" applyBorder="1" applyAlignment="1">
      <alignment horizontal="center" vertical="top" wrapText="1"/>
    </xf>
    <xf numFmtId="4" fontId="1" fillId="3" borderId="7" xfId="0" applyNumberFormat="1" applyFont="1" applyFill="1" applyBorder="1" applyAlignment="1">
      <alignment horizontal="center" vertical="top" wrapText="1"/>
    </xf>
    <xf numFmtId="4" fontId="3" fillId="3" borderId="30"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xf>
    <xf numFmtId="49" fontId="1" fillId="3" borderId="7" xfId="0" applyNumberFormat="1" applyFont="1" applyFill="1" applyBorder="1" applyAlignment="1">
      <alignment horizontal="center" vertical="top"/>
    </xf>
    <xf numFmtId="4" fontId="1" fillId="3" borderId="7" xfId="0" applyNumberFormat="1" applyFont="1" applyFill="1" applyBorder="1" applyAlignment="1">
      <alignment horizontal="center" vertical="top"/>
    </xf>
    <xf numFmtId="49" fontId="1" fillId="3" borderId="0" xfId="0" applyNumberFormat="1" applyFont="1" applyFill="1" applyBorder="1" applyAlignment="1">
      <alignment horizontal="center" vertical="top" wrapText="1"/>
    </xf>
    <xf numFmtId="4" fontId="1" fillId="3" borderId="0" xfId="0" applyNumberFormat="1" applyFont="1" applyFill="1" applyBorder="1" applyAlignment="1">
      <alignment horizontal="center" vertical="top" wrapText="1"/>
    </xf>
    <xf numFmtId="49" fontId="1" fillId="3" borderId="3" xfId="0" applyNumberFormat="1" applyFont="1" applyFill="1" applyBorder="1" applyAlignment="1">
      <alignment horizontal="center" vertical="top"/>
    </xf>
    <xf numFmtId="4" fontId="1" fillId="3" borderId="10" xfId="0" applyNumberFormat="1" applyFont="1" applyFill="1" applyBorder="1" applyAlignment="1">
      <alignment horizontal="center" vertical="top"/>
    </xf>
    <xf numFmtId="4" fontId="1" fillId="3" borderId="3" xfId="0" applyNumberFormat="1" applyFont="1" applyFill="1" applyBorder="1" applyAlignment="1">
      <alignment horizontal="center" vertical="top"/>
    </xf>
    <xf numFmtId="4" fontId="3" fillId="3" borderId="1" xfId="0" applyNumberFormat="1" applyFont="1" applyFill="1" applyBorder="1" applyAlignment="1">
      <alignment vertical="top"/>
    </xf>
    <xf numFmtId="4" fontId="3" fillId="3" borderId="21" xfId="0" applyNumberFormat="1" applyFont="1" applyFill="1" applyBorder="1" applyAlignment="1">
      <alignment vertical="top"/>
    </xf>
    <xf numFmtId="49" fontId="3" fillId="3" borderId="1" xfId="0" applyNumberFormat="1" applyFont="1" applyFill="1" applyBorder="1" applyAlignment="1">
      <alignment horizontal="center" vertical="top" wrapText="1" readingOrder="1"/>
    </xf>
    <xf numFmtId="4" fontId="3" fillId="3" borderId="1" xfId="0" applyNumberFormat="1" applyFont="1" applyFill="1" applyBorder="1" applyAlignment="1">
      <alignment horizontal="center" vertical="top" wrapText="1" readingOrder="1"/>
    </xf>
    <xf numFmtId="0" fontId="3" fillId="3" borderId="2" xfId="0" applyFont="1" applyFill="1" applyBorder="1" applyAlignment="1">
      <alignment horizontal="left" vertical="top" wrapText="1"/>
    </xf>
    <xf numFmtId="49" fontId="3" fillId="3" borderId="2" xfId="0" applyNumberFormat="1" applyFont="1" applyFill="1" applyBorder="1" applyAlignment="1">
      <alignment horizontal="center" vertical="top" wrapText="1" readingOrder="1"/>
    </xf>
    <xf numFmtId="49" fontId="3" fillId="3" borderId="3" xfId="0" applyNumberFormat="1" applyFont="1" applyFill="1" applyBorder="1" applyAlignment="1">
      <alignment horizontal="center" vertical="top" wrapText="1" readingOrder="1"/>
    </xf>
    <xf numFmtId="4" fontId="3" fillId="0" borderId="21" xfId="0" applyNumberFormat="1" applyFont="1" applyBorder="1" applyAlignment="1">
      <alignment horizontal="center" vertical="top" wrapText="1"/>
    </xf>
    <xf numFmtId="0" fontId="11" fillId="3" borderId="4" xfId="0" applyFont="1" applyFill="1" applyBorder="1" applyAlignment="1">
      <alignment horizontal="center" vertical="top" wrapText="1"/>
    </xf>
    <xf numFmtId="49" fontId="3" fillId="3" borderId="4" xfId="0" applyNumberFormat="1" applyFont="1" applyFill="1" applyBorder="1" applyAlignment="1">
      <alignment horizontal="center" vertical="top" wrapText="1" readingOrder="1"/>
    </xf>
    <xf numFmtId="0" fontId="3" fillId="3" borderId="4" xfId="0" applyFont="1" applyFill="1" applyBorder="1" applyAlignment="1">
      <alignment horizontal="center" vertical="top" wrapText="1"/>
    </xf>
    <xf numFmtId="4" fontId="3" fillId="0" borderId="30" xfId="0" applyNumberFormat="1" applyFont="1" applyBorder="1" applyAlignment="1">
      <alignment horizontal="center" vertical="top" wrapText="1"/>
    </xf>
    <xf numFmtId="0" fontId="11"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textRotation="90" wrapText="1"/>
    </xf>
    <xf numFmtId="49" fontId="16" fillId="3" borderId="4" xfId="0" applyNumberFormat="1" applyFont="1" applyFill="1" applyBorder="1" applyAlignment="1">
      <alignment horizontal="center" vertical="top" wrapText="1"/>
    </xf>
    <xf numFmtId="49" fontId="16" fillId="3" borderId="1" xfId="0" applyNumberFormat="1" applyFont="1" applyFill="1" applyBorder="1" applyAlignment="1">
      <alignment horizontal="center" vertical="top" wrapText="1"/>
    </xf>
    <xf numFmtId="49" fontId="1" fillId="3" borderId="1" xfId="0" applyNumberFormat="1" applyFont="1" applyFill="1" applyBorder="1" applyAlignment="1">
      <alignment vertical="center"/>
    </xf>
    <xf numFmtId="49" fontId="17" fillId="0"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xf>
    <xf numFmtId="49" fontId="3" fillId="3" borderId="1" xfId="0" applyNumberFormat="1" applyFont="1" applyFill="1" applyBorder="1" applyAlignment="1">
      <alignment horizontal="left" vertical="center"/>
    </xf>
    <xf numFmtId="49" fontId="11" fillId="0" borderId="22" xfId="0" applyNumberFormat="1" applyFont="1" applyFill="1" applyBorder="1" applyAlignment="1">
      <alignment vertical="top"/>
    </xf>
    <xf numFmtId="49" fontId="11" fillId="0" borderId="1" xfId="0" applyNumberFormat="1" applyFont="1" applyFill="1" applyBorder="1"/>
    <xf numFmtId="0" fontId="11" fillId="0" borderId="10" xfId="0" applyFont="1" applyFill="1" applyBorder="1" applyAlignment="1">
      <alignment horizontal="left" vertical="top" wrapText="1"/>
    </xf>
    <xf numFmtId="49" fontId="11" fillId="3" borderId="2" xfId="0" applyNumberFormat="1" applyFont="1" applyFill="1" applyBorder="1" applyAlignment="1">
      <alignment vertical="top"/>
    </xf>
    <xf numFmtId="49" fontId="3" fillId="3" borderId="4" xfId="0" applyNumberFormat="1" applyFont="1" applyFill="1" applyBorder="1" applyAlignment="1">
      <alignment horizontal="left" vertical="center"/>
    </xf>
    <xf numFmtId="49" fontId="11" fillId="3" borderId="4" xfId="0" applyNumberFormat="1" applyFont="1" applyFill="1" applyBorder="1" applyAlignment="1">
      <alignment horizontal="center" vertical="top"/>
    </xf>
    <xf numFmtId="49" fontId="3" fillId="3" borderId="7" xfId="0" applyNumberFormat="1" applyFont="1" applyFill="1" applyBorder="1" applyAlignment="1">
      <alignment horizontal="left" vertical="center"/>
    </xf>
    <xf numFmtId="49" fontId="11" fillId="3" borderId="40" xfId="0" applyNumberFormat="1" applyFont="1" applyFill="1" applyBorder="1" applyAlignment="1">
      <alignment horizontal="center" vertical="top"/>
    </xf>
    <xf numFmtId="49" fontId="3" fillId="3" borderId="3" xfId="0" applyNumberFormat="1" applyFont="1" applyFill="1" applyBorder="1" applyAlignment="1">
      <alignment horizontal="center" vertical="center" wrapText="1"/>
    </xf>
    <xf numFmtId="49" fontId="3" fillId="3" borderId="5" xfId="0" applyNumberFormat="1" applyFont="1" applyFill="1" applyBorder="1" applyAlignment="1">
      <alignment horizontal="left" vertical="center"/>
    </xf>
    <xf numFmtId="0" fontId="3" fillId="3" borderId="5" xfId="0" applyFont="1" applyFill="1" applyBorder="1" applyAlignment="1">
      <alignment horizontal="left" vertical="top" wrapText="1"/>
    </xf>
    <xf numFmtId="49" fontId="11" fillId="3" borderId="5" xfId="0" applyNumberFormat="1" applyFont="1" applyFill="1" applyBorder="1" applyAlignment="1">
      <alignment horizontal="center" vertical="top"/>
    </xf>
    <xf numFmtId="49" fontId="11" fillId="3" borderId="1" xfId="0" applyNumberFormat="1" applyFont="1" applyFill="1" applyBorder="1" applyAlignment="1">
      <alignment horizontal="center" vertical="top"/>
    </xf>
    <xf numFmtId="49" fontId="3" fillId="3" borderId="25" xfId="0" applyNumberFormat="1" applyFont="1" applyFill="1" applyBorder="1" applyAlignment="1">
      <alignment horizontal="left" vertical="top" wrapText="1"/>
    </xf>
    <xf numFmtId="49" fontId="3" fillId="3" borderId="31" xfId="0" applyNumberFormat="1" applyFont="1" applyFill="1" applyBorder="1" applyAlignment="1">
      <alignment horizontal="left" vertical="top" wrapText="1"/>
    </xf>
    <xf numFmtId="49" fontId="3" fillId="3" borderId="20" xfId="0" applyNumberFormat="1" applyFont="1" applyFill="1" applyBorder="1" applyAlignment="1">
      <alignment horizontal="left" vertical="top" wrapText="1"/>
    </xf>
    <xf numFmtId="49" fontId="3" fillId="3" borderId="22" xfId="0" applyNumberFormat="1" applyFont="1" applyFill="1" applyBorder="1" applyAlignment="1">
      <alignment horizontal="left" vertical="top" wrapText="1"/>
    </xf>
    <xf numFmtId="49" fontId="2" fillId="0" borderId="41" xfId="0" applyNumberFormat="1" applyFont="1" applyBorder="1" applyAlignment="1">
      <alignment horizontal="center" vertical="top" wrapText="1"/>
    </xf>
    <xf numFmtId="0" fontId="1" fillId="0" borderId="16" xfId="0" applyFont="1" applyBorder="1" applyAlignment="1">
      <alignment horizontal="center" vertical="top" wrapText="1"/>
    </xf>
    <xf numFmtId="4" fontId="19" fillId="3" borderId="1" xfId="0" applyNumberFormat="1" applyFont="1" applyFill="1" applyBorder="1" applyAlignment="1">
      <alignment vertical="top"/>
    </xf>
    <xf numFmtId="4" fontId="19" fillId="0" borderId="1" xfId="0" applyNumberFormat="1" applyFont="1" applyBorder="1" applyAlignment="1">
      <alignment vertical="top"/>
    </xf>
    <xf numFmtId="4" fontId="19" fillId="0" borderId="21" xfId="0" applyNumberFormat="1" applyFont="1" applyBorder="1" applyAlignment="1">
      <alignment vertical="top"/>
    </xf>
    <xf numFmtId="4" fontId="19" fillId="3" borderId="4" xfId="0" applyNumberFormat="1" applyFont="1" applyFill="1" applyBorder="1" applyAlignment="1">
      <alignment vertical="top"/>
    </xf>
    <xf numFmtId="4" fontId="19" fillId="0" borderId="4" xfId="0" applyNumberFormat="1" applyFont="1" applyBorder="1" applyAlignment="1">
      <alignment vertical="top"/>
    </xf>
    <xf numFmtId="4" fontId="19" fillId="0" borderId="30" xfId="0" applyNumberFormat="1" applyFont="1" applyBorder="1" applyAlignment="1">
      <alignment vertical="top"/>
    </xf>
    <xf numFmtId="49" fontId="3" fillId="3" borderId="1" xfId="0" applyNumberFormat="1" applyFont="1" applyFill="1" applyBorder="1" applyAlignment="1">
      <alignment vertical="center" wrapText="1"/>
    </xf>
    <xf numFmtId="49" fontId="1" fillId="3" borderId="25" xfId="0" applyNumberFormat="1" applyFont="1" applyFill="1" applyBorder="1" applyAlignment="1">
      <alignment horizontal="left" vertical="top"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0" fontId="12" fillId="0" borderId="0" xfId="0" applyFont="1" applyAlignment="1">
      <alignment horizontal="center" wrapText="1"/>
    </xf>
    <xf numFmtId="3" fontId="3" fillId="3" borderId="4" xfId="0" applyNumberFormat="1" applyFont="1" applyFill="1" applyBorder="1" applyAlignment="1">
      <alignment horizontal="left" vertical="top" wrapText="1"/>
    </xf>
    <xf numFmtId="4" fontId="1" fillId="0" borderId="4" xfId="0" applyNumberFormat="1" applyFont="1" applyBorder="1" applyAlignment="1">
      <alignment vertical="top"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1" fillId="3" borderId="43" xfId="0" applyNumberFormat="1" applyFont="1" applyFill="1" applyBorder="1" applyAlignment="1">
      <alignment horizontal="center" vertical="top" wrapText="1"/>
    </xf>
    <xf numFmtId="4" fontId="1" fillId="3" borderId="10" xfId="0" applyNumberFormat="1" applyFont="1" applyFill="1" applyBorder="1" applyAlignment="1">
      <alignment horizontal="center" vertical="top" wrapText="1"/>
    </xf>
    <xf numFmtId="4" fontId="1" fillId="3" borderId="39" xfId="0" applyNumberFormat="1" applyFont="1" applyFill="1" applyBorder="1" applyAlignment="1">
      <alignment horizontal="center" vertical="top"/>
    </xf>
    <xf numFmtId="4" fontId="3" fillId="3" borderId="39"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xf>
    <xf numFmtId="4" fontId="3" fillId="3" borderId="10" xfId="0" applyNumberFormat="1" applyFont="1" applyFill="1" applyBorder="1" applyAlignment="1">
      <alignment horizontal="center" vertical="top" wrapText="1"/>
    </xf>
    <xf numFmtId="4" fontId="1" fillId="3" borderId="12" xfId="0" applyNumberFormat="1" applyFont="1" applyFill="1" applyBorder="1" applyAlignment="1">
      <alignment horizontal="center" vertical="top" wrapText="1"/>
    </xf>
    <xf numFmtId="4" fontId="3" fillId="3" borderId="12" xfId="0" applyNumberFormat="1" applyFont="1" applyFill="1" applyBorder="1" applyAlignment="1">
      <alignment horizontal="center" vertical="top" wrapText="1"/>
    </xf>
    <xf numFmtId="4" fontId="1" fillId="3" borderId="39" xfId="0" applyNumberFormat="1" applyFont="1" applyFill="1" applyBorder="1" applyAlignment="1">
      <alignment horizontal="center" vertical="top" wrapText="1"/>
    </xf>
    <xf numFmtId="4" fontId="3" fillId="3" borderId="40" xfId="0" applyNumberFormat="1" applyFont="1" applyFill="1" applyBorder="1" applyAlignment="1">
      <alignment horizontal="center" vertical="top"/>
    </xf>
    <xf numFmtId="0" fontId="1" fillId="0" borderId="10" xfId="0" applyFont="1" applyFill="1" applyBorder="1" applyAlignment="1">
      <alignment vertical="center" wrapText="1"/>
    </xf>
    <xf numFmtId="4" fontId="3" fillId="3" borderId="10" xfId="0" applyNumberFormat="1" applyFont="1" applyFill="1" applyBorder="1" applyAlignment="1">
      <alignment vertical="top"/>
    </xf>
    <xf numFmtId="4" fontId="3" fillId="0" borderId="10" xfId="0" applyNumberFormat="1" applyFont="1" applyBorder="1" applyAlignment="1">
      <alignment horizontal="center" vertical="top" wrapText="1"/>
    </xf>
    <xf numFmtId="4" fontId="3" fillId="0" borderId="12" xfId="0" applyNumberFormat="1" applyFont="1" applyBorder="1" applyAlignment="1">
      <alignment horizontal="center" vertical="top" wrapText="1"/>
    </xf>
    <xf numFmtId="4" fontId="1" fillId="0" borderId="10" xfId="0" applyNumberFormat="1" applyFont="1" applyBorder="1" applyAlignment="1">
      <alignment horizontal="center" vertical="top" wrapText="1"/>
    </xf>
    <xf numFmtId="0" fontId="1" fillId="0" borderId="10" xfId="0" applyFont="1" applyBorder="1" applyAlignment="1">
      <alignment horizontal="center" vertical="top" wrapText="1"/>
    </xf>
    <xf numFmtId="164" fontId="2" fillId="6" borderId="10" xfId="0" applyNumberFormat="1" applyFont="1" applyFill="1" applyBorder="1" applyAlignment="1">
      <alignment horizontal="center" vertical="top" wrapText="1"/>
    </xf>
    <xf numFmtId="4" fontId="19" fillId="0" borderId="10" xfId="0" applyNumberFormat="1" applyFont="1" applyBorder="1" applyAlignment="1">
      <alignment vertical="top"/>
    </xf>
    <xf numFmtId="4" fontId="19" fillId="0" borderId="12" xfId="0" applyNumberFormat="1" applyFont="1" applyBorder="1" applyAlignment="1">
      <alignment vertical="top"/>
    </xf>
    <xf numFmtId="4" fontId="2" fillId="7" borderId="44"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4" fontId="2" fillId="0" borderId="2" xfId="0" applyNumberFormat="1" applyFont="1" applyFill="1" applyBorder="1" applyAlignment="1"/>
    <xf numFmtId="4" fontId="2" fillId="0" borderId="21" xfId="0" applyNumberFormat="1" applyFont="1" applyFill="1" applyBorder="1" applyAlignment="1"/>
    <xf numFmtId="0" fontId="1" fillId="2" borderId="24" xfId="0" applyFont="1" applyFill="1" applyBorder="1" applyAlignment="1">
      <alignment vertical="center" wrapText="1"/>
    </xf>
    <xf numFmtId="0" fontId="1" fillId="0" borderId="2" xfId="0" applyFont="1" applyFill="1" applyBorder="1" applyAlignment="1">
      <alignment vertical="top"/>
    </xf>
    <xf numFmtId="4" fontId="4" fillId="3" borderId="21" xfId="0" applyNumberFormat="1" applyFont="1" applyFill="1" applyBorder="1" applyAlignment="1">
      <alignment horizontal="center" vertical="top"/>
    </xf>
    <xf numFmtId="49" fontId="1" fillId="3" borderId="25"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49" fontId="1" fillId="3" borderId="20" xfId="0" applyNumberFormat="1" applyFont="1" applyFill="1" applyBorder="1" applyAlignment="1">
      <alignment horizontal="center" vertical="top"/>
    </xf>
    <xf numFmtId="49" fontId="2" fillId="3" borderId="5" xfId="0" applyNumberFormat="1" applyFont="1" applyFill="1" applyBorder="1" applyAlignment="1">
      <alignment horizontal="center" vertical="top"/>
    </xf>
    <xf numFmtId="4" fontId="3" fillId="3" borderId="29" xfId="0" applyNumberFormat="1" applyFont="1" applyFill="1" applyBorder="1" applyAlignment="1">
      <alignment horizontal="center" vertical="top"/>
    </xf>
    <xf numFmtId="4" fontId="3" fillId="3" borderId="30" xfId="0" applyNumberFormat="1" applyFont="1" applyFill="1" applyBorder="1" applyAlignment="1">
      <alignment horizontal="center" vertical="top"/>
    </xf>
    <xf numFmtId="3" fontId="3" fillId="3" borderId="5" xfId="0" applyNumberFormat="1" applyFont="1" applyFill="1" applyBorder="1" applyAlignment="1">
      <alignment vertical="top" wrapText="1"/>
    </xf>
    <xf numFmtId="0" fontId="11"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3" fontId="3" fillId="3" borderId="4" xfId="0" applyNumberFormat="1" applyFont="1" applyFill="1" applyBorder="1" applyAlignment="1">
      <alignment vertical="top" wrapText="1"/>
    </xf>
    <xf numFmtId="49" fontId="4" fillId="3" borderId="3" xfId="0" applyNumberFormat="1" applyFont="1" applyFill="1" applyBorder="1" applyAlignment="1">
      <alignment horizontal="center" vertical="top" wrapText="1" readingOrder="1"/>
    </xf>
    <xf numFmtId="0" fontId="17" fillId="3" borderId="1" xfId="0" applyFont="1" applyFill="1" applyBorder="1" applyAlignment="1">
      <alignment horizontal="center" vertical="top" wrapText="1"/>
    </xf>
    <xf numFmtId="49" fontId="4" fillId="3" borderId="22" xfId="0" applyNumberFormat="1" applyFont="1" applyFill="1" applyBorder="1" applyAlignment="1">
      <alignment horizontal="center" vertical="top" wrapText="1"/>
    </xf>
    <xf numFmtId="49" fontId="4" fillId="3" borderId="2" xfId="0" applyNumberFormat="1" applyFont="1" applyFill="1" applyBorder="1" applyAlignment="1">
      <alignment horizontal="center" vertical="top" wrapText="1"/>
    </xf>
    <xf numFmtId="49" fontId="17" fillId="3"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readingOrder="1"/>
    </xf>
    <xf numFmtId="4" fontId="4" fillId="3" borderId="1" xfId="0" applyNumberFormat="1" applyFont="1" applyFill="1" applyBorder="1" applyAlignment="1">
      <alignment horizontal="center" vertical="top" wrapText="1" readingOrder="1"/>
    </xf>
    <xf numFmtId="49" fontId="4" fillId="0" borderId="22" xfId="0" applyNumberFormat="1" applyFont="1" applyBorder="1" applyAlignment="1">
      <alignment horizontal="center" vertical="top" wrapText="1"/>
    </xf>
    <xf numFmtId="4" fontId="3" fillId="0" borderId="21" xfId="0" applyNumberFormat="1" applyFont="1" applyBorder="1" applyAlignment="1">
      <alignment horizontal="left" vertical="top" wrapText="1"/>
    </xf>
    <xf numFmtId="3" fontId="4" fillId="3" borderId="1" xfId="0" applyNumberFormat="1" applyFont="1" applyFill="1" applyBorder="1" applyAlignment="1">
      <alignment vertical="top" wrapText="1"/>
    </xf>
    <xf numFmtId="4" fontId="4" fillId="3" borderId="4" xfId="0" applyNumberFormat="1" applyFont="1" applyFill="1" applyBorder="1" applyAlignment="1">
      <alignment horizontal="center" vertical="top"/>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1" fillId="0" borderId="4" xfId="0" applyNumberFormat="1" applyFont="1" applyBorder="1" applyAlignment="1">
      <alignment vertical="top" wrapText="1"/>
    </xf>
    <xf numFmtId="4" fontId="3" fillId="3" borderId="4" xfId="0" applyNumberFormat="1" applyFont="1" applyFill="1" applyBorder="1" applyAlignment="1">
      <alignment vertical="top" wrapText="1"/>
    </xf>
    <xf numFmtId="0" fontId="3" fillId="3" borderId="4" xfId="0" applyFont="1" applyFill="1" applyBorder="1" applyAlignment="1">
      <alignment horizontal="left" vertical="top" wrapText="1"/>
    </xf>
    <xf numFmtId="49" fontId="1" fillId="3" borderId="25" xfId="0" applyNumberFormat="1" applyFont="1" applyFill="1" applyBorder="1" applyAlignment="1">
      <alignment horizontal="left" vertical="top"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16" fillId="3" borderId="4" xfId="0" applyNumberFormat="1" applyFont="1" applyFill="1" applyBorder="1" applyAlignment="1">
      <alignment horizontal="center" vertical="top" wrapText="1"/>
    </xf>
    <xf numFmtId="49" fontId="1" fillId="3" borderId="40" xfId="0" applyNumberFormat="1" applyFont="1" applyFill="1" applyBorder="1" applyAlignment="1">
      <alignment horizontal="center" vertical="top" wrapText="1"/>
    </xf>
    <xf numFmtId="4" fontId="1" fillId="0" borderId="7" xfId="0" applyNumberFormat="1" applyFont="1" applyBorder="1" applyAlignment="1">
      <alignment vertical="top" wrapText="1"/>
    </xf>
    <xf numFmtId="49" fontId="2" fillId="0" borderId="7" xfId="0" applyNumberFormat="1" applyFont="1" applyBorder="1" applyAlignment="1">
      <alignment horizontal="center" vertical="top" wrapText="1"/>
    </xf>
    <xf numFmtId="49" fontId="3" fillId="3" borderId="7" xfId="0" applyNumberFormat="1" applyFont="1" applyFill="1" applyBorder="1" applyAlignment="1">
      <alignment horizontal="center" vertical="top" wrapText="1"/>
    </xf>
    <xf numFmtId="4" fontId="1" fillId="3" borderId="4" xfId="0" applyNumberFormat="1" applyFont="1" applyFill="1" applyBorder="1" applyAlignment="1">
      <alignment vertical="top" wrapText="1"/>
    </xf>
    <xf numFmtId="4" fontId="1" fillId="0" borderId="5" xfId="0" applyNumberFormat="1" applyFont="1" applyFill="1" applyBorder="1" applyAlignment="1">
      <alignment vertical="top" wrapText="1"/>
    </xf>
    <xf numFmtId="49" fontId="2" fillId="0" borderId="5" xfId="0" applyNumberFormat="1" applyFont="1" applyFill="1" applyBorder="1" applyAlignment="1">
      <alignment horizontal="center" vertical="top" wrapText="1"/>
    </xf>
    <xf numFmtId="49"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top" wrapText="1"/>
    </xf>
    <xf numFmtId="49" fontId="16" fillId="3" borderId="10" xfId="0" applyNumberFormat="1" applyFont="1" applyFill="1" applyBorder="1" applyAlignment="1">
      <alignment horizontal="center" vertical="top" wrapText="1"/>
    </xf>
    <xf numFmtId="4" fontId="4" fillId="0" borderId="5" xfId="0" applyNumberFormat="1" applyFont="1" applyFill="1" applyBorder="1" applyAlignment="1">
      <alignment horizontal="center" vertical="top" wrapText="1"/>
    </xf>
    <xf numFmtId="4" fontId="4" fillId="0" borderId="39" xfId="0" applyNumberFormat="1" applyFont="1" applyFill="1" applyBorder="1" applyAlignment="1">
      <alignment horizontal="center" vertical="top" wrapText="1"/>
    </xf>
    <xf numFmtId="4" fontId="4" fillId="0" borderId="2" xfId="0" applyNumberFormat="1" applyFont="1" applyBorder="1" applyAlignment="1">
      <alignment horizontal="center" vertical="top"/>
    </xf>
    <xf numFmtId="4" fontId="3" fillId="0" borderId="5" xfId="0" applyNumberFormat="1" applyFont="1" applyFill="1" applyBorder="1" applyAlignment="1">
      <alignment vertical="top" wrapText="1"/>
    </xf>
    <xf numFmtId="49" fontId="11" fillId="0" borderId="5" xfId="0" applyNumberFormat="1" applyFont="1" applyFill="1" applyBorder="1" applyAlignment="1">
      <alignment horizontal="center" vertical="top" wrapText="1"/>
    </xf>
    <xf numFmtId="49" fontId="16" fillId="3" borderId="6"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wrapText="1"/>
    </xf>
    <xf numFmtId="4" fontId="4" fillId="0" borderId="10" xfId="0" applyNumberFormat="1" applyFont="1" applyFill="1" applyBorder="1" applyAlignment="1">
      <alignment horizontal="center" vertical="top" wrapText="1"/>
    </xf>
    <xf numFmtId="0" fontId="4" fillId="3" borderId="0" xfId="0" applyFont="1" applyFill="1"/>
    <xf numFmtId="49" fontId="16" fillId="3" borderId="4" xfId="0" applyNumberFormat="1" applyFont="1" applyFill="1" applyBorder="1" applyAlignment="1">
      <alignment horizontal="center" vertical="top"/>
    </xf>
    <xf numFmtId="49" fontId="16" fillId="3" borderId="7" xfId="0" applyNumberFormat="1" applyFont="1" applyFill="1" applyBorder="1" applyAlignment="1">
      <alignment horizontal="center" vertical="top"/>
    </xf>
    <xf numFmtId="49" fontId="16" fillId="3" borderId="5" xfId="0" applyNumberFormat="1" applyFont="1" applyFill="1" applyBorder="1" applyAlignment="1">
      <alignment horizontal="center" vertical="top"/>
    </xf>
    <xf numFmtId="4" fontId="3" fillId="3" borderId="39" xfId="0" applyNumberFormat="1" applyFont="1" applyFill="1" applyBorder="1" applyAlignment="1">
      <alignment horizontal="center" vertical="top"/>
    </xf>
    <xf numFmtId="0" fontId="4" fillId="0" borderId="0" xfId="0" applyFont="1" applyAlignment="1">
      <alignment horizontal="center" vertical="top"/>
    </xf>
    <xf numFmtId="4" fontId="1" fillId="3" borderId="30"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4" fontId="1" fillId="3" borderId="29" xfId="0" applyNumberFormat="1" applyFont="1" applyFill="1" applyBorder="1" applyAlignment="1">
      <alignment horizontal="left" vertical="top" wrapText="1"/>
    </xf>
    <xf numFmtId="4" fontId="4" fillId="3" borderId="1" xfId="0" applyNumberFormat="1" applyFont="1" applyFill="1" applyBorder="1" applyAlignment="1">
      <alignment vertical="top" wrapText="1"/>
    </xf>
    <xf numFmtId="4" fontId="4" fillId="0" borderId="1" xfId="0" applyNumberFormat="1" applyFont="1" applyFill="1" applyBorder="1" applyAlignment="1">
      <alignment vertical="top" wrapText="1"/>
    </xf>
    <xf numFmtId="49" fontId="4" fillId="3" borderId="1" xfId="0" applyNumberFormat="1" applyFont="1" applyFill="1" applyBorder="1" applyAlignment="1">
      <alignment horizontal="center" vertical="top"/>
    </xf>
    <xf numFmtId="49" fontId="1" fillId="3" borderId="31" xfId="0" applyNumberFormat="1" applyFont="1" applyFill="1" applyBorder="1" applyAlignment="1">
      <alignment horizontal="left" vertical="top" wrapText="1"/>
    </xf>
    <xf numFmtId="4" fontId="1" fillId="0" borderId="7" xfId="0" applyNumberFormat="1" applyFont="1" applyFill="1" applyBorder="1" applyAlignment="1">
      <alignment horizontal="left" vertical="top" wrapText="1"/>
    </xf>
    <xf numFmtId="49" fontId="1" fillId="3" borderId="4" xfId="0" applyNumberFormat="1" applyFont="1" applyFill="1" applyBorder="1" applyAlignment="1">
      <alignment horizontal="center" vertical="top"/>
    </xf>
    <xf numFmtId="4" fontId="1" fillId="3" borderId="4" xfId="0" applyNumberFormat="1" applyFont="1" applyFill="1" applyBorder="1" applyAlignment="1">
      <alignment horizontal="left" vertical="top" wrapText="1"/>
    </xf>
    <xf numFmtId="49" fontId="2" fillId="0" borderId="8"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1" fillId="3" borderId="25" xfId="0" applyNumberFormat="1" applyFont="1" applyFill="1" applyBorder="1" applyAlignment="1">
      <alignment vertical="top" wrapText="1"/>
    </xf>
    <xf numFmtId="49" fontId="1" fillId="3" borderId="4" xfId="0" applyNumberFormat="1" applyFont="1" applyFill="1" applyBorder="1" applyAlignment="1">
      <alignment vertical="top" wrapText="1"/>
    </xf>
    <xf numFmtId="49" fontId="1" fillId="3" borderId="31" xfId="0" applyNumberFormat="1" applyFont="1" applyFill="1" applyBorder="1" applyAlignment="1">
      <alignment vertical="top" wrapText="1"/>
    </xf>
    <xf numFmtId="49" fontId="1" fillId="3" borderId="7" xfId="0" applyNumberFormat="1" applyFont="1" applyFill="1" applyBorder="1" applyAlignment="1">
      <alignment vertical="top" wrapText="1"/>
    </xf>
    <xf numFmtId="49" fontId="1" fillId="3" borderId="16" xfId="0" applyNumberFormat="1" applyFont="1" applyFill="1" applyBorder="1" applyAlignment="1">
      <alignment horizontal="center" vertical="top" wrapText="1"/>
    </xf>
    <xf numFmtId="49" fontId="1" fillId="3" borderId="15"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xf>
    <xf numFmtId="4" fontId="3" fillId="3" borderId="12"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1" fillId="3" borderId="31"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 fontId="1" fillId="3" borderId="32" xfId="0" applyNumberFormat="1" applyFont="1" applyFill="1" applyBorder="1" applyAlignment="1">
      <alignment horizontal="center" vertical="top" wrapText="1"/>
    </xf>
    <xf numFmtId="49" fontId="1" fillId="0" borderId="5" xfId="0" applyNumberFormat="1" applyFont="1" applyBorder="1" applyAlignment="1">
      <alignment horizontal="center" vertical="center" wrapText="1"/>
    </xf>
    <xf numFmtId="49" fontId="18" fillId="3" borderId="31" xfId="0" applyNumberFormat="1" applyFont="1" applyFill="1" applyBorder="1" applyAlignment="1">
      <alignment horizontal="center" vertical="top" wrapText="1"/>
    </xf>
    <xf numFmtId="49" fontId="18" fillId="0" borderId="25" xfId="0" applyNumberFormat="1" applyFont="1" applyFill="1" applyBorder="1" applyAlignment="1">
      <alignment horizontal="center" vertical="top" wrapText="1"/>
    </xf>
    <xf numFmtId="49" fontId="1" fillId="3" borderId="25" xfId="0" applyNumberFormat="1" applyFont="1" applyFill="1" applyBorder="1" applyAlignment="1">
      <alignment horizontal="left" vertical="top"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16" fillId="3" borderId="7" xfId="0" applyNumberFormat="1" applyFont="1" applyFill="1" applyBorder="1" applyAlignment="1">
      <alignment horizontal="center" vertical="top" wrapText="1"/>
    </xf>
    <xf numFmtId="4" fontId="16" fillId="3" borderId="40" xfId="0" applyNumberFormat="1" applyFont="1" applyFill="1" applyBorder="1" applyAlignment="1">
      <alignment horizontal="center" vertical="top" wrapText="1"/>
    </xf>
    <xf numFmtId="4" fontId="4" fillId="3" borderId="39" xfId="0" applyNumberFormat="1" applyFont="1" applyFill="1" applyBorder="1" applyAlignment="1">
      <alignment horizontal="center" vertical="top" wrapText="1"/>
    </xf>
    <xf numFmtId="4" fontId="16" fillId="3" borderId="12" xfId="0" applyNumberFormat="1" applyFont="1" applyFill="1" applyBorder="1" applyAlignment="1">
      <alignment horizontal="center" vertical="top" wrapText="1"/>
    </xf>
    <xf numFmtId="49" fontId="1" fillId="0" borderId="4" xfId="0" applyNumberFormat="1" applyFont="1" applyBorder="1" applyAlignment="1">
      <alignment horizontal="left" vertical="top" wrapText="1"/>
    </xf>
    <xf numFmtId="49" fontId="1" fillId="0" borderId="31" xfId="0" applyNumberFormat="1" applyFont="1" applyBorder="1" applyAlignment="1">
      <alignment horizontal="center" vertical="top"/>
    </xf>
    <xf numFmtId="49" fontId="1" fillId="0" borderId="7" xfId="0" applyNumberFormat="1" applyFont="1" applyBorder="1" applyAlignment="1">
      <alignment horizontal="center" vertical="top"/>
    </xf>
    <xf numFmtId="4" fontId="4" fillId="3" borderId="3" xfId="0" applyNumberFormat="1" applyFont="1" applyFill="1" applyBorder="1" applyAlignment="1">
      <alignment horizontal="center" vertical="top"/>
    </xf>
    <xf numFmtId="49" fontId="2" fillId="0" borderId="7" xfId="0" applyNumberFormat="1" applyFont="1" applyBorder="1" applyAlignment="1">
      <alignment horizontal="center" vertical="top"/>
    </xf>
    <xf numFmtId="0" fontId="1" fillId="3" borderId="4" xfId="0" applyFont="1" applyFill="1" applyBorder="1" applyAlignment="1">
      <alignment horizontal="center" vertical="top" wrapText="1"/>
    </xf>
    <xf numFmtId="0" fontId="1" fillId="3" borderId="5" xfId="0" applyFont="1" applyFill="1" applyBorder="1" applyAlignment="1">
      <alignment horizontal="center" vertical="top" wrapText="1"/>
    </xf>
    <xf numFmtId="0" fontId="4" fillId="3" borderId="2" xfId="0" applyFont="1" applyFill="1" applyBorder="1" applyAlignment="1">
      <alignment horizontal="center" vertical="top" wrapText="1"/>
    </xf>
    <xf numFmtId="4" fontId="16" fillId="3" borderId="6" xfId="0" applyNumberFormat="1" applyFont="1" applyFill="1" applyBorder="1" applyAlignment="1">
      <alignment horizontal="center" vertical="top" wrapText="1"/>
    </xf>
    <xf numFmtId="2" fontId="3" fillId="3" borderId="4" xfId="0" applyNumberFormat="1" applyFont="1" applyFill="1" applyBorder="1" applyAlignment="1">
      <alignment horizontal="center" vertical="top"/>
    </xf>
    <xf numFmtId="0" fontId="4" fillId="3" borderId="5" xfId="0" applyFont="1" applyFill="1" applyBorder="1" applyAlignment="1">
      <alignment vertical="top" wrapText="1"/>
    </xf>
    <xf numFmtId="49" fontId="17" fillId="3" borderId="5"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3" fillId="3" borderId="4" xfId="0" applyNumberFormat="1" applyFont="1" applyFill="1" applyBorder="1" applyAlignment="1">
      <alignment vertical="top" wrapText="1"/>
    </xf>
    <xf numFmtId="49" fontId="3" fillId="0" borderId="5"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3" borderId="4" xfId="0" applyFont="1" applyFill="1" applyBorder="1" applyAlignment="1">
      <alignment horizontal="left" vertical="top" wrapText="1"/>
    </xf>
    <xf numFmtId="4" fontId="3" fillId="0" borderId="30" xfId="0" applyNumberFormat="1" applyFont="1" applyBorder="1" applyAlignment="1">
      <alignment horizontal="left" vertical="top" wrapText="1"/>
    </xf>
    <xf numFmtId="0" fontId="21" fillId="0" borderId="0" xfId="0" applyFont="1"/>
    <xf numFmtId="0" fontId="10" fillId="3" borderId="0" xfId="0" applyFont="1" applyFill="1" applyAlignment="1">
      <alignment vertical="top"/>
    </xf>
    <xf numFmtId="49" fontId="11" fillId="0" borderId="5" xfId="0" applyNumberFormat="1" applyFont="1" applyBorder="1" applyAlignment="1">
      <alignment horizontal="center" vertical="top"/>
    </xf>
    <xf numFmtId="4" fontId="4" fillId="3" borderId="10" xfId="0" applyNumberFormat="1" applyFont="1" applyFill="1" applyBorder="1" applyAlignment="1">
      <alignment horizontal="center" vertical="top" wrapText="1"/>
    </xf>
    <xf numFmtId="4" fontId="1" fillId="0" borderId="21" xfId="0" applyNumberFormat="1" applyFont="1" applyBorder="1" applyAlignment="1">
      <alignment horizontal="left"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4" fillId="0" borderId="0" xfId="0" applyNumberFormat="1" applyFont="1" applyAlignment="1">
      <alignment horizontal="center" vertical="top"/>
    </xf>
    <xf numFmtId="49" fontId="1" fillId="0" borderId="0" xfId="0" applyNumberFormat="1" applyFont="1" applyAlignment="1"/>
    <xf numFmtId="49" fontId="2" fillId="0" borderId="20"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17" fillId="0" borderId="22" xfId="0" applyNumberFormat="1" applyFont="1" applyBorder="1" applyAlignment="1">
      <alignment horizontal="center" vertical="top" wrapText="1"/>
    </xf>
    <xf numFmtId="0" fontId="4" fillId="0" borderId="16" xfId="0" applyFont="1" applyBorder="1" applyAlignment="1">
      <alignment horizontal="center" vertical="top" wrapText="1"/>
    </xf>
    <xf numFmtId="4" fontId="23" fillId="3" borderId="4" xfId="0" applyNumberFormat="1" applyFont="1" applyFill="1" applyBorder="1" applyAlignment="1">
      <alignment vertical="top"/>
    </xf>
    <xf numFmtId="0" fontId="11" fillId="8" borderId="4" xfId="0" applyFont="1" applyFill="1" applyBorder="1" applyAlignment="1">
      <alignment horizontal="center" vertical="top" wrapText="1"/>
    </xf>
    <xf numFmtId="0" fontId="3" fillId="8" borderId="4" xfId="0" applyFont="1" applyFill="1" applyBorder="1" applyAlignment="1">
      <alignment horizontal="center" vertical="top" wrapText="1"/>
    </xf>
    <xf numFmtId="4" fontId="3" fillId="8" borderId="4" xfId="0" applyNumberFormat="1" applyFont="1" applyFill="1" applyBorder="1" applyAlignment="1">
      <alignment horizontal="center" vertical="top" wrapText="1"/>
    </xf>
    <xf numFmtId="4" fontId="17" fillId="8" borderId="4" xfId="0" applyNumberFormat="1" applyFont="1" applyFill="1" applyBorder="1" applyAlignment="1">
      <alignment horizontal="center" vertical="top" wrapText="1"/>
    </xf>
    <xf numFmtId="4" fontId="3" fillId="8" borderId="12" xfId="0" applyNumberFormat="1" applyFont="1" applyFill="1" applyBorder="1" applyAlignment="1">
      <alignment horizontal="center" vertical="top" wrapText="1"/>
    </xf>
    <xf numFmtId="0" fontId="11" fillId="8" borderId="5" xfId="0" applyFont="1" applyFill="1" applyBorder="1" applyAlignment="1">
      <alignment horizontal="center" vertical="top" wrapText="1"/>
    </xf>
    <xf numFmtId="0" fontId="3" fillId="8" borderId="5" xfId="0" applyFont="1" applyFill="1" applyBorder="1" applyAlignment="1">
      <alignment horizontal="center" vertical="top" wrapText="1"/>
    </xf>
    <xf numFmtId="4" fontId="3" fillId="8" borderId="5" xfId="0" applyNumberFormat="1" applyFont="1" applyFill="1" applyBorder="1" applyAlignment="1">
      <alignment horizontal="center" vertical="top" wrapText="1"/>
    </xf>
    <xf numFmtId="4" fontId="22" fillId="8" borderId="5" xfId="0" applyNumberFormat="1" applyFont="1" applyFill="1" applyBorder="1" applyAlignment="1">
      <alignment horizontal="center" vertical="top" wrapText="1"/>
    </xf>
    <xf numFmtId="4" fontId="3" fillId="8" borderId="39" xfId="0" applyNumberFormat="1" applyFont="1" applyFill="1" applyBorder="1" applyAlignment="1">
      <alignment horizontal="center" vertical="top" wrapText="1"/>
    </xf>
    <xf numFmtId="49" fontId="11" fillId="3" borderId="22" xfId="0" applyNumberFormat="1" applyFont="1" applyFill="1" applyBorder="1" applyAlignment="1">
      <alignment horizontal="center" vertical="top" wrapText="1"/>
    </xf>
    <xf numFmtId="4" fontId="3" fillId="3" borderId="7" xfId="0" applyNumberFormat="1" applyFont="1" applyFill="1" applyBorder="1" applyAlignment="1">
      <alignment horizontal="center" vertical="top"/>
    </xf>
    <xf numFmtId="49" fontId="1" fillId="3" borderId="0" xfId="0" applyNumberFormat="1" applyFont="1" applyFill="1"/>
    <xf numFmtId="49" fontId="2" fillId="3" borderId="0" xfId="0" applyNumberFormat="1" applyFont="1" applyFill="1" applyAlignment="1">
      <alignment horizontal="right" vertical="top"/>
    </xf>
    <xf numFmtId="49" fontId="4" fillId="3" borderId="0" xfId="0" applyNumberFormat="1" applyFont="1" applyFill="1"/>
    <xf numFmtId="4" fontId="3" fillId="3" borderId="7" xfId="0" applyNumberFormat="1" applyFont="1" applyFill="1" applyBorder="1" applyAlignment="1">
      <alignment horizontal="center" vertical="top" wrapText="1"/>
    </xf>
    <xf numFmtId="49" fontId="11" fillId="3" borderId="7" xfId="0" applyNumberFormat="1" applyFont="1" applyFill="1" applyBorder="1" applyAlignment="1">
      <alignment horizontal="center" vertical="top" wrapText="1"/>
    </xf>
    <xf numFmtId="0" fontId="3" fillId="0" borderId="0" xfId="0" applyFont="1"/>
    <xf numFmtId="4" fontId="3" fillId="3" borderId="27" xfId="0" applyNumberFormat="1" applyFont="1" applyFill="1" applyBorder="1" applyAlignment="1">
      <alignment horizontal="center" vertical="top" wrapText="1"/>
    </xf>
    <xf numFmtId="49" fontId="11" fillId="0" borderId="1" xfId="0" applyNumberFormat="1" applyFont="1" applyBorder="1" applyAlignment="1">
      <alignment horizontal="center" vertical="top" wrapText="1"/>
    </xf>
    <xf numFmtId="49" fontId="3" fillId="0" borderId="1" xfId="0" applyNumberFormat="1" applyFont="1" applyBorder="1" applyAlignment="1">
      <alignment horizontal="center" vertical="center" wrapText="1"/>
    </xf>
    <xf numFmtId="49" fontId="11" fillId="0" borderId="5" xfId="0" applyNumberFormat="1" applyFont="1" applyBorder="1" applyAlignment="1">
      <alignment horizontal="center" vertical="top" wrapText="1"/>
    </xf>
    <xf numFmtId="49" fontId="3" fillId="0" borderId="5" xfId="0" applyNumberFormat="1" applyFont="1" applyBorder="1" applyAlignment="1">
      <alignment horizontal="center" vertical="center" wrapText="1"/>
    </xf>
    <xf numFmtId="49" fontId="11" fillId="4" borderId="2" xfId="0" applyNumberFormat="1" applyFont="1" applyFill="1" applyBorder="1" applyAlignment="1">
      <alignment horizontal="right" vertical="top" wrapText="1"/>
    </xf>
    <xf numFmtId="49" fontId="11" fillId="6" borderId="3" xfId="0" applyNumberFormat="1" applyFont="1" applyFill="1" applyBorder="1" applyAlignment="1">
      <alignment horizontal="right" vertical="top" wrapText="1"/>
    </xf>
    <xf numFmtId="4" fontId="11" fillId="6" borderId="1" xfId="0" applyNumberFormat="1" applyFont="1" applyFill="1" applyBorder="1" applyAlignment="1">
      <alignment horizontal="center" vertical="center" wrapText="1"/>
    </xf>
    <xf numFmtId="4" fontId="11" fillId="6" borderId="21"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top" wrapText="1"/>
    </xf>
    <xf numFmtId="49" fontId="3" fillId="0" borderId="6" xfId="0" applyNumberFormat="1" applyFont="1" applyBorder="1" applyAlignment="1">
      <alignment horizontal="center" vertical="top" wrapText="1"/>
    </xf>
    <xf numFmtId="49" fontId="3" fillId="3" borderId="6" xfId="0" applyNumberFormat="1" applyFont="1" applyFill="1" applyBorder="1" applyAlignment="1">
      <alignment horizontal="center" vertical="top"/>
    </xf>
    <xf numFmtId="4" fontId="3" fillId="3" borderId="6" xfId="0" applyNumberFormat="1" applyFont="1" applyFill="1" applyBorder="1" applyAlignment="1">
      <alignment horizontal="center" vertical="top"/>
    </xf>
    <xf numFmtId="4" fontId="3" fillId="3" borderId="27" xfId="0" applyNumberFormat="1" applyFont="1" applyFill="1" applyBorder="1" applyAlignment="1">
      <alignment horizontal="center" vertical="top"/>
    </xf>
    <xf numFmtId="49" fontId="11" fillId="3" borderId="8" xfId="0" applyNumberFormat="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49" fontId="3" fillId="3" borderId="20" xfId="0" applyNumberFormat="1" applyFont="1" applyFill="1" applyBorder="1" applyAlignment="1">
      <alignment horizontal="center" vertical="top" wrapText="1"/>
    </xf>
    <xf numFmtId="0" fontId="3" fillId="0" borderId="0" xfId="0" applyFont="1" applyFill="1"/>
    <xf numFmtId="4" fontId="3" fillId="0" borderId="1" xfId="0" applyNumberFormat="1" applyFont="1" applyBorder="1" applyAlignment="1">
      <alignment horizontal="left" vertical="top" wrapText="1"/>
    </xf>
    <xf numFmtId="4" fontId="3" fillId="3" borderId="1" xfId="0" applyNumberFormat="1" applyFont="1" applyFill="1" applyBorder="1" applyAlignment="1">
      <alignment horizontal="left" vertical="top" wrapText="1"/>
    </xf>
    <xf numFmtId="49" fontId="11" fillId="6" borderId="23" xfId="0" applyNumberFormat="1" applyFont="1" applyFill="1" applyBorder="1" applyAlignment="1">
      <alignment horizontal="right" vertical="top" wrapText="1"/>
    </xf>
    <xf numFmtId="49" fontId="11" fillId="6" borderId="2" xfId="0" applyNumberFormat="1" applyFont="1" applyFill="1" applyBorder="1" applyAlignment="1">
      <alignment horizontal="right" vertical="top" wrapText="1"/>
    </xf>
    <xf numFmtId="4" fontId="11" fillId="6" borderId="1" xfId="0" applyNumberFormat="1" applyFont="1" applyFill="1" applyBorder="1" applyAlignment="1">
      <alignment vertical="center" wrapText="1"/>
    </xf>
    <xf numFmtId="49" fontId="11" fillId="3" borderId="22" xfId="0" applyNumberFormat="1" applyFont="1" applyFill="1" applyBorder="1" applyAlignment="1">
      <alignment vertical="center" wrapText="1"/>
    </xf>
    <xf numFmtId="4" fontId="11" fillId="0" borderId="1" xfId="0" applyNumberFormat="1" applyFont="1" applyFill="1" applyBorder="1" applyAlignment="1">
      <alignment wrapText="1"/>
    </xf>
    <xf numFmtId="4" fontId="11" fillId="0" borderId="10" xfId="0" applyNumberFormat="1" applyFont="1" applyFill="1" applyBorder="1" applyAlignment="1">
      <alignment vertical="top"/>
    </xf>
    <xf numFmtId="4" fontId="11" fillId="3" borderId="2" xfId="0" applyNumberFormat="1" applyFont="1" applyFill="1" applyBorder="1" applyAlignment="1"/>
    <xf numFmtId="4" fontId="11" fillId="0" borderId="24" xfId="0" applyNumberFormat="1" applyFont="1" applyFill="1" applyBorder="1" applyAlignment="1"/>
    <xf numFmtId="4" fontId="11" fillId="0" borderId="1" xfId="0" applyNumberFormat="1" applyFont="1" applyBorder="1" applyAlignment="1">
      <alignment vertical="top" wrapText="1"/>
    </xf>
    <xf numFmtId="4" fontId="3" fillId="0" borderId="1" xfId="0" applyNumberFormat="1" applyFont="1" applyBorder="1" applyAlignment="1">
      <alignment vertical="top" wrapText="1"/>
    </xf>
    <xf numFmtId="49" fontId="11" fillId="3" borderId="23" xfId="0" applyNumberFormat="1" applyFont="1" applyFill="1" applyBorder="1" applyAlignment="1">
      <alignment horizontal="center" vertical="top" wrapText="1"/>
    </xf>
    <xf numFmtId="4" fontId="3" fillId="0" borderId="4" xfId="0" applyNumberFormat="1" applyFont="1" applyBorder="1" applyAlignment="1">
      <alignment vertical="top" wrapText="1"/>
    </xf>
    <xf numFmtId="49" fontId="11" fillId="0" borderId="4" xfId="0" applyNumberFormat="1" applyFont="1" applyBorder="1" applyAlignment="1">
      <alignment horizontal="center" vertical="top" wrapText="1"/>
    </xf>
    <xf numFmtId="4" fontId="3" fillId="0" borderId="0" xfId="0" applyNumberFormat="1" applyFont="1" applyBorder="1" applyAlignment="1">
      <alignment horizontal="center" vertical="top"/>
    </xf>
    <xf numFmtId="4" fontId="3" fillId="0" borderId="4" xfId="0" applyNumberFormat="1" applyFont="1" applyFill="1" applyBorder="1" applyAlignment="1">
      <alignment horizontal="center" vertical="top" wrapText="1"/>
    </xf>
    <xf numFmtId="49" fontId="11" fillId="3" borderId="2" xfId="0" applyNumberFormat="1" applyFont="1" applyFill="1" applyBorder="1" applyAlignment="1">
      <alignment horizontal="center" vertical="top" wrapText="1"/>
    </xf>
    <xf numFmtId="4" fontId="11" fillId="3" borderId="2" xfId="0" applyNumberFormat="1" applyFont="1" applyFill="1" applyBorder="1" applyAlignment="1">
      <alignment horizontal="center" vertical="top" wrapText="1"/>
    </xf>
    <xf numFmtId="4" fontId="11" fillId="3" borderId="24" xfId="0" applyNumberFormat="1" applyFont="1" applyFill="1" applyBorder="1" applyAlignment="1">
      <alignment horizontal="center" vertical="top" wrapText="1"/>
    </xf>
    <xf numFmtId="49" fontId="3" fillId="3" borderId="31" xfId="0" applyNumberFormat="1" applyFont="1" applyFill="1" applyBorder="1" applyAlignment="1">
      <alignment horizontal="center" vertical="top" wrapText="1"/>
    </xf>
    <xf numFmtId="4" fontId="3" fillId="3" borderId="11" xfId="0" applyNumberFormat="1" applyFont="1" applyFill="1" applyBorder="1" applyAlignment="1">
      <alignment vertical="top" wrapText="1"/>
    </xf>
    <xf numFmtId="49" fontId="3" fillId="3" borderId="7" xfId="0" applyNumberFormat="1" applyFont="1" applyFill="1" applyBorder="1" applyAlignment="1">
      <alignment horizontal="center" vertical="center" wrapText="1"/>
    </xf>
    <xf numFmtId="0" fontId="3" fillId="9" borderId="7" xfId="0" applyFont="1" applyFill="1" applyBorder="1" applyAlignment="1">
      <alignment horizontal="center" vertical="center" wrapText="1"/>
    </xf>
    <xf numFmtId="4" fontId="3" fillId="0" borderId="5" xfId="0" applyNumberFormat="1" applyFont="1" applyBorder="1" applyAlignment="1">
      <alignment vertical="top" wrapText="1"/>
    </xf>
    <xf numFmtId="49" fontId="3" fillId="3" borderId="23" xfId="0" applyNumberFormat="1" applyFont="1" applyFill="1" applyBorder="1" applyAlignment="1">
      <alignment horizontal="center" vertical="top" wrapText="1"/>
    </xf>
    <xf numFmtId="49" fontId="3" fillId="3" borderId="0" xfId="0" applyNumberFormat="1" applyFont="1" applyFill="1" applyBorder="1" applyAlignment="1">
      <alignment horizontal="center" vertical="top"/>
    </xf>
    <xf numFmtId="49" fontId="3" fillId="3" borderId="0" xfId="0" applyNumberFormat="1" applyFont="1" applyFill="1" applyBorder="1" applyAlignment="1">
      <alignment horizontal="center" vertical="top" wrapText="1"/>
    </xf>
    <xf numFmtId="4" fontId="3" fillId="3" borderId="0" xfId="0" applyNumberFormat="1" applyFont="1" applyFill="1" applyBorder="1" applyAlignment="1">
      <alignment horizontal="center" vertical="top" wrapText="1"/>
    </xf>
    <xf numFmtId="49" fontId="3" fillId="3" borderId="10"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 fontId="3" fillId="3" borderId="3" xfId="0" applyNumberFormat="1" applyFont="1" applyFill="1" applyBorder="1" applyAlignment="1">
      <alignment horizontal="center" vertical="top"/>
    </xf>
    <xf numFmtId="2" fontId="3" fillId="3" borderId="1" xfId="0" applyNumberFormat="1" applyFont="1" applyFill="1" applyBorder="1" applyAlignment="1">
      <alignment horizontal="center" vertical="top"/>
    </xf>
    <xf numFmtId="49" fontId="3" fillId="3" borderId="1" xfId="0" applyNumberFormat="1" applyFont="1" applyFill="1" applyBorder="1" applyAlignment="1">
      <alignment vertical="top" wrapText="1"/>
    </xf>
    <xf numFmtId="49" fontId="11" fillId="4" borderId="23" xfId="0" applyNumberFormat="1" applyFont="1" applyFill="1" applyBorder="1" applyAlignment="1">
      <alignment horizontal="right" vertical="top" wrapText="1"/>
    </xf>
    <xf numFmtId="0" fontId="3" fillId="9" borderId="32" xfId="0" applyFont="1" applyFill="1" applyBorder="1" applyAlignment="1">
      <alignment horizontal="center" vertical="center" wrapText="1"/>
    </xf>
    <xf numFmtId="0" fontId="19" fillId="0" borderId="0" xfId="0" applyFont="1" applyAlignment="1">
      <alignment vertical="top"/>
    </xf>
    <xf numFmtId="4" fontId="11" fillId="6" borderId="1" xfId="0" applyNumberFormat="1" applyFont="1" applyFill="1" applyBorder="1" applyAlignment="1">
      <alignment horizontal="center" vertical="top" wrapText="1"/>
    </xf>
    <xf numFmtId="4" fontId="11" fillId="6" borderId="21" xfId="0" applyNumberFormat="1" applyFont="1" applyFill="1" applyBorder="1" applyAlignment="1">
      <alignment horizontal="center" vertical="top" wrapText="1"/>
    </xf>
    <xf numFmtId="0" fontId="3" fillId="0" borderId="21" xfId="0" applyFont="1" applyBorder="1" applyAlignment="1">
      <alignment horizontal="center" vertical="top" wrapText="1"/>
    </xf>
    <xf numFmtId="164" fontId="11" fillId="6" borderId="1" xfId="0" applyNumberFormat="1" applyFont="1" applyFill="1" applyBorder="1" applyAlignment="1">
      <alignment horizontal="center" vertical="top" wrapText="1"/>
    </xf>
    <xf numFmtId="164" fontId="11" fillId="6" borderId="21" xfId="0" applyNumberFormat="1" applyFont="1" applyFill="1" applyBorder="1" applyAlignment="1">
      <alignment horizontal="center" vertical="top" wrapText="1"/>
    </xf>
    <xf numFmtId="49" fontId="11" fillId="6" borderId="34" xfId="0" applyNumberFormat="1" applyFont="1" applyFill="1" applyBorder="1" applyAlignment="1">
      <alignment horizontal="right" vertical="top" wrapText="1"/>
    </xf>
    <xf numFmtId="49" fontId="11" fillId="4" borderId="14" xfId="0" applyNumberFormat="1" applyFont="1" applyFill="1" applyBorder="1" applyAlignment="1">
      <alignment horizontal="right" vertical="top" wrapText="1"/>
    </xf>
    <xf numFmtId="49" fontId="11" fillId="4" borderId="45" xfId="0" applyNumberFormat="1" applyFont="1" applyFill="1" applyBorder="1" applyAlignment="1">
      <alignment horizontal="right" vertical="top" wrapText="1"/>
    </xf>
    <xf numFmtId="164" fontId="11" fillId="4" borderId="46" xfId="0" applyNumberFormat="1" applyFont="1" applyFill="1" applyBorder="1" applyAlignment="1">
      <alignment horizontal="center" vertical="top" wrapText="1"/>
    </xf>
    <xf numFmtId="164" fontId="11" fillId="4" borderId="47" xfId="0" applyNumberFormat="1" applyFont="1" applyFill="1" applyBorder="1" applyAlignment="1">
      <alignment horizontal="center" vertical="top" wrapText="1"/>
    </xf>
    <xf numFmtId="0" fontId="3" fillId="7" borderId="35" xfId="0" applyFont="1" applyFill="1" applyBorder="1"/>
    <xf numFmtId="4" fontId="11" fillId="7" borderId="37" xfId="0" applyNumberFormat="1" applyFont="1" applyFill="1" applyBorder="1" applyAlignment="1">
      <alignment horizontal="center" vertical="center" wrapText="1"/>
    </xf>
    <xf numFmtId="4" fontId="11" fillId="7" borderId="38" xfId="0" applyNumberFormat="1" applyFont="1" applyFill="1" applyBorder="1" applyAlignment="1">
      <alignment horizontal="center" vertical="center" wrapText="1"/>
    </xf>
    <xf numFmtId="49" fontId="3" fillId="3" borderId="0" xfId="0" applyNumberFormat="1" applyFont="1" applyFill="1"/>
    <xf numFmtId="49" fontId="3" fillId="0" borderId="0" xfId="0" applyNumberFormat="1" applyFont="1" applyAlignment="1">
      <alignment vertical="top"/>
    </xf>
    <xf numFmtId="49" fontId="3" fillId="0" borderId="0" xfId="0" applyNumberFormat="1" applyFont="1"/>
    <xf numFmtId="4" fontId="3" fillId="0" borderId="0" xfId="0" applyNumberFormat="1" applyFont="1"/>
    <xf numFmtId="4" fontId="3" fillId="3" borderId="3" xfId="0" applyNumberFormat="1" applyFont="1" applyFill="1" applyBorder="1" applyAlignment="1">
      <alignment horizontal="center" vertical="top" wrapText="1"/>
    </xf>
    <xf numFmtId="0" fontId="3" fillId="0" borderId="4" xfId="0" applyFont="1" applyBorder="1" applyAlignment="1">
      <alignment horizontal="center" vertical="top" wrapText="1"/>
    </xf>
    <xf numFmtId="0" fontId="10" fillId="0" borderId="0" xfId="0" applyFont="1" applyAlignment="1">
      <alignment vertical="top" wrapText="1"/>
    </xf>
    <xf numFmtId="0" fontId="1" fillId="0" borderId="0" xfId="0" applyFont="1" applyAlignment="1">
      <alignment wrapText="1"/>
    </xf>
    <xf numFmtId="0" fontId="12" fillId="0" borderId="0" xfId="0" applyFont="1" applyAlignment="1">
      <alignment horizontal="center" wrapText="1"/>
    </xf>
    <xf numFmtId="49" fontId="3" fillId="3" borderId="25" xfId="0" applyNumberFormat="1" applyFont="1" applyFill="1" applyBorder="1" applyAlignment="1">
      <alignment horizontal="center" vertical="top" wrapText="1"/>
    </xf>
    <xf numFmtId="4" fontId="3" fillId="0" borderId="5" xfId="0" applyNumberFormat="1" applyFont="1" applyBorder="1" applyAlignment="1">
      <alignment horizontal="left" vertical="top" wrapText="1"/>
    </xf>
    <xf numFmtId="4" fontId="3" fillId="3" borderId="4" xfId="0" applyNumberFormat="1" applyFont="1" applyFill="1" applyBorder="1" applyAlignment="1">
      <alignment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4" xfId="0" applyFont="1" applyFill="1" applyBorder="1" applyAlignment="1">
      <alignment horizontal="left"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0" fontId="3" fillId="0" borderId="0" xfId="0" applyFont="1" applyAlignment="1">
      <alignment wrapText="1"/>
    </xf>
    <xf numFmtId="0" fontId="3" fillId="0" borderId="6" xfId="0" applyFont="1" applyBorder="1" applyAlignment="1">
      <alignment vertical="top" wrapText="1"/>
    </xf>
    <xf numFmtId="0" fontId="3" fillId="0" borderId="1" xfId="0" applyFont="1" applyBorder="1" applyAlignment="1">
      <alignment vertical="top" wrapText="1"/>
    </xf>
    <xf numFmtId="0" fontId="3" fillId="3" borderId="5" xfId="0" applyFont="1" applyFill="1" applyBorder="1" applyAlignment="1">
      <alignment vertical="top" wrapText="1"/>
    </xf>
    <xf numFmtId="4" fontId="11" fillId="6" borderId="21" xfId="0" applyNumberFormat="1" applyFont="1" applyFill="1" applyBorder="1" applyAlignment="1">
      <alignment vertical="center" wrapText="1"/>
    </xf>
    <xf numFmtId="49" fontId="5" fillId="0" borderId="18" xfId="0" applyNumberFormat="1" applyFont="1" applyBorder="1" applyAlignment="1">
      <alignment horizontal="center" vertical="center" textRotation="90" wrapText="1"/>
    </xf>
    <xf numFmtId="49" fontId="5" fillId="0" borderId="7" xfId="0" applyNumberFormat="1" applyFont="1" applyBorder="1" applyAlignment="1">
      <alignment horizontal="center" vertical="center" textRotation="90" wrapText="1"/>
    </xf>
    <xf numFmtId="49" fontId="5" fillId="0" borderId="5" xfId="0" applyNumberFormat="1" applyFont="1" applyBorder="1" applyAlignment="1">
      <alignment horizontal="center" vertical="center" textRotation="90" wrapText="1"/>
    </xf>
    <xf numFmtId="49" fontId="1" fillId="0" borderId="0" xfId="0" applyNumberFormat="1" applyFont="1" applyAlignment="1">
      <alignment horizontal="center"/>
    </xf>
    <xf numFmtId="0" fontId="11" fillId="7" borderId="36" xfId="0" applyFont="1" applyFill="1" applyBorder="1" applyAlignment="1">
      <alignment horizontal="right" vertical="center" wrapText="1"/>
    </xf>
    <xf numFmtId="0" fontId="10" fillId="0" borderId="0" xfId="0" applyFont="1" applyAlignment="1">
      <alignment vertical="top" wrapText="1"/>
    </xf>
    <xf numFmtId="0" fontId="5" fillId="0" borderId="13" xfId="0" applyFont="1" applyBorder="1" applyAlignment="1">
      <alignment horizontal="center" vertical="top" wrapText="1"/>
    </xf>
    <xf numFmtId="0" fontId="5" fillId="0" borderId="1"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49" fontId="5" fillId="0" borderId="13" xfId="0" applyNumberFormat="1"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wrapText="1"/>
    </xf>
    <xf numFmtId="0" fontId="0" fillId="0" borderId="0" xfId="0" applyAlignment="1">
      <alignment wrapText="1"/>
    </xf>
    <xf numFmtId="0" fontId="12" fillId="0" borderId="0" xfId="0" applyFont="1" applyAlignment="1">
      <alignment horizontal="center" wrapText="1"/>
    </xf>
    <xf numFmtId="49" fontId="11" fillId="2" borderId="23" xfId="0" applyNumberFormat="1" applyFont="1" applyFill="1" applyBorder="1" applyAlignment="1">
      <alignment horizontal="left" vertical="top" wrapText="1"/>
    </xf>
    <xf numFmtId="49" fontId="11" fillId="2" borderId="2" xfId="0" applyNumberFormat="1" applyFont="1" applyFill="1" applyBorder="1" applyAlignment="1">
      <alignment horizontal="left" vertical="top" wrapText="1"/>
    </xf>
    <xf numFmtId="49" fontId="11" fillId="2" borderId="24" xfId="0" applyNumberFormat="1" applyFont="1" applyFill="1" applyBorder="1" applyAlignment="1">
      <alignment horizontal="left" vertical="top"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 fontId="11" fillId="2" borderId="23" xfId="0" applyNumberFormat="1" applyFont="1" applyFill="1" applyBorder="1" applyAlignment="1">
      <alignment horizontal="left" vertical="center" wrapText="1"/>
    </xf>
    <xf numFmtId="4" fontId="11" fillId="2" borderId="2" xfId="0" applyNumberFormat="1" applyFont="1" applyFill="1" applyBorder="1" applyAlignment="1">
      <alignment horizontal="left" vertical="center" wrapText="1"/>
    </xf>
    <xf numFmtId="4" fontId="11" fillId="2" borderId="24" xfId="0" applyNumberFormat="1" applyFont="1" applyFill="1" applyBorder="1" applyAlignment="1">
      <alignment horizontal="left" vertical="center" wrapText="1"/>
    </xf>
    <xf numFmtId="49" fontId="11" fillId="2" borderId="23" xfId="0" applyNumberFormat="1" applyFont="1" applyFill="1" applyBorder="1" applyAlignment="1">
      <alignment horizontal="left" vertical="top"/>
    </xf>
    <xf numFmtId="49" fontId="11" fillId="2" borderId="2" xfId="0" applyNumberFormat="1" applyFont="1" applyFill="1" applyBorder="1" applyAlignment="1">
      <alignment horizontal="left" vertical="top"/>
    </xf>
    <xf numFmtId="49" fontId="11" fillId="2" borderId="24" xfId="0" applyNumberFormat="1" applyFont="1" applyFill="1" applyBorder="1" applyAlignment="1">
      <alignment horizontal="left" vertical="top"/>
    </xf>
    <xf numFmtId="0" fontId="11" fillId="2" borderId="2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28"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24" xfId="0" applyFont="1" applyFill="1" applyBorder="1" applyAlignment="1">
      <alignment horizontal="left" vertical="top" wrapText="1"/>
    </xf>
    <xf numFmtId="0" fontId="0" fillId="0" borderId="5" xfId="0" applyBorder="1" applyAlignment="1">
      <alignment horizontal="center" vertical="center" textRotation="90" wrapText="1"/>
    </xf>
    <xf numFmtId="49" fontId="3" fillId="3" borderId="25" xfId="0" applyNumberFormat="1" applyFont="1" applyFill="1" applyBorder="1" applyAlignment="1">
      <alignment horizontal="center" vertical="top" wrapText="1"/>
    </xf>
    <xf numFmtId="0" fontId="20" fillId="3" borderId="20" xfId="0" applyFont="1" applyFill="1" applyBorder="1" applyAlignment="1">
      <alignment horizontal="center" vertical="top" wrapText="1"/>
    </xf>
    <xf numFmtId="0" fontId="11" fillId="2" borderId="2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4" xfId="0" applyFont="1" applyFill="1" applyBorder="1" applyAlignment="1">
      <alignment horizontal="left" vertical="center" wrapText="1"/>
    </xf>
    <xf numFmtId="4" fontId="3" fillId="0" borderId="4" xfId="0" applyNumberFormat="1" applyFont="1" applyFill="1" applyBorder="1" applyAlignment="1">
      <alignment horizontal="left" vertical="top" wrapText="1"/>
    </xf>
    <xf numFmtId="4" fontId="3" fillId="0" borderId="5" xfId="0" applyNumberFormat="1" applyFont="1" applyBorder="1" applyAlignment="1">
      <alignment horizontal="left" vertical="top"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49" fontId="5" fillId="3" borderId="17" xfId="0" applyNumberFormat="1" applyFont="1" applyFill="1" applyBorder="1" applyAlignment="1">
      <alignment horizontal="center" vertical="center" textRotation="90" wrapText="1"/>
    </xf>
    <xf numFmtId="49" fontId="5" fillId="3" borderId="31" xfId="0" applyNumberFormat="1" applyFont="1" applyFill="1" applyBorder="1" applyAlignment="1">
      <alignment horizontal="center" vertical="center" textRotation="90" wrapText="1"/>
    </xf>
    <xf numFmtId="49" fontId="5" fillId="3" borderId="20" xfId="0" applyNumberFormat="1" applyFont="1" applyFill="1" applyBorder="1" applyAlignment="1">
      <alignment horizontal="center" vertical="center" textRotation="90" wrapText="1"/>
    </xf>
    <xf numFmtId="4" fontId="1" fillId="3" borderId="32" xfId="0" applyNumberFormat="1" applyFont="1" applyFill="1" applyBorder="1" applyAlignment="1">
      <alignment horizontal="left" vertical="top" wrapText="1"/>
    </xf>
    <xf numFmtId="0" fontId="0" fillId="3" borderId="32" xfId="0" applyFill="1" applyBorder="1" applyAlignment="1">
      <alignment horizontal="left" vertical="top" wrapText="1"/>
    </xf>
    <xf numFmtId="4" fontId="1" fillId="3" borderId="30" xfId="0" applyNumberFormat="1" applyFont="1" applyFill="1" applyBorder="1" applyAlignment="1">
      <alignment horizontal="left" vertical="top" wrapText="1"/>
    </xf>
    <xf numFmtId="0" fontId="0" fillId="0" borderId="29" xfId="0" applyBorder="1" applyAlignment="1">
      <alignment horizontal="left" vertical="top" wrapText="1"/>
    </xf>
    <xf numFmtId="4" fontId="3" fillId="3" borderId="30" xfId="0" applyNumberFormat="1" applyFont="1" applyFill="1" applyBorder="1" applyAlignment="1">
      <alignment horizontal="left" vertical="top" wrapText="1"/>
    </xf>
    <xf numFmtId="0" fontId="2" fillId="0" borderId="0" xfId="0" applyFont="1" applyAlignment="1">
      <alignment horizontal="right" vertical="top" wrapText="1"/>
    </xf>
    <xf numFmtId="0" fontId="20" fillId="3" borderId="29" xfId="0" applyFont="1" applyFill="1" applyBorder="1" applyAlignment="1">
      <alignment horizontal="left" vertical="top" wrapText="1"/>
    </xf>
    <xf numFmtId="49" fontId="1" fillId="0" borderId="4" xfId="0" applyNumberFormat="1" applyFont="1" applyBorder="1" applyAlignment="1">
      <alignment horizontal="center" vertical="center" wrapText="1"/>
    </xf>
    <xf numFmtId="0" fontId="0" fillId="0" borderId="5" xfId="0" applyBorder="1" applyAlignment="1">
      <alignment horizontal="center" vertical="center" wrapText="1"/>
    </xf>
    <xf numFmtId="0" fontId="5" fillId="0" borderId="42" xfId="0" applyFont="1" applyBorder="1" applyAlignment="1">
      <alignment horizontal="center" vertical="top" wrapText="1"/>
    </xf>
    <xf numFmtId="0" fontId="5" fillId="0" borderId="10" xfId="0" applyFont="1" applyBorder="1" applyAlignment="1">
      <alignment horizontal="center" vertical="top" wrapText="1"/>
    </xf>
    <xf numFmtId="49" fontId="5" fillId="0" borderId="17" xfId="0" applyNumberFormat="1" applyFont="1" applyBorder="1" applyAlignment="1">
      <alignment horizontal="justify" vertical="center" textRotation="90" wrapText="1"/>
    </xf>
    <xf numFmtId="49" fontId="5" fillId="0" borderId="20" xfId="0" applyNumberFormat="1" applyFont="1" applyBorder="1" applyAlignment="1">
      <alignment horizontal="justify" vertical="center" textRotation="90" wrapText="1"/>
    </xf>
    <xf numFmtId="4" fontId="3" fillId="3" borderId="4" xfId="0" applyNumberFormat="1" applyFont="1" applyFill="1" applyBorder="1" applyAlignment="1">
      <alignment vertical="top" wrapText="1"/>
    </xf>
    <xf numFmtId="0" fontId="0" fillId="0" borderId="5" xfId="0" applyBorder="1" applyAlignment="1">
      <alignment vertical="top" wrapText="1"/>
    </xf>
    <xf numFmtId="0" fontId="11" fillId="7" borderId="35" xfId="0" applyFont="1" applyFill="1" applyBorder="1" applyAlignment="1">
      <alignment horizontal="right" vertical="center" wrapText="1"/>
    </xf>
    <xf numFmtId="49" fontId="1" fillId="3" borderId="25" xfId="0" applyNumberFormat="1" applyFont="1" applyFill="1" applyBorder="1" applyAlignment="1">
      <alignment horizontal="left" vertical="top" wrapText="1"/>
    </xf>
    <xf numFmtId="0" fontId="0" fillId="0" borderId="20" xfId="0" applyBorder="1" applyAlignment="1">
      <alignment horizontal="left" vertical="top" wrapText="1"/>
    </xf>
    <xf numFmtId="49" fontId="1" fillId="3" borderId="4"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4" fontId="1" fillId="0" borderId="4" xfId="0" applyNumberFormat="1" applyFont="1" applyFill="1" applyBorder="1" applyAlignment="1">
      <alignment horizontal="left" vertical="top" wrapText="1"/>
    </xf>
    <xf numFmtId="4" fontId="1" fillId="0" borderId="5" xfId="0" applyNumberFormat="1" applyFont="1" applyBorder="1" applyAlignment="1">
      <alignment horizontal="left" vertical="top" wrapText="1"/>
    </xf>
    <xf numFmtId="4" fontId="1" fillId="3" borderId="4" xfId="0" applyNumberFormat="1" applyFont="1" applyFill="1" applyBorder="1" applyAlignment="1">
      <alignment vertical="top" wrapText="1"/>
    </xf>
    <xf numFmtId="4" fontId="1" fillId="0" borderId="4" xfId="0" applyNumberFormat="1" applyFont="1" applyBorder="1" applyAlignment="1">
      <alignment horizontal="left" vertical="top" wrapText="1"/>
    </xf>
    <xf numFmtId="0" fontId="0" fillId="0" borderId="5" xfId="0"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49" fontId="1" fillId="3" borderId="25" xfId="0" applyNumberFormat="1" applyFont="1" applyFill="1" applyBorder="1" applyAlignment="1">
      <alignment horizontal="center" vertical="top" wrapText="1"/>
    </xf>
    <xf numFmtId="49" fontId="1" fillId="3" borderId="20" xfId="0" applyNumberFormat="1"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3" borderId="5"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4" fontId="2" fillId="2" borderId="26" xfId="0" applyNumberFormat="1" applyFont="1" applyFill="1" applyBorder="1" applyAlignment="1">
      <alignment vertical="center" wrapText="1"/>
    </xf>
    <xf numFmtId="4" fontId="2" fillId="2" borderId="9" xfId="0" applyNumberFormat="1" applyFont="1" applyFill="1" applyBorder="1" applyAlignment="1">
      <alignment vertical="center" wrapText="1"/>
    </xf>
    <xf numFmtId="4" fontId="2" fillId="0" borderId="9" xfId="0" applyNumberFormat="1" applyFont="1" applyBorder="1" applyAlignment="1"/>
    <xf numFmtId="4" fontId="2" fillId="0" borderId="28" xfId="0" applyNumberFormat="1" applyFont="1" applyBorder="1" applyAlignment="1"/>
    <xf numFmtId="0" fontId="3" fillId="3" borderId="4" xfId="0" applyFont="1" applyFill="1" applyBorder="1" applyAlignment="1">
      <alignment horizontal="left" vertical="top" wrapText="1"/>
    </xf>
    <xf numFmtId="0" fontId="20" fillId="0" borderId="7" xfId="0" applyFont="1" applyBorder="1" applyAlignment="1">
      <alignment horizontal="left" vertical="top" wrapText="1"/>
    </xf>
    <xf numFmtId="49" fontId="5" fillId="0" borderId="18" xfId="0" applyNumberFormat="1" applyFont="1" applyBorder="1" applyAlignment="1">
      <alignment horizontal="justify" vertical="center" textRotation="90" wrapText="1"/>
    </xf>
    <xf numFmtId="0" fontId="6" fillId="0" borderId="5" xfId="0" applyFont="1" applyBorder="1" applyAlignment="1">
      <alignment horizontal="justify" vertical="center" textRotation="90" wrapText="1"/>
    </xf>
    <xf numFmtId="49" fontId="1" fillId="0" borderId="5" xfId="0" applyNumberFormat="1" applyFont="1" applyBorder="1" applyAlignment="1">
      <alignment horizontal="center" vertical="center" textRotation="90" wrapText="1"/>
    </xf>
    <xf numFmtId="0" fontId="1" fillId="3" borderId="4" xfId="0" applyFont="1" applyFill="1" applyBorder="1" applyAlignment="1">
      <alignment vertical="top" wrapText="1"/>
    </xf>
    <xf numFmtId="4" fontId="1" fillId="3" borderId="4" xfId="0" applyNumberFormat="1" applyFont="1" applyFill="1" applyBorder="1" applyAlignment="1">
      <alignment horizontal="left" vertical="top" wrapText="1"/>
    </xf>
    <xf numFmtId="0" fontId="2" fillId="2" borderId="26" xfId="0" applyFont="1" applyFill="1" applyBorder="1" applyAlignment="1">
      <alignment vertical="center" wrapText="1"/>
    </xf>
    <xf numFmtId="0" fontId="2" fillId="2" borderId="9" xfId="0" applyFont="1" applyFill="1" applyBorder="1" applyAlignment="1">
      <alignment vertical="center" wrapText="1"/>
    </xf>
    <xf numFmtId="0" fontId="2" fillId="0" borderId="9" xfId="0" applyFont="1" applyBorder="1" applyAlignment="1"/>
    <xf numFmtId="0" fontId="2" fillId="0" borderId="24" xfId="0" applyFont="1" applyBorder="1" applyAlignment="1"/>
    <xf numFmtId="0" fontId="2" fillId="0" borderId="28" xfId="0" applyFont="1" applyBorder="1" applyAlignment="1"/>
    <xf numFmtId="3" fontId="3" fillId="3" borderId="4" xfId="0" applyNumberFormat="1" applyFont="1" applyFill="1" applyBorder="1" applyAlignment="1">
      <alignment horizontal="left" vertical="top" wrapText="1"/>
    </xf>
    <xf numFmtId="4" fontId="3" fillId="0" borderId="30" xfId="0" applyNumberFormat="1" applyFont="1" applyBorder="1" applyAlignment="1">
      <alignment horizontal="left" vertical="top" wrapText="1"/>
    </xf>
    <xf numFmtId="4" fontId="3" fillId="0" borderId="29" xfId="0" applyNumberFormat="1" applyFont="1" applyBorder="1" applyAlignment="1">
      <alignment horizontal="left"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3" borderId="29" xfId="0" applyNumberFormat="1"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39" xfId="0" applyFont="1" applyBorder="1" applyAlignment="1">
      <alignment horizontal="left" vertical="top" wrapText="1"/>
    </xf>
    <xf numFmtId="0" fontId="2" fillId="0" borderId="29" xfId="0" applyFont="1" applyBorder="1" applyAlignment="1">
      <alignment horizontal="left" vertical="top" wrapText="1"/>
    </xf>
    <xf numFmtId="0" fontId="2" fillId="2" borderId="39" xfId="0" applyFont="1" applyFill="1" applyBorder="1" applyAlignment="1">
      <alignment horizontal="left" vertical="top" wrapText="1"/>
    </xf>
    <xf numFmtId="0" fontId="2" fillId="2" borderId="29" xfId="0" applyFont="1" applyFill="1" applyBorder="1" applyAlignment="1">
      <alignment horizontal="left" vertical="top" wrapText="1"/>
    </xf>
    <xf numFmtId="0" fontId="0" fillId="3" borderId="5" xfId="0" applyFill="1" applyBorder="1" applyAlignment="1">
      <alignment horizontal="left" vertical="top" wrapText="1"/>
    </xf>
    <xf numFmtId="0" fontId="3" fillId="8" borderId="4" xfId="0" applyFont="1" applyFill="1" applyBorder="1" applyAlignment="1">
      <alignment horizontal="left" vertical="top" wrapText="1"/>
    </xf>
    <xf numFmtId="0" fontId="3" fillId="8" borderId="5" xfId="0" applyFont="1" applyFill="1" applyBorder="1" applyAlignment="1">
      <alignment horizontal="left" vertical="top" wrapText="1"/>
    </xf>
    <xf numFmtId="49" fontId="2" fillId="2" borderId="20"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49" fontId="2" fillId="2" borderId="39" xfId="0" applyNumberFormat="1" applyFont="1" applyFill="1" applyBorder="1" applyAlignment="1">
      <alignment horizontal="left" vertical="top" wrapText="1"/>
    </xf>
    <xf numFmtId="49" fontId="2" fillId="2" borderId="29" xfId="0" applyNumberFormat="1"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9"/>
  <sheetViews>
    <sheetView tabSelected="1" zoomScaleNormal="100" zoomScaleSheetLayoutView="100" workbookViewId="0">
      <pane ySplit="11" topLeftCell="A12" activePane="bottomLeft" state="frozen"/>
      <selection pane="bottomLeft" activeCell="A12" sqref="A12:L12"/>
    </sheetView>
  </sheetViews>
  <sheetFormatPr defaultColWidth="9.140625" defaultRowHeight="12.75" x14ac:dyDescent="0.2"/>
  <cols>
    <col min="1" max="1" width="4.42578125" style="12" customWidth="1"/>
    <col min="2" max="2" width="28.7109375" style="556" customWidth="1"/>
    <col min="3" max="3" width="5.140625" style="120" customWidth="1"/>
    <col min="4" max="4" width="11.85546875" style="12" hidden="1" customWidth="1"/>
    <col min="5" max="5" width="9.140625" style="12" customWidth="1"/>
    <col min="6" max="6" width="8.5703125" style="12" customWidth="1"/>
    <col min="7" max="7" width="13.7109375" style="5" customWidth="1"/>
    <col min="8" max="8" width="13" style="5" customWidth="1"/>
    <col min="9" max="9" width="12.85546875" style="5" customWidth="1"/>
    <col min="10" max="10" width="12.28515625" style="5" customWidth="1"/>
    <col min="11" max="11" width="13.140625" style="5" customWidth="1"/>
    <col min="12" max="12" width="11.42578125" style="5" customWidth="1"/>
    <col min="13" max="16384" width="9.140625" style="5"/>
  </cols>
  <sheetData>
    <row r="1" spans="1:12" ht="43.5" customHeight="1" x14ac:dyDescent="0.2">
      <c r="A1" s="475"/>
      <c r="I1" s="576" t="s">
        <v>358</v>
      </c>
      <c r="J1" s="576"/>
      <c r="K1" s="576"/>
      <c r="L1" s="576"/>
    </row>
    <row r="2" spans="1:12" ht="14.25" customHeight="1" x14ac:dyDescent="0.2">
      <c r="A2" s="475"/>
      <c r="I2" s="555"/>
      <c r="J2" s="555"/>
      <c r="K2" s="555"/>
      <c r="L2" s="555"/>
    </row>
    <row r="3" spans="1:12" ht="15.75" customHeight="1" x14ac:dyDescent="0.25">
      <c r="A3" s="193"/>
      <c r="B3" s="585" t="s">
        <v>469</v>
      </c>
      <c r="C3" s="585"/>
      <c r="D3" s="585"/>
      <c r="E3" s="585"/>
      <c r="F3" s="585"/>
      <c r="G3" s="585"/>
      <c r="H3" s="585"/>
      <c r="I3" s="585"/>
      <c r="J3" s="585"/>
      <c r="K3" s="585"/>
      <c r="L3" s="585"/>
    </row>
    <row r="4" spans="1:12" ht="12.75" customHeight="1" x14ac:dyDescent="0.25">
      <c r="A4" s="475"/>
      <c r="B4" s="557"/>
      <c r="C4" s="121"/>
      <c r="D4" s="60"/>
      <c r="E4" s="60"/>
      <c r="F4" s="60"/>
      <c r="G4" s="60"/>
      <c r="H4" s="60"/>
      <c r="I4" s="60"/>
      <c r="J4" s="60"/>
    </row>
    <row r="5" spans="1:12" ht="13.5" customHeight="1" x14ac:dyDescent="0.2">
      <c r="A5" s="475"/>
      <c r="B5" s="582" t="s">
        <v>196</v>
      </c>
      <c r="C5" s="582"/>
      <c r="D5" s="582"/>
      <c r="E5" s="582"/>
      <c r="F5" s="582"/>
      <c r="G5" s="582"/>
      <c r="H5" s="6"/>
      <c r="I5" s="6"/>
      <c r="J5" s="6"/>
    </row>
    <row r="6" spans="1:12" ht="16.5" customHeight="1" x14ac:dyDescent="0.25">
      <c r="A6" s="476"/>
      <c r="B6" s="582" t="s">
        <v>197</v>
      </c>
      <c r="C6" s="582"/>
      <c r="D6" s="582"/>
      <c r="E6" s="584"/>
      <c r="F6" s="584"/>
      <c r="G6" s="584"/>
      <c r="H6" s="584"/>
      <c r="I6" s="6"/>
      <c r="J6" s="6"/>
    </row>
    <row r="7" spans="1:12" ht="15" customHeight="1" x14ac:dyDescent="0.25">
      <c r="A7" s="476"/>
      <c r="B7" s="582" t="s">
        <v>198</v>
      </c>
      <c r="C7" s="583"/>
      <c r="D7" s="584"/>
      <c r="E7" s="584"/>
      <c r="F7" s="17"/>
      <c r="G7" s="6"/>
      <c r="H7" s="6"/>
      <c r="I7" s="6"/>
      <c r="J7" s="6"/>
    </row>
    <row r="8" spans="1:12" ht="12" customHeight="1" thickBot="1" x14ac:dyDescent="0.25">
      <c r="A8" s="477"/>
      <c r="K8" s="7"/>
      <c r="L8" s="7" t="s">
        <v>22</v>
      </c>
    </row>
    <row r="9" spans="1:12" ht="17.25" customHeight="1" x14ac:dyDescent="0.2">
      <c r="A9" s="614" t="s">
        <v>369</v>
      </c>
      <c r="B9" s="611" t="s">
        <v>0</v>
      </c>
      <c r="C9" s="571" t="s">
        <v>35</v>
      </c>
      <c r="D9" s="571" t="s">
        <v>50</v>
      </c>
      <c r="E9" s="581" t="s">
        <v>23</v>
      </c>
      <c r="F9" s="581"/>
      <c r="G9" s="577" t="s">
        <v>26</v>
      </c>
      <c r="H9" s="577" t="s">
        <v>1</v>
      </c>
      <c r="I9" s="577" t="s">
        <v>2</v>
      </c>
      <c r="J9" s="577" t="s">
        <v>3</v>
      </c>
      <c r="K9" s="577" t="s">
        <v>4</v>
      </c>
      <c r="L9" s="579" t="s">
        <v>39</v>
      </c>
    </row>
    <row r="10" spans="1:12" ht="37.5" customHeight="1" x14ac:dyDescent="0.2">
      <c r="A10" s="615"/>
      <c r="B10" s="612"/>
      <c r="C10" s="572"/>
      <c r="D10" s="603"/>
      <c r="E10" s="589" t="s">
        <v>5</v>
      </c>
      <c r="F10" s="589" t="s">
        <v>6</v>
      </c>
      <c r="G10" s="578"/>
      <c r="H10" s="578"/>
      <c r="I10" s="578"/>
      <c r="J10" s="578"/>
      <c r="K10" s="578"/>
      <c r="L10" s="580"/>
    </row>
    <row r="11" spans="1:12" x14ac:dyDescent="0.2">
      <c r="A11" s="616"/>
      <c r="B11" s="613"/>
      <c r="C11" s="573"/>
      <c r="D11" s="15"/>
      <c r="E11" s="590"/>
      <c r="F11" s="590"/>
      <c r="G11" s="8" t="s">
        <v>25</v>
      </c>
      <c r="H11" s="8" t="s">
        <v>7</v>
      </c>
      <c r="I11" s="8" t="s">
        <v>8</v>
      </c>
      <c r="J11" s="8" t="s">
        <v>9</v>
      </c>
      <c r="K11" s="8" t="s">
        <v>10</v>
      </c>
      <c r="L11" s="142" t="s">
        <v>174</v>
      </c>
    </row>
    <row r="12" spans="1:12" s="480" customFormat="1" ht="17.25" customHeight="1" x14ac:dyDescent="0.2">
      <c r="A12" s="606" t="s">
        <v>17</v>
      </c>
      <c r="B12" s="607"/>
      <c r="C12" s="607"/>
      <c r="D12" s="607"/>
      <c r="E12" s="607"/>
      <c r="F12" s="607"/>
      <c r="G12" s="607"/>
      <c r="H12" s="607"/>
      <c r="I12" s="607"/>
      <c r="J12" s="607"/>
      <c r="K12" s="607"/>
      <c r="L12" s="608"/>
    </row>
    <row r="13" spans="1:12" s="480" customFormat="1" ht="42.75" customHeight="1" x14ac:dyDescent="0.2">
      <c r="A13" s="558" t="s">
        <v>298</v>
      </c>
      <c r="B13" s="567" t="s">
        <v>359</v>
      </c>
      <c r="C13" s="128">
        <v>5</v>
      </c>
      <c r="D13" s="129" t="s">
        <v>271</v>
      </c>
      <c r="E13" s="247" t="s">
        <v>93</v>
      </c>
      <c r="F13" s="247" t="s">
        <v>49</v>
      </c>
      <c r="G13" s="200">
        <f>H13+I13+J13+K13+L13</f>
        <v>161137.18</v>
      </c>
      <c r="H13" s="94">
        <v>21437.18</v>
      </c>
      <c r="I13" s="94">
        <v>139700</v>
      </c>
      <c r="J13" s="200"/>
      <c r="K13" s="200"/>
      <c r="L13" s="481"/>
    </row>
    <row r="14" spans="1:12" s="480" customFormat="1" ht="65.25" customHeight="1" x14ac:dyDescent="0.2">
      <c r="A14" s="244" t="s">
        <v>213</v>
      </c>
      <c r="B14" s="568" t="s">
        <v>283</v>
      </c>
      <c r="C14" s="482">
        <v>5</v>
      </c>
      <c r="D14" s="483" t="s">
        <v>271</v>
      </c>
      <c r="E14" s="234" t="s">
        <v>93</v>
      </c>
      <c r="F14" s="234" t="s">
        <v>42</v>
      </c>
      <c r="G14" s="200">
        <f>H14+I14+J14+K14+L14</f>
        <v>69407.839999999997</v>
      </c>
      <c r="H14" s="200">
        <v>10411.18</v>
      </c>
      <c r="I14" s="200">
        <v>58996.66</v>
      </c>
      <c r="J14" s="200"/>
      <c r="K14" s="200"/>
      <c r="L14" s="481"/>
    </row>
    <row r="15" spans="1:12" s="480" customFormat="1" ht="54.75" customHeight="1" x14ac:dyDescent="0.2">
      <c r="A15" s="519" t="s">
        <v>370</v>
      </c>
      <c r="B15" s="569" t="s">
        <v>480</v>
      </c>
      <c r="C15" s="484"/>
      <c r="D15" s="485" t="s">
        <v>157</v>
      </c>
      <c r="E15" s="110" t="s">
        <v>42</v>
      </c>
      <c r="F15" s="110" t="s">
        <v>170</v>
      </c>
      <c r="G15" s="200">
        <f>H15+L15</f>
        <v>1523000</v>
      </c>
      <c r="H15" s="95">
        <v>1023000</v>
      </c>
      <c r="I15" s="95"/>
      <c r="J15" s="95"/>
      <c r="K15" s="95"/>
      <c r="L15" s="202">
        <v>500000</v>
      </c>
    </row>
    <row r="16" spans="1:12" s="480" customFormat="1" ht="66" customHeight="1" x14ac:dyDescent="0.2">
      <c r="A16" s="558" t="s">
        <v>371</v>
      </c>
      <c r="B16" s="567" t="s">
        <v>21</v>
      </c>
      <c r="C16" s="128">
        <v>5</v>
      </c>
      <c r="D16" s="129" t="s">
        <v>253</v>
      </c>
      <c r="E16" s="234" t="s">
        <v>48</v>
      </c>
      <c r="F16" s="234" t="s">
        <v>49</v>
      </c>
      <c r="G16" s="200">
        <f>H16+I16+J16+K16+L16</f>
        <v>2833093.91</v>
      </c>
      <c r="H16" s="200">
        <v>1562132.13</v>
      </c>
      <c r="I16" s="130">
        <v>1158479.99</v>
      </c>
      <c r="J16" s="200">
        <v>102218.83</v>
      </c>
      <c r="K16" s="200"/>
      <c r="L16" s="481">
        <v>10262.959999999999</v>
      </c>
    </row>
    <row r="17" spans="1:12" s="480" customFormat="1" ht="18" customHeight="1" x14ac:dyDescent="0.2">
      <c r="A17" s="533"/>
      <c r="B17" s="486"/>
      <c r="C17" s="486"/>
      <c r="D17" s="486"/>
      <c r="E17" s="486"/>
      <c r="F17" s="487" t="s">
        <v>25</v>
      </c>
      <c r="G17" s="488">
        <f>SUM(G13:G16)</f>
        <v>4586638.93</v>
      </c>
      <c r="H17" s="488">
        <f t="shared" ref="H17:L17" si="0">SUM(H13:H16)</f>
        <v>2616980.4900000002</v>
      </c>
      <c r="I17" s="488">
        <f t="shared" si="0"/>
        <v>1357176.65</v>
      </c>
      <c r="J17" s="488">
        <f t="shared" si="0"/>
        <v>102218.83</v>
      </c>
      <c r="K17" s="488">
        <f t="shared" si="0"/>
        <v>0</v>
      </c>
      <c r="L17" s="489">
        <f t="shared" si="0"/>
        <v>510262.96</v>
      </c>
    </row>
    <row r="18" spans="1:12" s="480" customFormat="1" ht="15" customHeight="1" x14ac:dyDescent="0.2">
      <c r="A18" s="606" t="s">
        <v>27</v>
      </c>
      <c r="B18" s="607"/>
      <c r="C18" s="607"/>
      <c r="D18" s="607"/>
      <c r="E18" s="607"/>
      <c r="F18" s="607"/>
      <c r="G18" s="607"/>
      <c r="H18" s="607"/>
      <c r="I18" s="607"/>
      <c r="J18" s="607"/>
      <c r="K18" s="607"/>
      <c r="L18" s="608"/>
    </row>
    <row r="19" spans="1:12" s="480" customFormat="1" ht="55.5" customHeight="1" x14ac:dyDescent="0.2">
      <c r="A19" s="497" t="s">
        <v>43</v>
      </c>
      <c r="B19" s="559" t="s">
        <v>470</v>
      </c>
      <c r="C19" s="128">
        <v>5</v>
      </c>
      <c r="D19" s="80" t="s">
        <v>157</v>
      </c>
      <c r="E19" s="234">
        <v>2016</v>
      </c>
      <c r="F19" s="234" t="s">
        <v>42</v>
      </c>
      <c r="G19" s="95">
        <f>H19+I19+J19+K19+L19</f>
        <v>720600</v>
      </c>
      <c r="H19" s="565">
        <v>720600</v>
      </c>
      <c r="I19" s="565"/>
      <c r="J19" s="565"/>
      <c r="K19" s="565"/>
      <c r="L19" s="162"/>
    </row>
    <row r="20" spans="1:12" s="480" customFormat="1" ht="18.75" customHeight="1" x14ac:dyDescent="0.2">
      <c r="A20" s="604" t="s">
        <v>77</v>
      </c>
      <c r="B20" s="609" t="s">
        <v>183</v>
      </c>
      <c r="C20" s="490">
        <v>4</v>
      </c>
      <c r="D20" s="491"/>
      <c r="E20" s="492" t="s">
        <v>93</v>
      </c>
      <c r="F20" s="492" t="s">
        <v>42</v>
      </c>
      <c r="G20" s="200">
        <f t="shared" ref="G20:G26" si="1">H20+I20+J20+K20+L20</f>
        <v>15000</v>
      </c>
      <c r="H20" s="493">
        <v>15000</v>
      </c>
      <c r="I20" s="493"/>
      <c r="J20" s="493"/>
      <c r="K20" s="493"/>
      <c r="L20" s="494"/>
    </row>
    <row r="21" spans="1:12" s="480" customFormat="1" ht="34.5" customHeight="1" x14ac:dyDescent="0.2">
      <c r="A21" s="605"/>
      <c r="B21" s="610"/>
      <c r="C21" s="495">
        <v>6</v>
      </c>
      <c r="D21" s="496" t="s">
        <v>154</v>
      </c>
      <c r="E21" s="207" t="s">
        <v>94</v>
      </c>
      <c r="F21" s="207" t="s">
        <v>49</v>
      </c>
      <c r="G21" s="565">
        <f>H21+I21+J21+K21+L21</f>
        <v>500000</v>
      </c>
      <c r="H21" s="252">
        <v>389300</v>
      </c>
      <c r="I21" s="252"/>
      <c r="J21" s="252"/>
      <c r="K21" s="252"/>
      <c r="L21" s="345">
        <v>110700</v>
      </c>
    </row>
    <row r="22" spans="1:12" s="480" customFormat="1" ht="45" customHeight="1" x14ac:dyDescent="0.2">
      <c r="A22" s="497" t="s">
        <v>372</v>
      </c>
      <c r="B22" s="559" t="s">
        <v>284</v>
      </c>
      <c r="C22" s="128">
        <v>5</v>
      </c>
      <c r="D22" s="80" t="s">
        <v>157</v>
      </c>
      <c r="E22" s="234">
        <v>2016</v>
      </c>
      <c r="F22" s="234" t="s">
        <v>49</v>
      </c>
      <c r="G22" s="95">
        <f>H22+I22+J22+K22+L22</f>
        <v>647646</v>
      </c>
      <c r="H22" s="565">
        <v>374320</v>
      </c>
      <c r="I22" s="565">
        <v>273326</v>
      </c>
      <c r="J22" s="565"/>
      <c r="K22" s="565"/>
      <c r="L22" s="162"/>
    </row>
    <row r="23" spans="1:12" s="498" customFormat="1" ht="55.5" customHeight="1" x14ac:dyDescent="0.2">
      <c r="A23" s="497" t="s">
        <v>383</v>
      </c>
      <c r="B23" s="225" t="s">
        <v>86</v>
      </c>
      <c r="C23" s="293" t="s">
        <v>43</v>
      </c>
      <c r="D23" s="234" t="s">
        <v>169</v>
      </c>
      <c r="E23" s="96" t="s">
        <v>48</v>
      </c>
      <c r="F23" s="96" t="s">
        <v>163</v>
      </c>
      <c r="G23" s="95">
        <f t="shared" si="1"/>
        <v>2346864.9700000002</v>
      </c>
      <c r="H23" s="115">
        <v>1006599.83</v>
      </c>
      <c r="I23" s="115">
        <v>1231595</v>
      </c>
      <c r="J23" s="115">
        <v>108670.14</v>
      </c>
      <c r="K23" s="115"/>
      <c r="L23" s="164"/>
    </row>
    <row r="24" spans="1:12" s="480" customFormat="1" ht="42.75" customHeight="1" x14ac:dyDescent="0.2">
      <c r="A24" s="497" t="s">
        <v>384</v>
      </c>
      <c r="B24" s="34" t="s">
        <v>208</v>
      </c>
      <c r="C24" s="198" t="s">
        <v>43</v>
      </c>
      <c r="D24" s="199" t="s">
        <v>255</v>
      </c>
      <c r="E24" s="96" t="s">
        <v>48</v>
      </c>
      <c r="F24" s="96" t="s">
        <v>163</v>
      </c>
      <c r="G24" s="95">
        <f t="shared" si="1"/>
        <v>2564487.5099999998</v>
      </c>
      <c r="H24" s="115">
        <v>1665630.97</v>
      </c>
      <c r="I24" s="115">
        <v>825976.28</v>
      </c>
      <c r="J24" s="115">
        <v>72880.259999999995</v>
      </c>
      <c r="K24" s="115"/>
      <c r="L24" s="164"/>
    </row>
    <row r="25" spans="1:12" s="480" customFormat="1" ht="41.25" customHeight="1" x14ac:dyDescent="0.2">
      <c r="A25" s="497" t="s">
        <v>385</v>
      </c>
      <c r="B25" s="559" t="s">
        <v>226</v>
      </c>
      <c r="C25" s="128">
        <v>5</v>
      </c>
      <c r="D25" s="80" t="s">
        <v>159</v>
      </c>
      <c r="E25" s="234">
        <v>2015</v>
      </c>
      <c r="F25" s="234" t="s">
        <v>42</v>
      </c>
      <c r="G25" s="95">
        <v>661160.80000000005</v>
      </c>
      <c r="H25" s="95">
        <v>343612.76</v>
      </c>
      <c r="I25" s="95">
        <v>317548.03999999998</v>
      </c>
      <c r="J25" s="95"/>
      <c r="K25" s="95"/>
      <c r="L25" s="202"/>
    </row>
    <row r="26" spans="1:12" s="480" customFormat="1" ht="50.25" customHeight="1" x14ac:dyDescent="0.2">
      <c r="A26" s="497" t="s">
        <v>386</v>
      </c>
      <c r="B26" s="499" t="s">
        <v>228</v>
      </c>
      <c r="C26" s="128">
        <v>5</v>
      </c>
      <c r="D26" s="80" t="s">
        <v>102</v>
      </c>
      <c r="E26" s="234" t="s">
        <v>163</v>
      </c>
      <c r="F26" s="234" t="s">
        <v>364</v>
      </c>
      <c r="G26" s="95">
        <f t="shared" si="1"/>
        <v>1230535.6499999999</v>
      </c>
      <c r="H26" s="95">
        <v>1230535.6499999999</v>
      </c>
      <c r="I26" s="95"/>
      <c r="J26" s="95"/>
      <c r="K26" s="95"/>
      <c r="L26" s="202"/>
    </row>
    <row r="27" spans="1:12" s="480" customFormat="1" ht="43.5" customHeight="1" x14ac:dyDescent="0.2">
      <c r="A27" s="497" t="s">
        <v>387</v>
      </c>
      <c r="B27" s="500" t="s">
        <v>481</v>
      </c>
      <c r="C27" s="128" t="s">
        <v>43</v>
      </c>
      <c r="D27" s="249" t="s">
        <v>158</v>
      </c>
      <c r="E27" s="234" t="s">
        <v>48</v>
      </c>
      <c r="F27" s="234" t="s">
        <v>364</v>
      </c>
      <c r="G27" s="95">
        <v>2000000</v>
      </c>
      <c r="H27" s="115">
        <v>2000000</v>
      </c>
      <c r="I27" s="95"/>
      <c r="J27" s="95"/>
      <c r="K27" s="95"/>
      <c r="L27" s="202"/>
    </row>
    <row r="28" spans="1:12" s="480" customFormat="1" ht="39" customHeight="1" x14ac:dyDescent="0.2">
      <c r="A28" s="497" t="s">
        <v>388</v>
      </c>
      <c r="B28" s="500" t="s">
        <v>309</v>
      </c>
      <c r="C28" s="128" t="s">
        <v>43</v>
      </c>
      <c r="D28" s="80"/>
      <c r="E28" s="234" t="s">
        <v>163</v>
      </c>
      <c r="F28" s="234" t="s">
        <v>364</v>
      </c>
      <c r="G28" s="95">
        <v>1065000</v>
      </c>
      <c r="H28" s="95">
        <v>1065000</v>
      </c>
      <c r="I28" s="95"/>
      <c r="J28" s="95"/>
      <c r="K28" s="95"/>
      <c r="L28" s="202"/>
    </row>
    <row r="29" spans="1:12" s="480" customFormat="1" ht="54.75" customHeight="1" x14ac:dyDescent="0.2">
      <c r="A29" s="497" t="s">
        <v>389</v>
      </c>
      <c r="B29" s="500" t="s">
        <v>482</v>
      </c>
      <c r="C29" s="128" t="s">
        <v>43</v>
      </c>
      <c r="D29" s="80"/>
      <c r="E29" s="234" t="s">
        <v>49</v>
      </c>
      <c r="F29" s="234" t="s">
        <v>170</v>
      </c>
      <c r="G29" s="95">
        <f t="shared" ref="G29" si="2">H29+I29+J29+K29+L29</f>
        <v>450000</v>
      </c>
      <c r="H29" s="95">
        <v>450000</v>
      </c>
      <c r="I29" s="95"/>
      <c r="J29" s="95"/>
      <c r="K29" s="95"/>
      <c r="L29" s="202"/>
    </row>
    <row r="30" spans="1:12" s="480" customFormat="1" ht="42" customHeight="1" x14ac:dyDescent="0.2">
      <c r="A30" s="497" t="s">
        <v>390</v>
      </c>
      <c r="B30" s="499" t="s">
        <v>29</v>
      </c>
      <c r="C30" s="128">
        <v>5</v>
      </c>
      <c r="D30" s="80" t="s">
        <v>157</v>
      </c>
      <c r="E30" s="234">
        <v>2016</v>
      </c>
      <c r="F30" s="234" t="s">
        <v>49</v>
      </c>
      <c r="G30" s="565">
        <f>H30+I30</f>
        <v>1915743.52</v>
      </c>
      <c r="H30" s="565">
        <f>239361.52+48000</f>
        <v>287361.52</v>
      </c>
      <c r="I30" s="565">
        <f>1356382+272000</f>
        <v>1628382</v>
      </c>
      <c r="J30" s="95"/>
      <c r="K30" s="95"/>
      <c r="L30" s="202"/>
    </row>
    <row r="31" spans="1:12" s="480" customFormat="1" ht="93.75" customHeight="1" x14ac:dyDescent="0.2">
      <c r="A31" s="497" t="s">
        <v>391</v>
      </c>
      <c r="B31" s="499" t="s">
        <v>483</v>
      </c>
      <c r="C31" s="128">
        <v>5</v>
      </c>
      <c r="D31" s="80" t="s">
        <v>157</v>
      </c>
      <c r="E31" s="234" t="s">
        <v>93</v>
      </c>
      <c r="F31" s="234" t="s">
        <v>49</v>
      </c>
      <c r="G31" s="565">
        <f>H31+I31</f>
        <v>1528500</v>
      </c>
      <c r="H31" s="565">
        <v>1528500</v>
      </c>
      <c r="I31" s="565"/>
      <c r="J31" s="95"/>
      <c r="K31" s="95"/>
      <c r="L31" s="202"/>
    </row>
    <row r="32" spans="1:12" s="480" customFormat="1" ht="18" customHeight="1" x14ac:dyDescent="0.2">
      <c r="A32" s="501"/>
      <c r="B32" s="502"/>
      <c r="C32" s="502"/>
      <c r="D32" s="502"/>
      <c r="E32" s="502"/>
      <c r="F32" s="487" t="s">
        <v>25</v>
      </c>
      <c r="G32" s="503">
        <f>SUM(G19:G31)</f>
        <v>15645538.449999999</v>
      </c>
      <c r="H32" s="503">
        <f t="shared" ref="H32:L32" si="3">SUM(H19:H31)</f>
        <v>11076460.729999999</v>
      </c>
      <c r="I32" s="503">
        <f t="shared" si="3"/>
        <v>4276827.32</v>
      </c>
      <c r="J32" s="503">
        <f t="shared" si="3"/>
        <v>181550.4</v>
      </c>
      <c r="K32" s="503">
        <f t="shared" si="3"/>
        <v>0</v>
      </c>
      <c r="L32" s="570">
        <f t="shared" si="3"/>
        <v>110700</v>
      </c>
    </row>
    <row r="33" spans="1:12" s="480" customFormat="1" ht="18.75" customHeight="1" x14ac:dyDescent="0.2">
      <c r="A33" s="591" t="s">
        <v>12</v>
      </c>
      <c r="B33" s="592"/>
      <c r="C33" s="592"/>
      <c r="D33" s="592"/>
      <c r="E33" s="592"/>
      <c r="F33" s="592"/>
      <c r="G33" s="592"/>
      <c r="H33" s="592"/>
      <c r="I33" s="592"/>
      <c r="J33" s="592"/>
      <c r="K33" s="592"/>
      <c r="L33" s="593"/>
    </row>
    <row r="34" spans="1:12" s="480" customFormat="1" ht="27" customHeight="1" x14ac:dyDescent="0.2">
      <c r="A34" s="504"/>
      <c r="B34" s="505" t="s">
        <v>141</v>
      </c>
      <c r="C34" s="506"/>
      <c r="D34" s="507"/>
      <c r="E34" s="507"/>
      <c r="F34" s="507"/>
      <c r="G34" s="507"/>
      <c r="H34" s="507"/>
      <c r="I34" s="507"/>
      <c r="J34" s="507"/>
      <c r="K34" s="507"/>
      <c r="L34" s="508"/>
    </row>
    <row r="35" spans="1:12" s="480" customFormat="1" ht="53.25" customHeight="1" x14ac:dyDescent="0.2">
      <c r="A35" s="558" t="s">
        <v>392</v>
      </c>
      <c r="B35" s="509" t="s">
        <v>467</v>
      </c>
      <c r="C35" s="482">
        <v>5</v>
      </c>
      <c r="D35" s="234" t="s">
        <v>102</v>
      </c>
      <c r="E35" s="234" t="s">
        <v>162</v>
      </c>
      <c r="F35" s="234" t="s">
        <v>170</v>
      </c>
      <c r="G35" s="95">
        <f>H35+I35+J35+K35+L35</f>
        <v>10200908.34</v>
      </c>
      <c r="H35" s="95">
        <v>4408328.93</v>
      </c>
      <c r="I35" s="95">
        <v>5145100</v>
      </c>
      <c r="J35" s="95">
        <v>453979.41</v>
      </c>
      <c r="K35" s="95">
        <v>193500</v>
      </c>
      <c r="L35" s="202"/>
    </row>
    <row r="36" spans="1:12" s="480" customFormat="1" ht="79.5" customHeight="1" x14ac:dyDescent="0.2">
      <c r="A36" s="497"/>
      <c r="B36" s="510" t="s">
        <v>468</v>
      </c>
      <c r="C36" s="482" t="s">
        <v>43</v>
      </c>
      <c r="D36" s="234" t="s">
        <v>102</v>
      </c>
      <c r="E36" s="234" t="s">
        <v>162</v>
      </c>
      <c r="F36" s="234" t="s">
        <v>170</v>
      </c>
      <c r="G36" s="95">
        <f>H36+I36+J36+K36+L36</f>
        <v>4417006.18</v>
      </c>
      <c r="H36" s="95">
        <v>1917311.98</v>
      </c>
      <c r="I36" s="95">
        <v>1758148</v>
      </c>
      <c r="J36" s="95"/>
      <c r="K36" s="95">
        <v>741546.2</v>
      </c>
      <c r="L36" s="202"/>
    </row>
    <row r="37" spans="1:12" s="480" customFormat="1" ht="30.75" customHeight="1" x14ac:dyDescent="0.2">
      <c r="A37" s="558" t="s">
        <v>393</v>
      </c>
      <c r="B37" s="222" t="s">
        <v>277</v>
      </c>
      <c r="C37" s="223" t="s">
        <v>43</v>
      </c>
      <c r="D37" s="232" t="s">
        <v>165</v>
      </c>
      <c r="E37" s="234" t="s">
        <v>93</v>
      </c>
      <c r="F37" s="234" t="s">
        <v>168</v>
      </c>
      <c r="G37" s="95">
        <f>H37+I37+J37+K37+L37</f>
        <v>2989512.75</v>
      </c>
      <c r="H37" s="95">
        <v>860694.75</v>
      </c>
      <c r="I37" s="95">
        <v>2128818</v>
      </c>
      <c r="J37" s="95"/>
      <c r="K37" s="95"/>
      <c r="L37" s="202"/>
    </row>
    <row r="38" spans="1:12" s="480" customFormat="1" ht="56.25" customHeight="1" x14ac:dyDescent="0.2">
      <c r="A38" s="558" t="s">
        <v>394</v>
      </c>
      <c r="B38" s="510" t="s">
        <v>13</v>
      </c>
      <c r="C38" s="482" t="s">
        <v>43</v>
      </c>
      <c r="D38" s="232" t="s">
        <v>165</v>
      </c>
      <c r="E38" s="234" t="s">
        <v>48</v>
      </c>
      <c r="F38" s="234" t="s">
        <v>365</v>
      </c>
      <c r="G38" s="95">
        <v>4350000</v>
      </c>
      <c r="H38" s="95">
        <v>2298415</v>
      </c>
      <c r="I38" s="95"/>
      <c r="J38" s="95"/>
      <c r="K38" s="95">
        <v>2050100</v>
      </c>
      <c r="L38" s="202"/>
    </row>
    <row r="39" spans="1:12" s="480" customFormat="1" ht="39.75" customHeight="1" x14ac:dyDescent="0.2">
      <c r="A39" s="558" t="s">
        <v>395</v>
      </c>
      <c r="B39" s="510" t="s">
        <v>185</v>
      </c>
      <c r="C39" s="482" t="s">
        <v>43</v>
      </c>
      <c r="D39" s="232" t="s">
        <v>166</v>
      </c>
      <c r="E39" s="234" t="s">
        <v>94</v>
      </c>
      <c r="F39" s="234" t="s">
        <v>42</v>
      </c>
      <c r="G39" s="95">
        <f>+H39+K39+L39</f>
        <v>2600000</v>
      </c>
      <c r="H39" s="95">
        <v>1273700</v>
      </c>
      <c r="I39" s="95"/>
      <c r="J39" s="95"/>
      <c r="K39" s="95">
        <v>1163900</v>
      </c>
      <c r="L39" s="202">
        <v>162400</v>
      </c>
    </row>
    <row r="40" spans="1:12" s="480" customFormat="1" ht="55.5" customHeight="1" x14ac:dyDescent="0.2">
      <c r="A40" s="558" t="s">
        <v>396</v>
      </c>
      <c r="B40" s="222" t="s">
        <v>366</v>
      </c>
      <c r="C40" s="223" t="s">
        <v>43</v>
      </c>
      <c r="D40" s="232" t="s">
        <v>161</v>
      </c>
      <c r="E40" s="234" t="s">
        <v>94</v>
      </c>
      <c r="F40" s="234" t="s">
        <v>42</v>
      </c>
      <c r="G40" s="95">
        <f>H40+I40+J40+K40+L40</f>
        <v>31200</v>
      </c>
      <c r="H40" s="95">
        <v>31200</v>
      </c>
      <c r="I40" s="95"/>
      <c r="J40" s="95"/>
      <c r="K40" s="95"/>
      <c r="L40" s="202"/>
    </row>
    <row r="41" spans="1:12" s="480" customFormat="1" ht="42" customHeight="1" x14ac:dyDescent="0.2">
      <c r="A41" s="558" t="s">
        <v>397</v>
      </c>
      <c r="B41" s="510" t="s">
        <v>232</v>
      </c>
      <c r="C41" s="482" t="s">
        <v>43</v>
      </c>
      <c r="D41" s="232" t="s">
        <v>165</v>
      </c>
      <c r="E41" s="234" t="s">
        <v>163</v>
      </c>
      <c r="F41" s="234" t="s">
        <v>365</v>
      </c>
      <c r="G41" s="95">
        <v>1050000</v>
      </c>
      <c r="H41" s="95">
        <v>1050000</v>
      </c>
      <c r="I41" s="95"/>
      <c r="J41" s="95"/>
      <c r="K41" s="95"/>
      <c r="L41" s="202"/>
    </row>
    <row r="42" spans="1:12" s="480" customFormat="1" ht="18" customHeight="1" x14ac:dyDescent="0.2">
      <c r="A42" s="558" t="s">
        <v>381</v>
      </c>
      <c r="B42" s="510" t="s">
        <v>360</v>
      </c>
      <c r="C42" s="482" t="s">
        <v>43</v>
      </c>
      <c r="D42" s="232" t="s">
        <v>165</v>
      </c>
      <c r="E42" s="234" t="s">
        <v>163</v>
      </c>
      <c r="F42" s="234" t="s">
        <v>168</v>
      </c>
      <c r="G42" s="95">
        <v>400000</v>
      </c>
      <c r="H42" s="95">
        <v>400000</v>
      </c>
      <c r="I42" s="95"/>
      <c r="J42" s="95"/>
      <c r="K42" s="95"/>
      <c r="L42" s="202"/>
    </row>
    <row r="43" spans="1:12" s="480" customFormat="1" ht="27.75" customHeight="1" x14ac:dyDescent="0.2">
      <c r="A43" s="511"/>
      <c r="B43" s="58" t="s">
        <v>142</v>
      </c>
      <c r="C43" s="123"/>
      <c r="D43" s="113"/>
      <c r="E43" s="84"/>
      <c r="F43" s="84"/>
      <c r="G43" s="114"/>
      <c r="H43" s="114"/>
      <c r="I43" s="114"/>
      <c r="J43" s="114"/>
      <c r="K43" s="114"/>
      <c r="L43" s="163"/>
    </row>
    <row r="44" spans="1:12" s="480" customFormat="1" ht="29.25" customHeight="1" x14ac:dyDescent="0.2">
      <c r="A44" s="558" t="s">
        <v>398</v>
      </c>
      <c r="B44" s="512" t="s">
        <v>200</v>
      </c>
      <c r="C44" s="513" t="s">
        <v>43</v>
      </c>
      <c r="D44" s="446" t="s">
        <v>167</v>
      </c>
      <c r="E44" s="249" t="s">
        <v>162</v>
      </c>
      <c r="F44" s="249" t="s">
        <v>170</v>
      </c>
      <c r="G44" s="564">
        <f>H44+I44+J44+K44+L44</f>
        <v>5450000</v>
      </c>
      <c r="H44" s="514">
        <v>3120500</v>
      </c>
      <c r="I44" s="515"/>
      <c r="J44" s="515"/>
      <c r="K44" s="515">
        <v>2329500</v>
      </c>
      <c r="L44" s="251"/>
    </row>
    <row r="45" spans="1:12" s="480" customFormat="1" ht="17.25" customHeight="1" x14ac:dyDescent="0.2">
      <c r="A45" s="558" t="s">
        <v>399</v>
      </c>
      <c r="B45" s="510" t="s">
        <v>53</v>
      </c>
      <c r="C45" s="482" t="s">
        <v>43</v>
      </c>
      <c r="D45" s="232" t="s">
        <v>167</v>
      </c>
      <c r="E45" s="234" t="s">
        <v>152</v>
      </c>
      <c r="F45" s="234" t="s">
        <v>168</v>
      </c>
      <c r="G45" s="95">
        <f>H45+I45+J45+K45+L45</f>
        <v>3400000</v>
      </c>
      <c r="H45" s="95">
        <v>2572600</v>
      </c>
      <c r="I45" s="95"/>
      <c r="J45" s="95"/>
      <c r="K45" s="95">
        <v>827400</v>
      </c>
      <c r="L45" s="202"/>
    </row>
    <row r="46" spans="1:12" s="480" customFormat="1" ht="39" customHeight="1" x14ac:dyDescent="0.2">
      <c r="A46" s="473"/>
      <c r="B46" s="58" t="s">
        <v>144</v>
      </c>
      <c r="C46" s="123"/>
      <c r="D46" s="116"/>
      <c r="E46" s="516"/>
      <c r="F46" s="516"/>
      <c r="G46" s="114"/>
      <c r="H46" s="517"/>
      <c r="I46" s="517"/>
      <c r="J46" s="517"/>
      <c r="K46" s="517"/>
      <c r="L46" s="518"/>
    </row>
    <row r="47" spans="1:12" s="480" customFormat="1" ht="55.5" customHeight="1" x14ac:dyDescent="0.2">
      <c r="A47" s="558" t="s">
        <v>400</v>
      </c>
      <c r="B47" s="560" t="s">
        <v>178</v>
      </c>
      <c r="C47" s="205">
        <v>5</v>
      </c>
      <c r="D47" s="446" t="s">
        <v>159</v>
      </c>
      <c r="E47" s="249" t="s">
        <v>48</v>
      </c>
      <c r="F47" s="249" t="s">
        <v>49</v>
      </c>
      <c r="G47" s="564">
        <f>H47+I47+J47+K47+L47</f>
        <v>5500000</v>
      </c>
      <c r="H47" s="564">
        <v>2011500</v>
      </c>
      <c r="I47" s="564">
        <v>1980600</v>
      </c>
      <c r="J47" s="564"/>
      <c r="K47" s="564">
        <v>1060000</v>
      </c>
      <c r="L47" s="251">
        <f>317600+130300</f>
        <v>447900</v>
      </c>
    </row>
    <row r="48" spans="1:12" s="480" customFormat="1" ht="42.75" customHeight="1" x14ac:dyDescent="0.2">
      <c r="A48" s="519"/>
      <c r="B48" s="520" t="s">
        <v>179</v>
      </c>
      <c r="C48" s="479"/>
      <c r="D48" s="521"/>
      <c r="E48" s="374"/>
      <c r="F48" s="374"/>
      <c r="G48" s="478"/>
      <c r="H48" s="522"/>
      <c r="I48" s="522"/>
      <c r="J48" s="522"/>
      <c r="K48" s="522"/>
      <c r="L48" s="534"/>
    </row>
    <row r="49" spans="1:12" s="480" customFormat="1" ht="42" customHeight="1" x14ac:dyDescent="0.2">
      <c r="A49" s="497"/>
      <c r="B49" s="523" t="s">
        <v>58</v>
      </c>
      <c r="C49" s="484"/>
      <c r="D49" s="485"/>
      <c r="E49" s="110"/>
      <c r="F49" s="110"/>
      <c r="G49" s="565"/>
      <c r="H49" s="565"/>
      <c r="I49" s="565"/>
      <c r="J49" s="565"/>
      <c r="K49" s="565"/>
      <c r="L49" s="162"/>
    </row>
    <row r="50" spans="1:12" s="480" customFormat="1" ht="40.5" customHeight="1" x14ac:dyDescent="0.2">
      <c r="A50" s="244" t="s">
        <v>401</v>
      </c>
      <c r="B50" s="108" t="s">
        <v>285</v>
      </c>
      <c r="C50" s="484" t="s">
        <v>43</v>
      </c>
      <c r="D50" s="110" t="s">
        <v>165</v>
      </c>
      <c r="E50" s="110" t="s">
        <v>93</v>
      </c>
      <c r="F50" s="110" t="s">
        <v>163</v>
      </c>
      <c r="G50" s="95">
        <f>+H50+L50+K50</f>
        <v>2600000</v>
      </c>
      <c r="H50" s="565">
        <v>460000</v>
      </c>
      <c r="I50" s="565"/>
      <c r="J50" s="565"/>
      <c r="K50" s="565">
        <v>2100000</v>
      </c>
      <c r="L50" s="162">
        <v>40000</v>
      </c>
    </row>
    <row r="51" spans="1:12" s="480" customFormat="1" ht="28.5" customHeight="1" x14ac:dyDescent="0.2">
      <c r="A51" s="473"/>
      <c r="B51" s="58" t="s">
        <v>146</v>
      </c>
      <c r="C51" s="123"/>
      <c r="D51" s="113"/>
      <c r="E51" s="84"/>
      <c r="F51" s="84"/>
      <c r="G51" s="114"/>
      <c r="H51" s="114"/>
      <c r="I51" s="114"/>
      <c r="J51" s="114"/>
      <c r="K51" s="114"/>
      <c r="L51" s="163"/>
    </row>
    <row r="52" spans="1:12" s="480" customFormat="1" ht="19.5" customHeight="1" x14ac:dyDescent="0.2">
      <c r="A52" s="244" t="s">
        <v>402</v>
      </c>
      <c r="B52" s="222" t="s">
        <v>281</v>
      </c>
      <c r="C52" s="223" t="s">
        <v>43</v>
      </c>
      <c r="D52" s="232" t="s">
        <v>161</v>
      </c>
      <c r="E52" s="234" t="s">
        <v>162</v>
      </c>
      <c r="F52" s="234" t="s">
        <v>42</v>
      </c>
      <c r="G52" s="95">
        <f>+H52+K52+L52</f>
        <v>6900000</v>
      </c>
      <c r="H52" s="565">
        <v>2300500</v>
      </c>
      <c r="I52" s="565"/>
      <c r="J52" s="565"/>
      <c r="K52" s="565">
        <v>1257700</v>
      </c>
      <c r="L52" s="162">
        <f>3166800+175000</f>
        <v>3341800</v>
      </c>
    </row>
    <row r="53" spans="1:12" s="480" customFormat="1" ht="40.5" customHeight="1" x14ac:dyDescent="0.2">
      <c r="A53" s="244" t="s">
        <v>403</v>
      </c>
      <c r="B53" s="108" t="s">
        <v>361</v>
      </c>
      <c r="C53" s="109" t="s">
        <v>43</v>
      </c>
      <c r="D53" s="110" t="s">
        <v>166</v>
      </c>
      <c r="E53" s="110" t="s">
        <v>42</v>
      </c>
      <c r="F53" s="110" t="s">
        <v>163</v>
      </c>
      <c r="G53" s="565">
        <f>H53+I53+J53+K53+L53</f>
        <v>907100</v>
      </c>
      <c r="H53" s="565">
        <v>57100</v>
      </c>
      <c r="I53" s="565">
        <v>850000</v>
      </c>
      <c r="J53" s="565"/>
      <c r="K53" s="565"/>
      <c r="L53" s="162"/>
    </row>
    <row r="54" spans="1:12" s="480" customFormat="1" ht="31.5" customHeight="1" x14ac:dyDescent="0.2">
      <c r="A54" s="473"/>
      <c r="B54" s="58" t="s">
        <v>147</v>
      </c>
      <c r="C54" s="123"/>
      <c r="D54" s="113"/>
      <c r="E54" s="84"/>
      <c r="F54" s="84"/>
      <c r="G54" s="114"/>
      <c r="H54" s="114"/>
      <c r="I54" s="114"/>
      <c r="J54" s="114"/>
      <c r="K54" s="114"/>
      <c r="L54" s="163"/>
    </row>
    <row r="55" spans="1:12" s="480" customFormat="1" ht="39.75" customHeight="1" x14ac:dyDescent="0.2">
      <c r="A55" s="244" t="s">
        <v>404</v>
      </c>
      <c r="B55" s="29" t="s">
        <v>187</v>
      </c>
      <c r="C55" s="82" t="s">
        <v>43</v>
      </c>
      <c r="D55" s="234" t="s">
        <v>167</v>
      </c>
      <c r="E55" s="96" t="s">
        <v>48</v>
      </c>
      <c r="F55" s="96" t="s">
        <v>42</v>
      </c>
      <c r="G55" s="95">
        <f>+H55+K55</f>
        <v>4900000</v>
      </c>
      <c r="H55" s="115">
        <f>855000+1533900+403600</f>
        <v>2792500</v>
      </c>
      <c r="I55" s="115"/>
      <c r="J55" s="115"/>
      <c r="K55" s="115">
        <v>2107500</v>
      </c>
      <c r="L55" s="345"/>
    </row>
    <row r="56" spans="1:12" s="480" customFormat="1" ht="43.5" customHeight="1" x14ac:dyDescent="0.2">
      <c r="A56" s="244" t="s">
        <v>405</v>
      </c>
      <c r="B56" s="29" t="s">
        <v>14</v>
      </c>
      <c r="C56" s="82">
        <v>5</v>
      </c>
      <c r="D56" s="234" t="s">
        <v>166</v>
      </c>
      <c r="E56" s="96" t="s">
        <v>42</v>
      </c>
      <c r="F56" s="96" t="s">
        <v>168</v>
      </c>
      <c r="G56" s="95">
        <f>H56+I56+J56+K56+L56</f>
        <v>2550000</v>
      </c>
      <c r="H56" s="115">
        <v>430600</v>
      </c>
      <c r="I56" s="115"/>
      <c r="J56" s="115"/>
      <c r="K56" s="115">
        <v>2119400</v>
      </c>
      <c r="L56" s="164"/>
    </row>
    <row r="57" spans="1:12" s="480" customFormat="1" ht="92.25" customHeight="1" x14ac:dyDescent="0.2">
      <c r="A57" s="244" t="s">
        <v>406</v>
      </c>
      <c r="B57" s="29" t="s">
        <v>479</v>
      </c>
      <c r="C57" s="82" t="s">
        <v>43</v>
      </c>
      <c r="D57" s="234" t="s">
        <v>167</v>
      </c>
      <c r="E57" s="96" t="s">
        <v>48</v>
      </c>
      <c r="F57" s="96" t="s">
        <v>42</v>
      </c>
      <c r="G57" s="95">
        <f t="shared" ref="G57" si="4">H57+I57+J57+K57+L57</f>
        <v>125300</v>
      </c>
      <c r="H57" s="564">
        <v>56300</v>
      </c>
      <c r="I57" s="564"/>
      <c r="J57" s="95"/>
      <c r="K57" s="95">
        <v>69000</v>
      </c>
      <c r="L57" s="202"/>
    </row>
    <row r="58" spans="1:12" s="480" customFormat="1" ht="18" customHeight="1" x14ac:dyDescent="0.2">
      <c r="A58" s="244" t="s">
        <v>407</v>
      </c>
      <c r="B58" s="222" t="s">
        <v>323</v>
      </c>
      <c r="C58" s="82" t="s">
        <v>43</v>
      </c>
      <c r="D58" s="234" t="s">
        <v>164</v>
      </c>
      <c r="E58" s="96" t="s">
        <v>49</v>
      </c>
      <c r="F58" s="96" t="s">
        <v>365</v>
      </c>
      <c r="G58" s="95">
        <f>H58+I58+J58+K58+L58</f>
        <v>1900000</v>
      </c>
      <c r="H58" s="115">
        <v>1520000</v>
      </c>
      <c r="I58" s="115"/>
      <c r="J58" s="115"/>
      <c r="K58" s="115">
        <v>380000</v>
      </c>
      <c r="L58" s="164"/>
    </row>
    <row r="59" spans="1:12" s="480" customFormat="1" ht="39.75" customHeight="1" x14ac:dyDescent="0.2">
      <c r="A59" s="511"/>
      <c r="B59" s="58" t="s">
        <v>188</v>
      </c>
      <c r="C59" s="123"/>
      <c r="D59" s="116"/>
      <c r="E59" s="117"/>
      <c r="F59" s="117"/>
      <c r="G59" s="114"/>
      <c r="H59" s="118"/>
      <c r="I59" s="118"/>
      <c r="J59" s="118"/>
      <c r="K59" s="118"/>
      <c r="L59" s="165"/>
    </row>
    <row r="60" spans="1:12" s="480" customFormat="1" ht="41.25" customHeight="1" x14ac:dyDescent="0.2">
      <c r="A60" s="244" t="s">
        <v>408</v>
      </c>
      <c r="B60" s="222" t="s">
        <v>296</v>
      </c>
      <c r="C60" s="82" t="s">
        <v>43</v>
      </c>
      <c r="D60" s="234" t="s">
        <v>164</v>
      </c>
      <c r="E60" s="96" t="s">
        <v>93</v>
      </c>
      <c r="F60" s="96" t="s">
        <v>168</v>
      </c>
      <c r="G60" s="95">
        <f>H60+I60+J60+K60+L60</f>
        <v>26100000</v>
      </c>
      <c r="H60" s="115">
        <v>547800</v>
      </c>
      <c r="I60" s="115"/>
      <c r="J60" s="115">
        <v>13609100</v>
      </c>
      <c r="K60" s="115">
        <v>11943100</v>
      </c>
      <c r="L60" s="164"/>
    </row>
    <row r="61" spans="1:12" s="480" customFormat="1" ht="56.25" customHeight="1" x14ac:dyDescent="0.2">
      <c r="A61" s="524" t="s">
        <v>409</v>
      </c>
      <c r="B61" s="222" t="s">
        <v>238</v>
      </c>
      <c r="C61" s="82" t="s">
        <v>77</v>
      </c>
      <c r="D61" s="65" t="s">
        <v>257</v>
      </c>
      <c r="E61" s="96" t="s">
        <v>93</v>
      </c>
      <c r="F61" s="96" t="s">
        <v>49</v>
      </c>
      <c r="G61" s="95">
        <f>H61+I61+J61+K61+L61</f>
        <v>1063539.46</v>
      </c>
      <c r="H61" s="115">
        <v>1063539.46</v>
      </c>
      <c r="I61" s="115"/>
      <c r="J61" s="115"/>
      <c r="K61" s="115"/>
      <c r="L61" s="164"/>
    </row>
    <row r="62" spans="1:12" s="480" customFormat="1" ht="43.5" customHeight="1" x14ac:dyDescent="0.2">
      <c r="A62" s="244" t="s">
        <v>410</v>
      </c>
      <c r="B62" s="222" t="s">
        <v>362</v>
      </c>
      <c r="C62" s="223" t="s">
        <v>77</v>
      </c>
      <c r="D62" s="234" t="s">
        <v>158</v>
      </c>
      <c r="E62" s="96" t="s">
        <v>93</v>
      </c>
      <c r="F62" s="96" t="s">
        <v>163</v>
      </c>
      <c r="G62" s="95">
        <f>H62</f>
        <v>180278.64</v>
      </c>
      <c r="H62" s="115">
        <v>180278.64</v>
      </c>
      <c r="I62" s="115"/>
      <c r="J62" s="115"/>
      <c r="K62" s="115"/>
      <c r="L62" s="164"/>
    </row>
    <row r="63" spans="1:12" s="480" customFormat="1" ht="52.5" customHeight="1" x14ac:dyDescent="0.2">
      <c r="A63" s="244" t="s">
        <v>411</v>
      </c>
      <c r="B63" s="222" t="s">
        <v>367</v>
      </c>
      <c r="C63" s="223" t="s">
        <v>43</v>
      </c>
      <c r="D63" s="234" t="s">
        <v>158</v>
      </c>
      <c r="E63" s="96" t="s">
        <v>94</v>
      </c>
      <c r="F63" s="96" t="s">
        <v>163</v>
      </c>
      <c r="G63" s="95">
        <f>H63+I63+J63+K63+L63</f>
        <v>1530000</v>
      </c>
      <c r="H63" s="115">
        <v>1530000</v>
      </c>
      <c r="I63" s="115"/>
      <c r="J63" s="115"/>
      <c r="K63" s="115"/>
      <c r="L63" s="164"/>
    </row>
    <row r="64" spans="1:12" s="480" customFormat="1" ht="31.5" customHeight="1" x14ac:dyDescent="0.2">
      <c r="A64" s="244" t="s">
        <v>412</v>
      </c>
      <c r="B64" s="29" t="s">
        <v>73</v>
      </c>
      <c r="C64" s="82" t="s">
        <v>43</v>
      </c>
      <c r="D64" s="65" t="s">
        <v>157</v>
      </c>
      <c r="E64" s="96" t="s">
        <v>93</v>
      </c>
      <c r="F64" s="96" t="s">
        <v>49</v>
      </c>
      <c r="G64" s="95">
        <f>H64+I64+J64+K64+L64</f>
        <v>5017100</v>
      </c>
      <c r="H64" s="252">
        <v>752600</v>
      </c>
      <c r="I64" s="115">
        <v>4264500</v>
      </c>
      <c r="J64" s="115"/>
      <c r="K64" s="115"/>
      <c r="L64" s="164"/>
    </row>
    <row r="65" spans="1:12" s="480" customFormat="1" ht="33" customHeight="1" x14ac:dyDescent="0.2">
      <c r="A65" s="244" t="s">
        <v>413</v>
      </c>
      <c r="B65" s="29" t="s">
        <v>260</v>
      </c>
      <c r="C65" s="223" t="s">
        <v>77</v>
      </c>
      <c r="D65" s="234"/>
      <c r="E65" s="96" t="s">
        <v>152</v>
      </c>
      <c r="F65" s="234" t="s">
        <v>42</v>
      </c>
      <c r="G65" s="95">
        <f>H65+I65+J65+K65+L65</f>
        <v>662700</v>
      </c>
      <c r="H65" s="115">
        <v>436900</v>
      </c>
      <c r="I65" s="115"/>
      <c r="J65" s="115"/>
      <c r="K65" s="115">
        <v>225800</v>
      </c>
      <c r="L65" s="164"/>
    </row>
    <row r="66" spans="1:12" s="480" customFormat="1" ht="42" customHeight="1" x14ac:dyDescent="0.2">
      <c r="A66" s="473"/>
      <c r="B66" s="59" t="s">
        <v>239</v>
      </c>
      <c r="C66" s="83"/>
      <c r="D66" s="84"/>
      <c r="E66" s="85"/>
      <c r="F66" s="85"/>
      <c r="G66" s="114"/>
      <c r="H66" s="86"/>
      <c r="I66" s="86"/>
      <c r="J66" s="86"/>
      <c r="K66" s="86"/>
      <c r="L66" s="210"/>
    </row>
    <row r="67" spans="1:12" s="498" customFormat="1" ht="53.25" customHeight="1" x14ac:dyDescent="0.2">
      <c r="A67" s="244" t="s">
        <v>414</v>
      </c>
      <c r="B67" s="222" t="s">
        <v>484</v>
      </c>
      <c r="C67" s="223" t="s">
        <v>43</v>
      </c>
      <c r="D67" s="306" t="s">
        <v>169</v>
      </c>
      <c r="E67" s="96" t="s">
        <v>94</v>
      </c>
      <c r="F67" s="96" t="s">
        <v>49</v>
      </c>
      <c r="G67" s="95">
        <f t="shared" ref="G67:G71" si="5">H67+I67+J67+K67+L67</f>
        <v>2937200</v>
      </c>
      <c r="H67" s="115">
        <f>1824200+243000</f>
        <v>2067200</v>
      </c>
      <c r="I67" s="115">
        <v>870000</v>
      </c>
      <c r="J67" s="115"/>
      <c r="K67" s="115"/>
      <c r="L67" s="164"/>
    </row>
    <row r="68" spans="1:12" s="480" customFormat="1" ht="41.25" customHeight="1" x14ac:dyDescent="0.2">
      <c r="A68" s="244" t="s">
        <v>415</v>
      </c>
      <c r="B68" s="222" t="s">
        <v>242</v>
      </c>
      <c r="C68" s="223" t="s">
        <v>43</v>
      </c>
      <c r="D68" s="232" t="s">
        <v>157</v>
      </c>
      <c r="E68" s="96" t="s">
        <v>94</v>
      </c>
      <c r="F68" s="96" t="s">
        <v>42</v>
      </c>
      <c r="G68" s="95">
        <f t="shared" si="5"/>
        <v>675700</v>
      </c>
      <c r="H68" s="115">
        <v>67600</v>
      </c>
      <c r="I68" s="115">
        <v>608100</v>
      </c>
      <c r="J68" s="115"/>
      <c r="K68" s="115"/>
      <c r="L68" s="164"/>
    </row>
    <row r="69" spans="1:12" s="480" customFormat="1" ht="30" customHeight="1" x14ac:dyDescent="0.2">
      <c r="A69" s="244" t="s">
        <v>417</v>
      </c>
      <c r="B69" s="222" t="s">
        <v>244</v>
      </c>
      <c r="C69" s="223" t="s">
        <v>43</v>
      </c>
      <c r="D69" s="30" t="s">
        <v>157</v>
      </c>
      <c r="E69" s="96" t="s">
        <v>94</v>
      </c>
      <c r="F69" s="96" t="s">
        <v>42</v>
      </c>
      <c r="G69" s="95">
        <f t="shared" si="5"/>
        <v>118300</v>
      </c>
      <c r="H69" s="115">
        <v>32800</v>
      </c>
      <c r="I69" s="115">
        <v>85500</v>
      </c>
      <c r="J69" s="115"/>
      <c r="K69" s="115"/>
      <c r="L69" s="164"/>
    </row>
    <row r="70" spans="1:12" s="480" customFormat="1" ht="44.25" customHeight="1" x14ac:dyDescent="0.2">
      <c r="A70" s="244" t="s">
        <v>418</v>
      </c>
      <c r="B70" s="29" t="s">
        <v>485</v>
      </c>
      <c r="C70" s="82" t="s">
        <v>77</v>
      </c>
      <c r="D70" s="30" t="s">
        <v>257</v>
      </c>
      <c r="E70" s="96" t="s">
        <v>149</v>
      </c>
      <c r="F70" s="96" t="s">
        <v>42</v>
      </c>
      <c r="G70" s="95">
        <f t="shared" si="5"/>
        <v>231339.5</v>
      </c>
      <c r="H70" s="115">
        <f>145071+40735+19700+1633.5+24200</f>
        <v>231339.5</v>
      </c>
      <c r="I70" s="115"/>
      <c r="J70" s="115"/>
      <c r="K70" s="115"/>
      <c r="L70" s="164"/>
    </row>
    <row r="71" spans="1:12" s="480" customFormat="1" ht="44.25" customHeight="1" x14ac:dyDescent="0.2">
      <c r="A71" s="244" t="s">
        <v>419</v>
      </c>
      <c r="B71" s="29" t="s">
        <v>79</v>
      </c>
      <c r="C71" s="82" t="s">
        <v>43</v>
      </c>
      <c r="D71" s="30"/>
      <c r="E71" s="96" t="s">
        <v>94</v>
      </c>
      <c r="F71" s="96" t="s">
        <v>163</v>
      </c>
      <c r="G71" s="95">
        <f t="shared" si="5"/>
        <v>400000</v>
      </c>
      <c r="H71" s="115">
        <v>400000</v>
      </c>
      <c r="I71" s="115"/>
      <c r="J71" s="115"/>
      <c r="K71" s="115"/>
      <c r="L71" s="164"/>
    </row>
    <row r="72" spans="1:12" s="480" customFormat="1" ht="15" customHeight="1" x14ac:dyDescent="0.2">
      <c r="A72" s="501"/>
      <c r="B72" s="502"/>
      <c r="C72" s="502"/>
      <c r="D72" s="502"/>
      <c r="E72" s="502"/>
      <c r="F72" s="487" t="s">
        <v>25</v>
      </c>
      <c r="G72" s="503">
        <f>SUM(G35:G71)</f>
        <v>99187184.86999999</v>
      </c>
      <c r="H72" s="503">
        <f t="shared" ref="H72:L72" si="6">SUM(H35:H71)</f>
        <v>34871308.260000005</v>
      </c>
      <c r="I72" s="503">
        <f t="shared" si="6"/>
        <v>17690766</v>
      </c>
      <c r="J72" s="503">
        <f t="shared" si="6"/>
        <v>14063079.41</v>
      </c>
      <c r="K72" s="503">
        <f t="shared" si="6"/>
        <v>28568446.199999999</v>
      </c>
      <c r="L72" s="570">
        <f t="shared" si="6"/>
        <v>3992100</v>
      </c>
    </row>
    <row r="73" spans="1:12" s="480" customFormat="1" ht="17.25" customHeight="1" x14ac:dyDescent="0.2">
      <c r="A73" s="594" t="s">
        <v>134</v>
      </c>
      <c r="B73" s="595"/>
      <c r="C73" s="595"/>
      <c r="D73" s="595"/>
      <c r="E73" s="595"/>
      <c r="F73" s="595"/>
      <c r="G73" s="595"/>
      <c r="H73" s="595"/>
      <c r="I73" s="595"/>
      <c r="J73" s="595"/>
      <c r="K73" s="595"/>
      <c r="L73" s="596"/>
    </row>
    <row r="74" spans="1:12" s="480" customFormat="1" ht="41.25" customHeight="1" x14ac:dyDescent="0.2">
      <c r="A74" s="558" t="s">
        <v>420</v>
      </c>
      <c r="B74" s="225" t="s">
        <v>81</v>
      </c>
      <c r="C74" s="223" t="s">
        <v>77</v>
      </c>
      <c r="D74" s="234" t="s">
        <v>153</v>
      </c>
      <c r="E74" s="234" t="s">
        <v>94</v>
      </c>
      <c r="F74" s="234" t="s">
        <v>42</v>
      </c>
      <c r="G74" s="95">
        <f>H74+I74+J74+K74+L74</f>
        <v>530732.06000000006</v>
      </c>
      <c r="H74" s="95">
        <v>514732.06</v>
      </c>
      <c r="I74" s="95"/>
      <c r="J74" s="95"/>
      <c r="K74" s="95"/>
      <c r="L74" s="202">
        <v>16000</v>
      </c>
    </row>
    <row r="75" spans="1:12" s="480" customFormat="1" ht="16.5" customHeight="1" x14ac:dyDescent="0.2">
      <c r="A75" s="558" t="s">
        <v>421</v>
      </c>
      <c r="B75" s="32" t="s">
        <v>82</v>
      </c>
      <c r="C75" s="479" t="s">
        <v>77</v>
      </c>
      <c r="D75" s="374" t="s">
        <v>153</v>
      </c>
      <c r="E75" s="415" t="s">
        <v>93</v>
      </c>
      <c r="F75" s="415" t="s">
        <v>49</v>
      </c>
      <c r="G75" s="95">
        <f t="shared" ref="G75" si="7">H75+I75+J75+K75+L75</f>
        <v>825630</v>
      </c>
      <c r="H75" s="474">
        <v>825630</v>
      </c>
      <c r="I75" s="474"/>
      <c r="J75" s="474"/>
      <c r="K75" s="474"/>
      <c r="L75" s="345"/>
    </row>
    <row r="76" spans="1:12" s="480" customFormat="1" ht="25.5" customHeight="1" x14ac:dyDescent="0.2">
      <c r="A76" s="558" t="s">
        <v>422</v>
      </c>
      <c r="B76" s="225" t="s">
        <v>379</v>
      </c>
      <c r="C76" s="293" t="s">
        <v>77</v>
      </c>
      <c r="D76" s="96" t="s">
        <v>153</v>
      </c>
      <c r="E76" s="96" t="s">
        <v>93</v>
      </c>
      <c r="F76" s="96" t="s">
        <v>163</v>
      </c>
      <c r="G76" s="95">
        <f t="shared" ref="G76" si="8">H76+I76+J76+K76+L76</f>
        <v>1272520</v>
      </c>
      <c r="H76" s="115">
        <v>1272520</v>
      </c>
      <c r="I76" s="115"/>
      <c r="J76" s="115"/>
      <c r="K76" s="115"/>
      <c r="L76" s="164"/>
    </row>
    <row r="77" spans="1:12" s="480" customFormat="1" ht="38.25" customHeight="1" x14ac:dyDescent="0.2">
      <c r="A77" s="558" t="s">
        <v>423</v>
      </c>
      <c r="B77" s="225" t="s">
        <v>363</v>
      </c>
      <c r="C77" s="293" t="s">
        <v>77</v>
      </c>
      <c r="D77" s="525"/>
      <c r="E77" s="96" t="s">
        <v>93</v>
      </c>
      <c r="F77" s="85" t="s">
        <v>42</v>
      </c>
      <c r="G77" s="95">
        <f t="shared" ref="G77:G80" si="9">H77+I77+J77+K77+L77</f>
        <v>400000</v>
      </c>
      <c r="H77" s="86">
        <v>400000</v>
      </c>
      <c r="I77" s="115"/>
      <c r="J77" s="115"/>
      <c r="K77" s="86"/>
      <c r="L77" s="164"/>
    </row>
    <row r="78" spans="1:12" s="480" customFormat="1" ht="28.5" customHeight="1" x14ac:dyDescent="0.2">
      <c r="A78" s="558" t="s">
        <v>424</v>
      </c>
      <c r="B78" s="31" t="s">
        <v>80</v>
      </c>
      <c r="C78" s="490" t="s">
        <v>77</v>
      </c>
      <c r="D78" s="234" t="s">
        <v>153</v>
      </c>
      <c r="E78" s="234" t="s">
        <v>49</v>
      </c>
      <c r="F78" s="234" t="s">
        <v>163</v>
      </c>
      <c r="G78" s="95">
        <f>H78+I78+J78+K78+L78</f>
        <v>490000</v>
      </c>
      <c r="H78" s="95">
        <v>490000</v>
      </c>
      <c r="I78" s="95"/>
      <c r="J78" s="95"/>
      <c r="K78" s="95"/>
      <c r="L78" s="202"/>
    </row>
    <row r="79" spans="1:12" s="480" customFormat="1" ht="28.5" customHeight="1" x14ac:dyDescent="0.2">
      <c r="A79" s="558" t="s">
        <v>425</v>
      </c>
      <c r="B79" s="225" t="s">
        <v>380</v>
      </c>
      <c r="C79" s="490" t="s">
        <v>77</v>
      </c>
      <c r="D79" s="234" t="s">
        <v>153</v>
      </c>
      <c r="E79" s="234" t="s">
        <v>42</v>
      </c>
      <c r="F79" s="234" t="s">
        <v>381</v>
      </c>
      <c r="G79" s="95">
        <f t="shared" ref="G79" si="10">H79+I79+J79+K79+L79</f>
        <v>597000</v>
      </c>
      <c r="H79" s="115">
        <v>597000</v>
      </c>
      <c r="I79" s="95"/>
      <c r="J79" s="95"/>
      <c r="K79" s="95"/>
      <c r="L79" s="202"/>
    </row>
    <row r="80" spans="1:12" s="480" customFormat="1" ht="25.5" customHeight="1" x14ac:dyDescent="0.2">
      <c r="A80" s="558" t="s">
        <v>426</v>
      </c>
      <c r="B80" s="225" t="s">
        <v>378</v>
      </c>
      <c r="C80" s="223" t="s">
        <v>43</v>
      </c>
      <c r="D80" s="526"/>
      <c r="E80" s="374" t="s">
        <v>163</v>
      </c>
      <c r="F80" s="526" t="s">
        <v>170</v>
      </c>
      <c r="G80" s="95">
        <f t="shared" si="9"/>
        <v>3702100</v>
      </c>
      <c r="H80" s="527">
        <v>3702100</v>
      </c>
      <c r="I80" s="478"/>
      <c r="J80" s="478"/>
      <c r="K80" s="527"/>
      <c r="L80" s="162"/>
    </row>
    <row r="81" spans="1:12" s="480" customFormat="1" ht="43.5" customHeight="1" x14ac:dyDescent="0.2">
      <c r="A81" s="558" t="s">
        <v>427</v>
      </c>
      <c r="B81" s="225" t="s">
        <v>471</v>
      </c>
      <c r="C81" s="293" t="s">
        <v>77</v>
      </c>
      <c r="D81" s="528" t="s">
        <v>252</v>
      </c>
      <c r="E81" s="96" t="s">
        <v>48</v>
      </c>
      <c r="F81" s="529" t="s">
        <v>163</v>
      </c>
      <c r="G81" s="95">
        <f>H81+I81+J81+K81+L81</f>
        <v>1141264</v>
      </c>
      <c r="H81" s="319">
        <v>1081264</v>
      </c>
      <c r="I81" s="115"/>
      <c r="J81" s="115">
        <v>60000</v>
      </c>
      <c r="K81" s="530"/>
      <c r="L81" s="164"/>
    </row>
    <row r="82" spans="1:12" s="480" customFormat="1" ht="41.25" customHeight="1" x14ac:dyDescent="0.2">
      <c r="A82" s="558" t="s">
        <v>428</v>
      </c>
      <c r="B82" s="225" t="s">
        <v>299</v>
      </c>
      <c r="C82" s="293" t="s">
        <v>77</v>
      </c>
      <c r="D82" s="234" t="s">
        <v>382</v>
      </c>
      <c r="E82" s="96" t="s">
        <v>93</v>
      </c>
      <c r="F82" s="96" t="s">
        <v>163</v>
      </c>
      <c r="G82" s="95">
        <f>H82+I82+J82+K82+L82</f>
        <v>388592.02</v>
      </c>
      <c r="H82" s="115">
        <v>388592.02</v>
      </c>
      <c r="I82" s="115"/>
      <c r="J82" s="115"/>
      <c r="K82" s="115"/>
      <c r="L82" s="164"/>
    </row>
    <row r="83" spans="1:12" s="480" customFormat="1" ht="42.75" customHeight="1" x14ac:dyDescent="0.2">
      <c r="A83" s="558" t="s">
        <v>429</v>
      </c>
      <c r="B83" s="225" t="s">
        <v>205</v>
      </c>
      <c r="C83" s="198" t="s">
        <v>43</v>
      </c>
      <c r="D83" s="199" t="s">
        <v>256</v>
      </c>
      <c r="E83" s="96" t="s">
        <v>94</v>
      </c>
      <c r="F83" s="96" t="s">
        <v>168</v>
      </c>
      <c r="G83" s="95">
        <f>H83+I83+J83+K83+L83</f>
        <v>4149800</v>
      </c>
      <c r="H83" s="530">
        <v>2810307.5</v>
      </c>
      <c r="I83" s="115">
        <v>1230885</v>
      </c>
      <c r="J83" s="115">
        <v>108607.5</v>
      </c>
      <c r="K83" s="115"/>
      <c r="L83" s="164"/>
    </row>
    <row r="84" spans="1:12" s="480" customFormat="1" ht="40.5" customHeight="1" x14ac:dyDescent="0.2">
      <c r="A84" s="558" t="s">
        <v>430</v>
      </c>
      <c r="B84" s="225" t="s">
        <v>206</v>
      </c>
      <c r="C84" s="198" t="s">
        <v>43</v>
      </c>
      <c r="D84" s="199" t="s">
        <v>256</v>
      </c>
      <c r="E84" s="96" t="s">
        <v>93</v>
      </c>
      <c r="F84" s="96" t="s">
        <v>163</v>
      </c>
      <c r="G84" s="95">
        <f t="shared" ref="G84:G94" si="11">H84+I84+J84+K84+L84</f>
        <v>6158049.9500000002</v>
      </c>
      <c r="H84" s="115">
        <v>2368074.65</v>
      </c>
      <c r="I84" s="115">
        <v>3482680</v>
      </c>
      <c r="J84" s="115">
        <v>307295.3</v>
      </c>
      <c r="K84" s="115"/>
      <c r="L84" s="164"/>
    </row>
    <row r="85" spans="1:12" s="480" customFormat="1" ht="67.5" customHeight="1" x14ac:dyDescent="0.2">
      <c r="A85" s="558" t="s">
        <v>431</v>
      </c>
      <c r="B85" s="225" t="s">
        <v>207</v>
      </c>
      <c r="C85" s="198" t="s">
        <v>43</v>
      </c>
      <c r="D85" s="199" t="s">
        <v>160</v>
      </c>
      <c r="E85" s="96" t="s">
        <v>94</v>
      </c>
      <c r="F85" s="96" t="s">
        <v>163</v>
      </c>
      <c r="G85" s="95">
        <f t="shared" si="11"/>
        <v>2984569.61</v>
      </c>
      <c r="H85" s="531">
        <v>1639581.65</v>
      </c>
      <c r="I85" s="115">
        <v>1235934.8799999999</v>
      </c>
      <c r="J85" s="115">
        <v>109053.08</v>
      </c>
      <c r="K85" s="115"/>
      <c r="L85" s="164"/>
    </row>
    <row r="86" spans="1:12" s="480" customFormat="1" ht="39" customHeight="1" x14ac:dyDescent="0.2">
      <c r="A86" s="558" t="s">
        <v>432</v>
      </c>
      <c r="B86" s="291" t="s">
        <v>254</v>
      </c>
      <c r="C86" s="451" t="s">
        <v>43</v>
      </c>
      <c r="D86" s="81" t="s">
        <v>255</v>
      </c>
      <c r="E86" s="207" t="s">
        <v>94</v>
      </c>
      <c r="F86" s="207" t="s">
        <v>163</v>
      </c>
      <c r="G86" s="95">
        <f t="shared" si="11"/>
        <v>2900918</v>
      </c>
      <c r="H86" s="252">
        <v>339680</v>
      </c>
      <c r="I86" s="252">
        <v>2353570</v>
      </c>
      <c r="J86" s="252">
        <v>207668</v>
      </c>
      <c r="K86" s="252"/>
      <c r="L86" s="345"/>
    </row>
    <row r="87" spans="1:12" s="480" customFormat="1" ht="32.25" customHeight="1" x14ac:dyDescent="0.2">
      <c r="A87" s="558" t="s">
        <v>433</v>
      </c>
      <c r="B87" s="225" t="s">
        <v>209</v>
      </c>
      <c r="C87" s="198" t="s">
        <v>43</v>
      </c>
      <c r="D87" s="199" t="s">
        <v>160</v>
      </c>
      <c r="E87" s="96" t="s">
        <v>94</v>
      </c>
      <c r="F87" s="96" t="s">
        <v>49</v>
      </c>
      <c r="G87" s="95">
        <f t="shared" si="11"/>
        <v>1598002.6800000002</v>
      </c>
      <c r="H87" s="115">
        <v>175777.09</v>
      </c>
      <c r="I87" s="115">
        <v>1306910</v>
      </c>
      <c r="J87" s="115">
        <v>115315.59</v>
      </c>
      <c r="K87" s="115"/>
      <c r="L87" s="164"/>
    </row>
    <row r="88" spans="1:12" s="480" customFormat="1" ht="31.5" customHeight="1" x14ac:dyDescent="0.2">
      <c r="A88" s="558" t="s">
        <v>434</v>
      </c>
      <c r="B88" s="225" t="s">
        <v>210</v>
      </c>
      <c r="C88" s="198" t="s">
        <v>43</v>
      </c>
      <c r="D88" s="199" t="s">
        <v>256</v>
      </c>
      <c r="E88" s="96" t="s">
        <v>93</v>
      </c>
      <c r="F88" s="96" t="s">
        <v>163</v>
      </c>
      <c r="G88" s="95">
        <f t="shared" si="11"/>
        <v>3344825.5</v>
      </c>
      <c r="H88" s="115">
        <v>669771.5</v>
      </c>
      <c r="I88" s="115">
        <v>2458158</v>
      </c>
      <c r="J88" s="115">
        <v>216896</v>
      </c>
      <c r="K88" s="115"/>
      <c r="L88" s="164"/>
    </row>
    <row r="89" spans="1:12" s="480" customFormat="1" ht="54.75" customHeight="1" x14ac:dyDescent="0.2">
      <c r="A89" s="558" t="s">
        <v>435</v>
      </c>
      <c r="B89" s="225" t="s">
        <v>204</v>
      </c>
      <c r="C89" s="293" t="s">
        <v>43</v>
      </c>
      <c r="D89" s="234" t="s">
        <v>259</v>
      </c>
      <c r="E89" s="96" t="s">
        <v>94</v>
      </c>
      <c r="F89" s="96" t="s">
        <v>163</v>
      </c>
      <c r="G89" s="95">
        <f t="shared" si="11"/>
        <v>1877396</v>
      </c>
      <c r="H89" s="95">
        <v>143400</v>
      </c>
      <c r="I89" s="115">
        <v>1593402</v>
      </c>
      <c r="J89" s="115">
        <v>140594</v>
      </c>
      <c r="K89" s="115"/>
      <c r="L89" s="164"/>
    </row>
    <row r="90" spans="1:12" s="480" customFormat="1" ht="42" customHeight="1" x14ac:dyDescent="0.2">
      <c r="A90" s="558" t="s">
        <v>416</v>
      </c>
      <c r="B90" s="225" t="s">
        <v>472</v>
      </c>
      <c r="C90" s="293" t="s">
        <v>43</v>
      </c>
      <c r="D90" s="234" t="s">
        <v>259</v>
      </c>
      <c r="E90" s="96" t="s">
        <v>42</v>
      </c>
      <c r="F90" s="96" t="s">
        <v>49</v>
      </c>
      <c r="G90" s="95">
        <f t="shared" ref="G90" si="12">H90+I90+J90+K90+L90</f>
        <v>94000</v>
      </c>
      <c r="H90" s="95">
        <v>94000</v>
      </c>
      <c r="I90" s="115"/>
      <c r="J90" s="115"/>
      <c r="K90" s="115"/>
      <c r="L90" s="164"/>
    </row>
    <row r="91" spans="1:12" s="480" customFormat="1" ht="39" customHeight="1" x14ac:dyDescent="0.2">
      <c r="A91" s="558" t="s">
        <v>436</v>
      </c>
      <c r="B91" s="563" t="s">
        <v>368</v>
      </c>
      <c r="C91" s="286" t="s">
        <v>77</v>
      </c>
      <c r="D91" s="232" t="s">
        <v>303</v>
      </c>
      <c r="E91" s="96" t="s">
        <v>48</v>
      </c>
      <c r="F91" s="96" t="s">
        <v>163</v>
      </c>
      <c r="G91" s="95">
        <f t="shared" si="11"/>
        <v>5579484</v>
      </c>
      <c r="H91" s="115">
        <f>3977200+1602284</f>
        <v>5579484</v>
      </c>
      <c r="I91" s="115"/>
      <c r="J91" s="115"/>
      <c r="K91" s="115"/>
      <c r="L91" s="164"/>
    </row>
    <row r="92" spans="1:12" s="480" customFormat="1" ht="39" customHeight="1" x14ac:dyDescent="0.2">
      <c r="A92" s="558" t="s">
        <v>437</v>
      </c>
      <c r="B92" s="225" t="s">
        <v>304</v>
      </c>
      <c r="C92" s="293" t="s">
        <v>77</v>
      </c>
      <c r="D92" s="234" t="s">
        <v>305</v>
      </c>
      <c r="E92" s="96" t="s">
        <v>48</v>
      </c>
      <c r="F92" s="96" t="s">
        <v>163</v>
      </c>
      <c r="G92" s="95">
        <f t="shared" si="11"/>
        <v>967183.94</v>
      </c>
      <c r="H92" s="95">
        <v>967183.94</v>
      </c>
      <c r="I92" s="115"/>
      <c r="J92" s="115"/>
      <c r="K92" s="115"/>
      <c r="L92" s="164"/>
    </row>
    <row r="93" spans="1:12" s="480" customFormat="1" ht="40.5" customHeight="1" x14ac:dyDescent="0.2">
      <c r="A93" s="558" t="s">
        <v>438</v>
      </c>
      <c r="B93" s="213" t="s">
        <v>95</v>
      </c>
      <c r="C93" s="198" t="s">
        <v>43</v>
      </c>
      <c r="D93" s="532" t="s">
        <v>171</v>
      </c>
      <c r="E93" s="96" t="s">
        <v>93</v>
      </c>
      <c r="F93" s="96" t="s">
        <v>365</v>
      </c>
      <c r="G93" s="95">
        <f t="shared" si="11"/>
        <v>1458800</v>
      </c>
      <c r="H93" s="115">
        <v>1458800</v>
      </c>
      <c r="I93" s="260"/>
      <c r="J93" s="260"/>
      <c r="K93" s="260"/>
      <c r="L93" s="261"/>
    </row>
    <row r="94" spans="1:12" s="480" customFormat="1" ht="39" customHeight="1" x14ac:dyDescent="0.2">
      <c r="A94" s="558" t="s">
        <v>473</v>
      </c>
      <c r="B94" s="213" t="s">
        <v>486</v>
      </c>
      <c r="C94" s="198" t="s">
        <v>43</v>
      </c>
      <c r="D94" s="532" t="s">
        <v>171</v>
      </c>
      <c r="E94" s="96" t="s">
        <v>42</v>
      </c>
      <c r="F94" s="96" t="s">
        <v>42</v>
      </c>
      <c r="G94" s="95">
        <f t="shared" si="11"/>
        <v>20000</v>
      </c>
      <c r="H94" s="115">
        <v>20000</v>
      </c>
      <c r="I94" s="260"/>
      <c r="J94" s="260"/>
      <c r="K94" s="260"/>
      <c r="L94" s="261"/>
    </row>
    <row r="95" spans="1:12" s="480" customFormat="1" ht="18" customHeight="1" x14ac:dyDescent="0.2">
      <c r="A95" s="501"/>
      <c r="B95" s="502"/>
      <c r="C95" s="502"/>
      <c r="D95" s="502"/>
      <c r="E95" s="502"/>
      <c r="F95" s="487" t="s">
        <v>25</v>
      </c>
      <c r="G95" s="503">
        <f>SUM(G74:G94)</f>
        <v>40480867.759999998</v>
      </c>
      <c r="H95" s="503">
        <f t="shared" ref="H95:L95" si="13">SUM(H74:H94)</f>
        <v>25537898.41</v>
      </c>
      <c r="I95" s="503">
        <f t="shared" si="13"/>
        <v>13661539.879999999</v>
      </c>
      <c r="J95" s="503">
        <f t="shared" si="13"/>
        <v>1265429.47</v>
      </c>
      <c r="K95" s="503">
        <f t="shared" si="13"/>
        <v>0</v>
      </c>
      <c r="L95" s="570">
        <f t="shared" si="13"/>
        <v>16000</v>
      </c>
    </row>
    <row r="96" spans="1:12" s="535" customFormat="1" ht="15" customHeight="1" x14ac:dyDescent="0.25">
      <c r="A96" s="597" t="s">
        <v>110</v>
      </c>
      <c r="B96" s="598"/>
      <c r="C96" s="598"/>
      <c r="D96" s="598"/>
      <c r="E96" s="598"/>
      <c r="F96" s="598"/>
      <c r="G96" s="598"/>
      <c r="H96" s="598"/>
      <c r="I96" s="598"/>
      <c r="J96" s="598"/>
      <c r="K96" s="598"/>
      <c r="L96" s="599"/>
    </row>
    <row r="97" spans="1:12" s="535" customFormat="1" ht="51.75" customHeight="1" x14ac:dyDescent="0.25">
      <c r="A97" s="244" t="s">
        <v>474</v>
      </c>
      <c r="B97" s="225" t="s">
        <v>195</v>
      </c>
      <c r="C97" s="223">
        <v>5</v>
      </c>
      <c r="D97" s="262" t="s">
        <v>375</v>
      </c>
      <c r="E97" s="262" t="s">
        <v>48</v>
      </c>
      <c r="F97" s="262">
        <v>2019</v>
      </c>
      <c r="G97" s="263">
        <f>SUM(H97:I97)</f>
        <v>2261384.91</v>
      </c>
      <c r="H97" s="263">
        <v>1062922.9099999999</v>
      </c>
      <c r="I97" s="263">
        <v>1198462</v>
      </c>
      <c r="J97" s="95"/>
      <c r="K97" s="112"/>
      <c r="L97" s="267"/>
    </row>
    <row r="98" spans="1:12" s="535" customFormat="1" ht="68.25" customHeight="1" x14ac:dyDescent="0.25">
      <c r="A98" s="244" t="s">
        <v>439</v>
      </c>
      <c r="B98" s="225" t="s">
        <v>176</v>
      </c>
      <c r="C98" s="223">
        <v>5</v>
      </c>
      <c r="D98" s="262" t="s">
        <v>253</v>
      </c>
      <c r="E98" s="262" t="s">
        <v>48</v>
      </c>
      <c r="F98" s="262" t="s">
        <v>42</v>
      </c>
      <c r="G98" s="263">
        <v>1800440.91</v>
      </c>
      <c r="H98" s="263">
        <v>732090.29</v>
      </c>
      <c r="I98" s="263">
        <v>1021766.88</v>
      </c>
      <c r="J98" s="95"/>
      <c r="K98" s="95"/>
      <c r="L98" s="202">
        <v>46583.74</v>
      </c>
    </row>
    <row r="99" spans="1:12" s="535" customFormat="1" ht="45" customHeight="1" x14ac:dyDescent="0.25">
      <c r="A99" s="244" t="s">
        <v>440</v>
      </c>
      <c r="B99" s="225" t="s">
        <v>199</v>
      </c>
      <c r="C99" s="223" t="s">
        <v>213</v>
      </c>
      <c r="D99" s="262" t="s">
        <v>376</v>
      </c>
      <c r="E99" s="262" t="s">
        <v>94</v>
      </c>
      <c r="F99" s="262" t="s">
        <v>49</v>
      </c>
      <c r="G99" s="263">
        <f>+H99</f>
        <v>697289.04</v>
      </c>
      <c r="H99" s="263">
        <v>697289.04</v>
      </c>
      <c r="I99" s="263"/>
      <c r="J99" s="95"/>
      <c r="K99" s="112"/>
      <c r="L99" s="267"/>
    </row>
    <row r="100" spans="1:12" s="535" customFormat="1" ht="43.5" customHeight="1" x14ac:dyDescent="0.25">
      <c r="A100" s="244" t="s">
        <v>441</v>
      </c>
      <c r="B100" s="264" t="s">
        <v>287</v>
      </c>
      <c r="C100" s="223" t="s">
        <v>43</v>
      </c>
      <c r="D100" s="265" t="s">
        <v>377</v>
      </c>
      <c r="E100" s="262" t="s">
        <v>93</v>
      </c>
      <c r="F100" s="266" t="s">
        <v>170</v>
      </c>
      <c r="G100" s="263">
        <f>SUM(H100)</f>
        <v>800000</v>
      </c>
      <c r="H100" s="263">
        <v>800000</v>
      </c>
      <c r="I100" s="263"/>
      <c r="J100" s="95"/>
      <c r="K100" s="112"/>
      <c r="L100" s="267"/>
    </row>
    <row r="101" spans="1:12" s="535" customFormat="1" ht="39" customHeight="1" x14ac:dyDescent="0.25">
      <c r="A101" s="244" t="s">
        <v>442</v>
      </c>
      <c r="B101" s="264" t="s">
        <v>273</v>
      </c>
      <c r="C101" s="223" t="s">
        <v>43</v>
      </c>
      <c r="D101" s="265" t="s">
        <v>274</v>
      </c>
      <c r="E101" s="262" t="s">
        <v>93</v>
      </c>
      <c r="F101" s="266" t="s">
        <v>170</v>
      </c>
      <c r="G101" s="263">
        <f>SUM(H101)</f>
        <v>3900000</v>
      </c>
      <c r="H101" s="263">
        <v>3900000</v>
      </c>
      <c r="I101" s="263"/>
      <c r="J101" s="95"/>
      <c r="K101" s="112"/>
      <c r="L101" s="267"/>
    </row>
    <row r="102" spans="1:12" s="535" customFormat="1" ht="30.75" customHeight="1" x14ac:dyDescent="0.25">
      <c r="A102" s="244" t="s">
        <v>443</v>
      </c>
      <c r="B102" s="225" t="s">
        <v>311</v>
      </c>
      <c r="C102" s="223" t="s">
        <v>43</v>
      </c>
      <c r="D102" s="265" t="s">
        <v>165</v>
      </c>
      <c r="E102" s="262" t="s">
        <v>93</v>
      </c>
      <c r="F102" s="266" t="s">
        <v>42</v>
      </c>
      <c r="G102" s="263">
        <f>+H102</f>
        <v>110000</v>
      </c>
      <c r="H102" s="263">
        <v>110000</v>
      </c>
      <c r="I102" s="263"/>
      <c r="J102" s="95"/>
      <c r="K102" s="112"/>
      <c r="L102" s="267"/>
    </row>
    <row r="103" spans="1:12" s="535" customFormat="1" ht="15" x14ac:dyDescent="0.25">
      <c r="A103" s="501"/>
      <c r="B103" s="502"/>
      <c r="C103" s="502"/>
      <c r="D103" s="502"/>
      <c r="E103" s="502"/>
      <c r="F103" s="487" t="s">
        <v>25</v>
      </c>
      <c r="G103" s="536">
        <f>SUM(G97:G102)</f>
        <v>9569114.8599999994</v>
      </c>
      <c r="H103" s="536">
        <f t="shared" ref="H103:L103" si="14">SUM(H97:H102)</f>
        <v>7302302.2400000002</v>
      </c>
      <c r="I103" s="536">
        <f t="shared" si="14"/>
        <v>2220228.88</v>
      </c>
      <c r="J103" s="536">
        <f t="shared" si="14"/>
        <v>0</v>
      </c>
      <c r="K103" s="536">
        <f t="shared" si="14"/>
        <v>0</v>
      </c>
      <c r="L103" s="537">
        <f t="shared" si="14"/>
        <v>46583.74</v>
      </c>
    </row>
    <row r="104" spans="1:12" s="535" customFormat="1" ht="15" customHeight="1" x14ac:dyDescent="0.25">
      <c r="A104" s="600" t="s">
        <v>111</v>
      </c>
      <c r="B104" s="601"/>
      <c r="C104" s="601"/>
      <c r="D104" s="601"/>
      <c r="E104" s="601"/>
      <c r="F104" s="601"/>
      <c r="G104" s="601"/>
      <c r="H104" s="601"/>
      <c r="I104" s="601"/>
      <c r="J104" s="601"/>
      <c r="K104" s="601"/>
      <c r="L104" s="602"/>
    </row>
    <row r="105" spans="1:12" s="535" customFormat="1" ht="93.75" customHeight="1" x14ac:dyDescent="0.25">
      <c r="A105" s="244" t="s">
        <v>444</v>
      </c>
      <c r="B105" s="225" t="s">
        <v>268</v>
      </c>
      <c r="C105" s="241">
        <v>5</v>
      </c>
      <c r="D105" s="262" t="s">
        <v>173</v>
      </c>
      <c r="E105" s="242">
        <v>2017</v>
      </c>
      <c r="F105" s="242">
        <v>2020</v>
      </c>
      <c r="G105" s="95">
        <f>SUM(H105:J105)</f>
        <v>1352126.7999999998</v>
      </c>
      <c r="H105" s="95">
        <v>233775.27</v>
      </c>
      <c r="I105" s="95">
        <v>1027674.38</v>
      </c>
      <c r="J105" s="95">
        <v>90677.15</v>
      </c>
      <c r="K105" s="112"/>
      <c r="L105" s="267"/>
    </row>
    <row r="106" spans="1:12" s="535" customFormat="1" ht="42.75" customHeight="1" x14ac:dyDescent="0.25">
      <c r="A106" s="244" t="s">
        <v>445</v>
      </c>
      <c r="B106" s="225" t="s">
        <v>190</v>
      </c>
      <c r="C106" s="241">
        <v>5</v>
      </c>
      <c r="D106" s="262" t="s">
        <v>173</v>
      </c>
      <c r="E106" s="242">
        <v>2017</v>
      </c>
      <c r="F106" s="242">
        <v>2022</v>
      </c>
      <c r="G106" s="95">
        <f>H106+I106+J106+K106+L106</f>
        <v>860220.12</v>
      </c>
      <c r="H106" s="95">
        <v>317220.12</v>
      </c>
      <c r="I106" s="95"/>
      <c r="J106" s="95">
        <v>543000</v>
      </c>
      <c r="K106" s="112"/>
      <c r="L106" s="267"/>
    </row>
    <row r="107" spans="1:12" s="535" customFormat="1" ht="31.5" customHeight="1" x14ac:dyDescent="0.25">
      <c r="A107" s="244" t="s">
        <v>446</v>
      </c>
      <c r="B107" s="213" t="s">
        <v>96</v>
      </c>
      <c r="C107" s="272">
        <v>5</v>
      </c>
      <c r="D107" s="273" t="s">
        <v>164</v>
      </c>
      <c r="E107" s="554">
        <v>2017</v>
      </c>
      <c r="F107" s="561">
        <v>2021</v>
      </c>
      <c r="G107" s="564">
        <f>+H107</f>
        <v>11200000</v>
      </c>
      <c r="H107" s="564">
        <v>11200000</v>
      </c>
      <c r="I107" s="112"/>
      <c r="J107" s="112"/>
      <c r="K107" s="112"/>
      <c r="L107" s="267"/>
    </row>
    <row r="108" spans="1:12" s="535" customFormat="1" ht="34.5" customHeight="1" x14ac:dyDescent="0.25">
      <c r="A108" s="244" t="s">
        <v>447</v>
      </c>
      <c r="B108" s="225" t="s">
        <v>278</v>
      </c>
      <c r="C108" s="241">
        <v>6</v>
      </c>
      <c r="D108" s="242" t="s">
        <v>279</v>
      </c>
      <c r="E108" s="273">
        <v>2018</v>
      </c>
      <c r="F108" s="242">
        <v>2023</v>
      </c>
      <c r="G108" s="95">
        <v>4187225.73</v>
      </c>
      <c r="H108" s="95">
        <v>4187225.73</v>
      </c>
      <c r="I108" s="553"/>
      <c r="J108" s="95"/>
      <c r="K108" s="95"/>
      <c r="L108" s="202"/>
    </row>
    <row r="109" spans="1:12" s="535" customFormat="1" ht="39.75" customHeight="1" x14ac:dyDescent="0.25">
      <c r="A109" s="244" t="s">
        <v>448</v>
      </c>
      <c r="B109" s="225" t="s">
        <v>310</v>
      </c>
      <c r="C109" s="241">
        <v>6</v>
      </c>
      <c r="D109" s="242"/>
      <c r="E109" s="562">
        <v>2018</v>
      </c>
      <c r="F109" s="562">
        <v>2020</v>
      </c>
      <c r="G109" s="565">
        <f>H109+I109+J109+K109+L109</f>
        <v>1261335</v>
      </c>
      <c r="H109" s="565">
        <f>16335+385000+130000+730000</f>
        <v>1261335</v>
      </c>
      <c r="I109" s="95"/>
      <c r="J109" s="95"/>
      <c r="K109" s="112"/>
      <c r="L109" s="267"/>
    </row>
    <row r="110" spans="1:12" s="535" customFormat="1" ht="42.75" customHeight="1" x14ac:dyDescent="0.25">
      <c r="A110" s="244" t="s">
        <v>449</v>
      </c>
      <c r="B110" s="225" t="s">
        <v>288</v>
      </c>
      <c r="C110" s="241">
        <v>5</v>
      </c>
      <c r="D110" s="242" t="s">
        <v>173</v>
      </c>
      <c r="E110" s="242">
        <v>2018</v>
      </c>
      <c r="F110" s="242">
        <v>2023</v>
      </c>
      <c r="G110" s="95">
        <f>SUM(H110:L110)</f>
        <v>2064000</v>
      </c>
      <c r="H110" s="95">
        <v>309600</v>
      </c>
      <c r="I110" s="95"/>
      <c r="J110" s="95">
        <v>1754400</v>
      </c>
      <c r="K110" s="112"/>
      <c r="L110" s="267"/>
    </row>
    <row r="111" spans="1:12" s="535" customFormat="1" ht="30" customHeight="1" x14ac:dyDescent="0.25">
      <c r="A111" s="244" t="s">
        <v>450</v>
      </c>
      <c r="B111" s="225" t="s">
        <v>291</v>
      </c>
      <c r="C111" s="241">
        <v>5</v>
      </c>
      <c r="D111" s="242" t="s">
        <v>173</v>
      </c>
      <c r="E111" s="242">
        <v>2019</v>
      </c>
      <c r="F111" s="242">
        <v>2022</v>
      </c>
      <c r="G111" s="95">
        <v>2500000</v>
      </c>
      <c r="H111" s="95"/>
      <c r="I111" s="95"/>
      <c r="J111" s="95"/>
      <c r="K111" s="112"/>
      <c r="L111" s="267">
        <v>2500000</v>
      </c>
    </row>
    <row r="112" spans="1:12" s="535" customFormat="1" ht="25.5" x14ac:dyDescent="0.25">
      <c r="A112" s="473"/>
      <c r="B112" s="38" t="s">
        <v>97</v>
      </c>
      <c r="C112" s="272"/>
      <c r="D112" s="274"/>
      <c r="E112" s="273"/>
      <c r="F112" s="273"/>
      <c r="G112" s="112"/>
      <c r="H112" s="112"/>
      <c r="I112" s="112"/>
      <c r="J112" s="112"/>
      <c r="K112" s="112"/>
      <c r="L112" s="267"/>
    </row>
    <row r="113" spans="1:12" s="535" customFormat="1" ht="57.75" customHeight="1" x14ac:dyDescent="0.25">
      <c r="A113" s="244" t="s">
        <v>451</v>
      </c>
      <c r="B113" s="225" t="s">
        <v>373</v>
      </c>
      <c r="C113" s="241">
        <v>5</v>
      </c>
      <c r="D113" s="262" t="s">
        <v>253</v>
      </c>
      <c r="E113" s="242">
        <v>2017</v>
      </c>
      <c r="F113" s="242">
        <v>2022</v>
      </c>
      <c r="G113" s="95">
        <f>SUM(H113:M113)</f>
        <v>3538077</v>
      </c>
      <c r="H113" s="95">
        <v>3538077</v>
      </c>
      <c r="I113" s="95"/>
      <c r="J113" s="95"/>
      <c r="K113" s="112"/>
      <c r="L113" s="267"/>
    </row>
    <row r="114" spans="1:12" s="535" customFormat="1" ht="55.5" customHeight="1" x14ac:dyDescent="0.25">
      <c r="A114" s="244" t="s">
        <v>475</v>
      </c>
      <c r="B114" s="34" t="s">
        <v>374</v>
      </c>
      <c r="C114" s="241">
        <v>5</v>
      </c>
      <c r="D114" s="242" t="s">
        <v>253</v>
      </c>
      <c r="E114" s="242">
        <v>2017</v>
      </c>
      <c r="F114" s="242">
        <v>2020</v>
      </c>
      <c r="G114" s="95">
        <f>SUM(H114:J114)</f>
        <v>2158184.77</v>
      </c>
      <c r="H114" s="95">
        <v>1279109.3400000001</v>
      </c>
      <c r="I114" s="95">
        <v>807799.05</v>
      </c>
      <c r="J114" s="95">
        <v>71276.38</v>
      </c>
      <c r="K114" s="112"/>
      <c r="L114" s="267"/>
    </row>
    <row r="115" spans="1:12" s="535" customFormat="1" ht="79.5" customHeight="1" x14ac:dyDescent="0.25">
      <c r="A115" s="244" t="s">
        <v>476</v>
      </c>
      <c r="B115" s="39" t="s">
        <v>487</v>
      </c>
      <c r="C115" s="241">
        <v>5</v>
      </c>
      <c r="D115" s="242" t="s">
        <v>173</v>
      </c>
      <c r="E115" s="242">
        <v>2016</v>
      </c>
      <c r="F115" s="242">
        <v>2025</v>
      </c>
      <c r="G115" s="95">
        <f>SUM(H115:L115)</f>
        <v>2688980</v>
      </c>
      <c r="H115" s="95">
        <v>2688980</v>
      </c>
      <c r="I115" s="112"/>
      <c r="J115" s="112"/>
      <c r="K115" s="112"/>
      <c r="L115" s="267"/>
    </row>
    <row r="116" spans="1:12" s="535" customFormat="1" ht="47.25" customHeight="1" x14ac:dyDescent="0.25">
      <c r="A116" s="244" t="s">
        <v>477</v>
      </c>
      <c r="B116" s="39" t="s">
        <v>290</v>
      </c>
      <c r="C116" s="241">
        <v>5</v>
      </c>
      <c r="D116" s="242" t="s">
        <v>173</v>
      </c>
      <c r="E116" s="242">
        <v>2018</v>
      </c>
      <c r="F116" s="242">
        <v>2020</v>
      </c>
      <c r="G116" s="95">
        <f>SUM(H116:L116)</f>
        <v>574922.68999999994</v>
      </c>
      <c r="H116" s="95">
        <v>574922.68999999994</v>
      </c>
      <c r="I116" s="112"/>
      <c r="J116" s="112"/>
      <c r="K116" s="112"/>
      <c r="L116" s="267"/>
    </row>
    <row r="117" spans="1:12" s="535" customFormat="1" ht="30" customHeight="1" x14ac:dyDescent="0.25">
      <c r="A117" s="473"/>
      <c r="B117" s="41" t="s">
        <v>180</v>
      </c>
      <c r="C117" s="272"/>
      <c r="D117" s="273"/>
      <c r="E117" s="273"/>
      <c r="F117" s="273"/>
      <c r="G117" s="112"/>
      <c r="H117" s="112"/>
      <c r="I117" s="112"/>
      <c r="J117" s="112"/>
      <c r="K117" s="112"/>
      <c r="L117" s="267"/>
    </row>
    <row r="118" spans="1:12" s="535" customFormat="1" ht="57" customHeight="1" x14ac:dyDescent="0.25">
      <c r="A118" s="244" t="s">
        <v>478</v>
      </c>
      <c r="B118" s="39" t="s">
        <v>99</v>
      </c>
      <c r="C118" s="241">
        <v>5</v>
      </c>
      <c r="D118" s="242" t="s">
        <v>173</v>
      </c>
      <c r="E118" s="242">
        <v>2016</v>
      </c>
      <c r="F118" s="242">
        <v>2020</v>
      </c>
      <c r="G118" s="95">
        <f>SUM(H118:I118)</f>
        <v>780124</v>
      </c>
      <c r="H118" s="95">
        <v>232374</v>
      </c>
      <c r="I118" s="95">
        <v>547750</v>
      </c>
      <c r="J118" s="112"/>
      <c r="K118" s="112"/>
      <c r="L118" s="267"/>
    </row>
    <row r="119" spans="1:12" s="535" customFormat="1" ht="57" customHeight="1" x14ac:dyDescent="0.25">
      <c r="A119" s="244" t="s">
        <v>452</v>
      </c>
      <c r="B119" s="39" t="s">
        <v>488</v>
      </c>
      <c r="C119" s="241">
        <v>5</v>
      </c>
      <c r="D119" s="242" t="s">
        <v>253</v>
      </c>
      <c r="E119" s="242">
        <v>2016</v>
      </c>
      <c r="F119" s="242">
        <v>2022</v>
      </c>
      <c r="G119" s="95">
        <f>SUM(H119:L119)</f>
        <v>1984089.54</v>
      </c>
      <c r="H119" s="95">
        <v>799089.54</v>
      </c>
      <c r="I119" s="95"/>
      <c r="J119" s="95"/>
      <c r="K119" s="95"/>
      <c r="L119" s="202">
        <v>1185000</v>
      </c>
    </row>
    <row r="120" spans="1:12" s="535" customFormat="1" ht="66.75" customHeight="1" x14ac:dyDescent="0.25">
      <c r="A120" s="244" t="s">
        <v>453</v>
      </c>
      <c r="B120" s="39" t="s">
        <v>489</v>
      </c>
      <c r="C120" s="241">
        <v>5</v>
      </c>
      <c r="D120" s="242"/>
      <c r="E120" s="242">
        <v>2019</v>
      </c>
      <c r="F120" s="242">
        <v>2020</v>
      </c>
      <c r="G120" s="95">
        <f>SUM(H120:L120)</f>
        <v>930000</v>
      </c>
      <c r="H120" s="95">
        <v>930000</v>
      </c>
      <c r="I120" s="95"/>
      <c r="J120" s="95"/>
      <c r="K120" s="95"/>
      <c r="L120" s="202"/>
    </row>
    <row r="121" spans="1:12" s="535" customFormat="1" ht="15" customHeight="1" x14ac:dyDescent="0.25">
      <c r="A121" s="501"/>
      <c r="B121" s="502"/>
      <c r="C121" s="502"/>
      <c r="D121" s="502"/>
      <c r="E121" s="502"/>
      <c r="F121" s="487" t="s">
        <v>25</v>
      </c>
      <c r="G121" s="536">
        <f t="shared" ref="G121:L121" si="15">SUM(G105:G120)</f>
        <v>36079285.649999999</v>
      </c>
      <c r="H121" s="536">
        <f t="shared" si="15"/>
        <v>27551708.690000001</v>
      </c>
      <c r="I121" s="536">
        <f t="shared" si="15"/>
        <v>2383223.4300000002</v>
      </c>
      <c r="J121" s="536">
        <f t="shared" si="15"/>
        <v>2459353.5299999998</v>
      </c>
      <c r="K121" s="536">
        <f t="shared" si="15"/>
        <v>0</v>
      </c>
      <c r="L121" s="537">
        <f t="shared" si="15"/>
        <v>3685000</v>
      </c>
    </row>
    <row r="122" spans="1:12" s="535" customFormat="1" ht="16.5" customHeight="1" x14ac:dyDescent="0.25">
      <c r="A122" s="586" t="s">
        <v>135</v>
      </c>
      <c r="B122" s="587"/>
      <c r="C122" s="587"/>
      <c r="D122" s="587"/>
      <c r="E122" s="587"/>
      <c r="F122" s="587"/>
      <c r="G122" s="587"/>
      <c r="H122" s="587"/>
      <c r="I122" s="587"/>
      <c r="J122" s="587"/>
      <c r="K122" s="587"/>
      <c r="L122" s="588"/>
    </row>
    <row r="123" spans="1:12" s="535" customFormat="1" ht="26.25" customHeight="1" x14ac:dyDescent="0.25">
      <c r="A123" s="473"/>
      <c r="B123" s="40" t="s">
        <v>100</v>
      </c>
      <c r="C123" s="272"/>
      <c r="D123" s="273"/>
      <c r="E123" s="273"/>
      <c r="F123" s="273"/>
      <c r="G123" s="112"/>
      <c r="H123" s="112"/>
      <c r="I123" s="112"/>
      <c r="J123" s="112"/>
      <c r="K123" s="112"/>
      <c r="L123" s="267"/>
    </row>
    <row r="124" spans="1:12" s="535" customFormat="1" ht="30.75" customHeight="1" x14ac:dyDescent="0.25">
      <c r="A124" s="244" t="s">
        <v>453</v>
      </c>
      <c r="B124" s="39" t="s">
        <v>214</v>
      </c>
      <c r="C124" s="241">
        <v>5</v>
      </c>
      <c r="D124" s="96" t="s">
        <v>169</v>
      </c>
      <c r="E124" s="242">
        <v>2017</v>
      </c>
      <c r="F124" s="242">
        <v>2021</v>
      </c>
      <c r="G124" s="95">
        <f>H124+I124+J124</f>
        <v>5283867.5199999996</v>
      </c>
      <c r="H124" s="95">
        <v>3972721.55</v>
      </c>
      <c r="I124" s="95">
        <v>1204836.8400000001</v>
      </c>
      <c r="J124" s="95">
        <v>106309.13</v>
      </c>
      <c r="K124" s="95"/>
      <c r="L124" s="202"/>
    </row>
    <row r="125" spans="1:12" s="535" customFormat="1" ht="30.75" customHeight="1" x14ac:dyDescent="0.25">
      <c r="A125" s="244" t="s">
        <v>454</v>
      </c>
      <c r="B125" s="39" t="s">
        <v>215</v>
      </c>
      <c r="C125" s="241">
        <v>5</v>
      </c>
      <c r="D125" s="96" t="s">
        <v>169</v>
      </c>
      <c r="E125" s="242">
        <v>2017</v>
      </c>
      <c r="F125" s="242">
        <v>2021</v>
      </c>
      <c r="G125" s="95">
        <f>SUM(H125:L125)</f>
        <v>5404827.5499999998</v>
      </c>
      <c r="H125" s="95">
        <v>5404827.5499999998</v>
      </c>
      <c r="I125" s="95"/>
      <c r="J125" s="95"/>
      <c r="K125" s="95"/>
      <c r="L125" s="202"/>
    </row>
    <row r="126" spans="1:12" s="535" customFormat="1" ht="29.25" customHeight="1" x14ac:dyDescent="0.25">
      <c r="A126" s="244" t="s">
        <v>455</v>
      </c>
      <c r="B126" s="39" t="s">
        <v>103</v>
      </c>
      <c r="C126" s="241">
        <v>5</v>
      </c>
      <c r="D126" s="96" t="s">
        <v>169</v>
      </c>
      <c r="E126" s="242">
        <v>2016</v>
      </c>
      <c r="F126" s="242">
        <v>2020</v>
      </c>
      <c r="G126" s="95">
        <f>H126+I126+J126+L126+K126</f>
        <v>1514077.41</v>
      </c>
      <c r="H126" s="95">
        <v>1514077.41</v>
      </c>
      <c r="I126" s="95"/>
      <c r="J126" s="95"/>
      <c r="K126" s="95"/>
      <c r="L126" s="202"/>
    </row>
    <row r="127" spans="1:12" s="535" customFormat="1" ht="17.25" customHeight="1" x14ac:dyDescent="0.25">
      <c r="A127" s="244" t="s">
        <v>456</v>
      </c>
      <c r="B127" s="225" t="s">
        <v>104</v>
      </c>
      <c r="C127" s="241">
        <v>5</v>
      </c>
      <c r="D127" s="96" t="s">
        <v>169</v>
      </c>
      <c r="E127" s="242">
        <v>2017</v>
      </c>
      <c r="F127" s="242">
        <v>2022</v>
      </c>
      <c r="G127" s="95">
        <f>+H127+I127+J127+K127+L127</f>
        <v>5800000</v>
      </c>
      <c r="H127" s="95">
        <v>5800000</v>
      </c>
      <c r="I127" s="95"/>
      <c r="J127" s="95"/>
      <c r="K127" s="95"/>
      <c r="L127" s="202"/>
    </row>
    <row r="128" spans="1:12" s="535" customFormat="1" ht="25.5" x14ac:dyDescent="0.25">
      <c r="A128" s="244" t="s">
        <v>457</v>
      </c>
      <c r="B128" s="225" t="s">
        <v>218</v>
      </c>
      <c r="C128" s="241">
        <v>5</v>
      </c>
      <c r="D128" s="96" t="s">
        <v>169</v>
      </c>
      <c r="E128" s="245">
        <v>2020</v>
      </c>
      <c r="F128" s="242">
        <v>2022</v>
      </c>
      <c r="G128" s="95">
        <f>+H128+I128+J128+K128+L128</f>
        <v>2133627.73</v>
      </c>
      <c r="H128" s="95">
        <v>300000</v>
      </c>
      <c r="I128" s="95"/>
      <c r="J128" s="95">
        <v>1833627.73</v>
      </c>
      <c r="K128" s="95"/>
      <c r="L128" s="202"/>
    </row>
    <row r="129" spans="1:12" s="535" customFormat="1" ht="15" x14ac:dyDescent="0.25">
      <c r="A129" s="501"/>
      <c r="B129" s="502"/>
      <c r="C129" s="502"/>
      <c r="D129" s="502"/>
      <c r="E129" s="502"/>
      <c r="F129" s="487" t="s">
        <v>25</v>
      </c>
      <c r="G129" s="536">
        <f t="shared" ref="G129:L129" si="16">SUM(G123:G128)</f>
        <v>20136400.210000001</v>
      </c>
      <c r="H129" s="536">
        <f t="shared" si="16"/>
        <v>16991626.509999998</v>
      </c>
      <c r="I129" s="536">
        <f t="shared" si="16"/>
        <v>1204836.8400000001</v>
      </c>
      <c r="J129" s="536">
        <f t="shared" si="16"/>
        <v>1939936.8599999999</v>
      </c>
      <c r="K129" s="536">
        <f t="shared" si="16"/>
        <v>0</v>
      </c>
      <c r="L129" s="537">
        <f t="shared" si="16"/>
        <v>0</v>
      </c>
    </row>
    <row r="130" spans="1:12" s="535" customFormat="1" ht="15" customHeight="1" x14ac:dyDescent="0.25">
      <c r="A130" s="586" t="s">
        <v>136</v>
      </c>
      <c r="B130" s="587"/>
      <c r="C130" s="587"/>
      <c r="D130" s="587"/>
      <c r="E130" s="587"/>
      <c r="F130" s="587"/>
      <c r="G130" s="587"/>
      <c r="H130" s="587"/>
      <c r="I130" s="587"/>
      <c r="J130" s="587"/>
      <c r="K130" s="587"/>
      <c r="L130" s="588"/>
    </row>
    <row r="131" spans="1:12" s="535" customFormat="1" ht="51" x14ac:dyDescent="0.25">
      <c r="A131" s="473"/>
      <c r="B131" s="41" t="s">
        <v>105</v>
      </c>
      <c r="C131" s="272"/>
      <c r="D131" s="274"/>
      <c r="E131" s="273"/>
      <c r="F131" s="273"/>
      <c r="G131" s="273"/>
      <c r="H131" s="273"/>
      <c r="I131" s="273"/>
      <c r="J131" s="273"/>
      <c r="K131" s="273"/>
      <c r="L131" s="538"/>
    </row>
    <row r="132" spans="1:12" s="535" customFormat="1" ht="28.5" customHeight="1" x14ac:dyDescent="0.25">
      <c r="A132" s="244" t="s">
        <v>458</v>
      </c>
      <c r="B132" s="34" t="s">
        <v>181</v>
      </c>
      <c r="C132" s="272">
        <v>5</v>
      </c>
      <c r="D132" s="242" t="s">
        <v>165</v>
      </c>
      <c r="E132" s="242">
        <v>2017</v>
      </c>
      <c r="F132" s="242">
        <v>2019</v>
      </c>
      <c r="G132" s="95">
        <f>+H132</f>
        <v>720000</v>
      </c>
      <c r="H132" s="95">
        <v>720000</v>
      </c>
      <c r="I132" s="273"/>
      <c r="J132" s="273"/>
      <c r="K132" s="273"/>
      <c r="L132" s="538"/>
    </row>
    <row r="133" spans="1:12" s="535" customFormat="1" ht="30.75" customHeight="1" x14ac:dyDescent="0.25">
      <c r="A133" s="244" t="s">
        <v>459</v>
      </c>
      <c r="B133" s="213" t="s">
        <v>106</v>
      </c>
      <c r="C133" s="272">
        <v>5</v>
      </c>
      <c r="D133" s="273" t="s">
        <v>271</v>
      </c>
      <c r="E133" s="242">
        <v>2016</v>
      </c>
      <c r="F133" s="242">
        <v>2019</v>
      </c>
      <c r="G133" s="95">
        <f>SUM(H133:I133)</f>
        <v>620424.07999999996</v>
      </c>
      <c r="H133" s="95">
        <v>117620.47</v>
      </c>
      <c r="I133" s="95">
        <v>502803.61</v>
      </c>
      <c r="J133" s="273"/>
      <c r="K133" s="273"/>
      <c r="L133" s="538"/>
    </row>
    <row r="134" spans="1:12" s="535" customFormat="1" ht="42.75" customHeight="1" x14ac:dyDescent="0.25">
      <c r="A134" s="244" t="s">
        <v>460</v>
      </c>
      <c r="B134" s="213" t="s">
        <v>107</v>
      </c>
      <c r="C134" s="272">
        <v>5</v>
      </c>
      <c r="D134" s="273" t="s">
        <v>271</v>
      </c>
      <c r="E134" s="273">
        <v>2016</v>
      </c>
      <c r="F134" s="273">
        <v>2020</v>
      </c>
      <c r="G134" s="112">
        <f>+H134+I134</f>
        <v>290766.37</v>
      </c>
      <c r="H134" s="112">
        <v>55029.98</v>
      </c>
      <c r="I134" s="112">
        <v>235736.39</v>
      </c>
      <c r="J134" s="273"/>
      <c r="K134" s="273"/>
      <c r="L134" s="538"/>
    </row>
    <row r="135" spans="1:12" s="535" customFormat="1" ht="52.5" customHeight="1" x14ac:dyDescent="0.25">
      <c r="A135" s="244" t="s">
        <v>461</v>
      </c>
      <c r="B135" s="213" t="s">
        <v>294</v>
      </c>
      <c r="C135" s="272">
        <v>5</v>
      </c>
      <c r="D135" s="273" t="s">
        <v>274</v>
      </c>
      <c r="E135" s="242">
        <v>2017</v>
      </c>
      <c r="F135" s="242">
        <v>2022</v>
      </c>
      <c r="G135" s="95">
        <f>+H135+I135+J135+K135+L135</f>
        <v>3457000</v>
      </c>
      <c r="H135" s="95">
        <v>3457000</v>
      </c>
      <c r="I135" s="273"/>
      <c r="J135" s="273"/>
      <c r="K135" s="273"/>
      <c r="L135" s="538"/>
    </row>
    <row r="136" spans="1:12" s="535" customFormat="1" ht="14.25" customHeight="1" x14ac:dyDescent="0.25">
      <c r="A136" s="244"/>
      <c r="B136" s="42" t="s">
        <v>108</v>
      </c>
      <c r="C136" s="272"/>
      <c r="D136" s="274"/>
      <c r="E136" s="273"/>
      <c r="F136" s="273"/>
      <c r="G136" s="273"/>
      <c r="H136" s="273"/>
      <c r="I136" s="273"/>
      <c r="J136" s="273"/>
      <c r="K136" s="273"/>
      <c r="L136" s="538"/>
    </row>
    <row r="137" spans="1:12" s="535" customFormat="1" ht="54" customHeight="1" x14ac:dyDescent="0.25">
      <c r="A137" s="244" t="s">
        <v>462</v>
      </c>
      <c r="B137" s="39" t="s">
        <v>194</v>
      </c>
      <c r="C137" s="272">
        <v>5</v>
      </c>
      <c r="D137" s="273" t="s">
        <v>255</v>
      </c>
      <c r="E137" s="273">
        <v>2016</v>
      </c>
      <c r="F137" s="273">
        <v>2019</v>
      </c>
      <c r="G137" s="112">
        <v>4601547.3899999997</v>
      </c>
      <c r="H137" s="112">
        <v>833110.55</v>
      </c>
      <c r="I137" s="112">
        <v>3768436.84</v>
      </c>
      <c r="J137" s="273"/>
      <c r="K137" s="273"/>
      <c r="L137" s="538"/>
    </row>
    <row r="138" spans="1:12" s="535" customFormat="1" ht="15" x14ac:dyDescent="0.25">
      <c r="A138" s="501"/>
      <c r="B138" s="502"/>
      <c r="C138" s="502"/>
      <c r="D138" s="502"/>
      <c r="E138" s="502"/>
      <c r="F138" s="487" t="s">
        <v>25</v>
      </c>
      <c r="G138" s="539">
        <f t="shared" ref="G138:L138" si="17">SUM(G131:G137)</f>
        <v>9689737.8399999999</v>
      </c>
      <c r="H138" s="539">
        <f t="shared" si="17"/>
        <v>5182761</v>
      </c>
      <c r="I138" s="539">
        <f t="shared" si="17"/>
        <v>4506976.84</v>
      </c>
      <c r="J138" s="539">
        <f t="shared" si="17"/>
        <v>0</v>
      </c>
      <c r="K138" s="539">
        <f t="shared" si="17"/>
        <v>0</v>
      </c>
      <c r="L138" s="540">
        <f t="shared" si="17"/>
        <v>0</v>
      </c>
    </row>
    <row r="139" spans="1:12" s="535" customFormat="1" ht="16.5" customHeight="1" x14ac:dyDescent="0.25">
      <c r="A139" s="586" t="s">
        <v>137</v>
      </c>
      <c r="B139" s="587"/>
      <c r="C139" s="587"/>
      <c r="D139" s="587"/>
      <c r="E139" s="587"/>
      <c r="F139" s="587"/>
      <c r="G139" s="587"/>
      <c r="H139" s="587"/>
      <c r="I139" s="587"/>
      <c r="J139" s="587"/>
      <c r="K139" s="587"/>
      <c r="L139" s="588"/>
    </row>
    <row r="140" spans="1:12" s="535" customFormat="1" ht="42.75" customHeight="1" x14ac:dyDescent="0.25">
      <c r="A140" s="244" t="s">
        <v>463</v>
      </c>
      <c r="B140" s="225" t="s">
        <v>192</v>
      </c>
      <c r="C140" s="241">
        <v>5</v>
      </c>
      <c r="D140" s="242" t="s">
        <v>173</v>
      </c>
      <c r="E140" s="242">
        <v>2017</v>
      </c>
      <c r="F140" s="242">
        <v>2020</v>
      </c>
      <c r="G140" s="95">
        <f>SUM(H140:L140)</f>
        <v>2361700</v>
      </c>
      <c r="H140" s="95">
        <v>813700</v>
      </c>
      <c r="I140" s="95">
        <v>1548000</v>
      </c>
      <c r="J140" s="95"/>
      <c r="K140" s="95"/>
      <c r="L140" s="202"/>
    </row>
    <row r="141" spans="1:12" s="535" customFormat="1" ht="45" customHeight="1" x14ac:dyDescent="0.25">
      <c r="A141" s="244" t="s">
        <v>464</v>
      </c>
      <c r="B141" s="213" t="s">
        <v>182</v>
      </c>
      <c r="C141" s="241">
        <v>5</v>
      </c>
      <c r="D141" s="242" t="s">
        <v>164</v>
      </c>
      <c r="E141" s="242">
        <v>2017</v>
      </c>
      <c r="F141" s="242">
        <v>2020</v>
      </c>
      <c r="G141" s="95">
        <f>SUM(H141:L141)</f>
        <v>1100000</v>
      </c>
      <c r="H141" s="95">
        <v>850000</v>
      </c>
      <c r="I141" s="95"/>
      <c r="J141" s="95"/>
      <c r="K141" s="95"/>
      <c r="L141" s="202">
        <v>250000</v>
      </c>
    </row>
    <row r="142" spans="1:12" s="535" customFormat="1" ht="56.25" customHeight="1" x14ac:dyDescent="0.25">
      <c r="A142" s="244" t="s">
        <v>465</v>
      </c>
      <c r="B142" s="225" t="s">
        <v>109</v>
      </c>
      <c r="C142" s="241">
        <v>5</v>
      </c>
      <c r="D142" s="242" t="s">
        <v>98</v>
      </c>
      <c r="E142" s="242">
        <v>2017</v>
      </c>
      <c r="F142" s="242">
        <v>2021</v>
      </c>
      <c r="G142" s="95">
        <v>335000</v>
      </c>
      <c r="H142" s="115">
        <v>335000</v>
      </c>
      <c r="I142" s="300"/>
      <c r="J142" s="301"/>
      <c r="K142" s="301"/>
      <c r="L142" s="302"/>
    </row>
    <row r="143" spans="1:12" s="535" customFormat="1" ht="42" customHeight="1" x14ac:dyDescent="0.25">
      <c r="A143" s="244" t="s">
        <v>466</v>
      </c>
      <c r="B143" s="225" t="s">
        <v>357</v>
      </c>
      <c r="C143" s="241">
        <v>5</v>
      </c>
      <c r="D143" s="242"/>
      <c r="E143" s="242">
        <v>2018</v>
      </c>
      <c r="F143" s="242">
        <v>2025</v>
      </c>
      <c r="G143" s="95">
        <v>3053030</v>
      </c>
      <c r="H143" s="182">
        <v>3053030</v>
      </c>
      <c r="I143" s="303"/>
      <c r="J143" s="304"/>
      <c r="K143" s="304"/>
      <c r="L143" s="305"/>
    </row>
    <row r="144" spans="1:12" s="535" customFormat="1" ht="15" customHeight="1" thickBot="1" x14ac:dyDescent="0.3">
      <c r="A144" s="541"/>
      <c r="B144" s="542"/>
      <c r="C144" s="542"/>
      <c r="D144" s="542"/>
      <c r="E144" s="542"/>
      <c r="F144" s="543" t="s">
        <v>25</v>
      </c>
      <c r="G144" s="544">
        <f t="shared" ref="G144:L144" si="18">SUM(G140:G143)</f>
        <v>6849730</v>
      </c>
      <c r="H144" s="544">
        <f t="shared" si="18"/>
        <v>5051730</v>
      </c>
      <c r="I144" s="544">
        <f t="shared" si="18"/>
        <v>1548000</v>
      </c>
      <c r="J144" s="544">
        <f t="shared" si="18"/>
        <v>0</v>
      </c>
      <c r="K144" s="544">
        <f t="shared" si="18"/>
        <v>0</v>
      </c>
      <c r="L144" s="545">
        <f t="shared" si="18"/>
        <v>250000</v>
      </c>
    </row>
    <row r="145" spans="1:12" s="480" customFormat="1" ht="19.5" customHeight="1" thickBot="1" x14ac:dyDescent="0.25">
      <c r="A145" s="546"/>
      <c r="B145" s="575"/>
      <c r="C145" s="575"/>
      <c r="D145" s="575"/>
      <c r="E145" s="575"/>
      <c r="F145" s="575"/>
      <c r="G145" s="547">
        <f>SUMIF(F12:F144,"Iš viso:",G12:G144)</f>
        <v>242224498.57000002</v>
      </c>
      <c r="H145" s="547">
        <f>SUMIF(F12:F144,"Iš viso:",H12:H144)</f>
        <v>136182776.32999998</v>
      </c>
      <c r="I145" s="547">
        <f>SUMIF(F12:F144,"Iš viso:",I12:I144)</f>
        <v>48849575.840000004</v>
      </c>
      <c r="J145" s="547">
        <f>SUMIF(F12:F144,"Iš viso:",J12:J144)</f>
        <v>20011568.5</v>
      </c>
      <c r="K145" s="547">
        <f>SUMIF(F12:F144,"Iš viso:",K12:K144)</f>
        <v>28568446.199999999</v>
      </c>
      <c r="L145" s="548">
        <f>SUMIF(F12:F144,"Iš viso:",L12:L144)</f>
        <v>8610646.6999999993</v>
      </c>
    </row>
    <row r="146" spans="1:12" s="480" customFormat="1" x14ac:dyDescent="0.2">
      <c r="A146" s="549"/>
      <c r="B146" s="566"/>
      <c r="C146" s="550"/>
      <c r="D146" s="551"/>
      <c r="E146" s="551"/>
      <c r="F146" s="551"/>
      <c r="H146" s="552"/>
    </row>
    <row r="147" spans="1:12" x14ac:dyDescent="0.2">
      <c r="A147" s="475"/>
      <c r="F147" s="574" t="s">
        <v>490</v>
      </c>
      <c r="G147" s="574"/>
      <c r="H147" s="574"/>
    </row>
    <row r="149" spans="1:12" x14ac:dyDescent="0.2">
      <c r="H149" s="66"/>
      <c r="I149" s="66"/>
    </row>
  </sheetData>
  <mergeCells count="31">
    <mergeCell ref="F10:F11"/>
    <mergeCell ref="B5:G5"/>
    <mergeCell ref="A139:L139"/>
    <mergeCell ref="A33:L33"/>
    <mergeCell ref="A73:L73"/>
    <mergeCell ref="A96:L96"/>
    <mergeCell ref="A104:L104"/>
    <mergeCell ref="A122:L122"/>
    <mergeCell ref="D9:D10"/>
    <mergeCell ref="A20:A21"/>
    <mergeCell ref="A12:L12"/>
    <mergeCell ref="A18:L18"/>
    <mergeCell ref="B20:B21"/>
    <mergeCell ref="B9:B11"/>
    <mergeCell ref="A9:A11"/>
    <mergeCell ref="C9:C11"/>
    <mergeCell ref="F147:H147"/>
    <mergeCell ref="B145:F145"/>
    <mergeCell ref="I1:L1"/>
    <mergeCell ref="J9:J10"/>
    <mergeCell ref="L9:L10"/>
    <mergeCell ref="E9:F9"/>
    <mergeCell ref="G9:G10"/>
    <mergeCell ref="H9:H10"/>
    <mergeCell ref="I9:I10"/>
    <mergeCell ref="K9:K10"/>
    <mergeCell ref="B7:E7"/>
    <mergeCell ref="B3:L3"/>
    <mergeCell ref="A130:L130"/>
    <mergeCell ref="B6:H6"/>
    <mergeCell ref="E10:E11"/>
  </mergeCells>
  <printOptions horizontalCentered="1"/>
  <pageMargins left="0.78740157480314965" right="0.19685039370078741" top="0.59055118110236227" bottom="0.19685039370078741" header="0" footer="0"/>
  <pageSetup paperSize="9" scale="7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87"/>
  <sheetViews>
    <sheetView zoomScaleNormal="100" zoomScaleSheetLayoutView="100" workbookViewId="0">
      <pane ySplit="10" topLeftCell="A11" activePane="bottomLeft" state="frozen"/>
      <selection pane="bottomLeft" activeCell="A11" sqref="A11:N11"/>
    </sheetView>
  </sheetViews>
  <sheetFormatPr defaultColWidth="9.140625" defaultRowHeight="12.75" x14ac:dyDescent="0.2"/>
  <cols>
    <col min="1" max="1" width="9.42578125" style="12" customWidth="1"/>
    <col min="2" max="2" width="3" style="12" hidden="1" customWidth="1"/>
    <col min="3" max="3" width="34.140625" style="5" customWidth="1"/>
    <col min="4" max="4" width="5" style="120" customWidth="1"/>
    <col min="5" max="5" width="5.85546875" style="12" hidden="1" customWidth="1"/>
    <col min="6" max="6" width="9.140625" style="12" customWidth="1"/>
    <col min="7" max="7" width="8.5703125" style="12" customWidth="1"/>
    <col min="8" max="8" width="13.7109375" style="5" customWidth="1"/>
    <col min="9" max="9" width="14.140625" style="5" customWidth="1"/>
    <col min="10" max="10" width="12.85546875" style="5" customWidth="1"/>
    <col min="11" max="11" width="12.140625" style="5" customWidth="1"/>
    <col min="12" max="12" width="13.140625" style="5" customWidth="1"/>
    <col min="13" max="13" width="12.140625" style="5" customWidth="1"/>
    <col min="14" max="14" width="38.140625" style="5" customWidth="1"/>
    <col min="15" max="15" width="9.140625" style="5" customWidth="1"/>
    <col min="16" max="16384" width="9.140625" style="5"/>
  </cols>
  <sheetData>
    <row r="1" spans="1:14" ht="21.75" customHeight="1" x14ac:dyDescent="0.2">
      <c r="J1" s="622" t="s">
        <v>201</v>
      </c>
      <c r="K1" s="622"/>
      <c r="L1" s="622"/>
      <c r="M1" s="622"/>
      <c r="N1" s="622"/>
    </row>
    <row r="2" spans="1:14" ht="15.75" customHeight="1" x14ac:dyDescent="0.25">
      <c r="A2" s="585" t="s">
        <v>175</v>
      </c>
      <c r="B2" s="585"/>
      <c r="C2" s="585"/>
      <c r="D2" s="585"/>
      <c r="E2" s="585"/>
      <c r="F2" s="585"/>
      <c r="G2" s="585"/>
      <c r="H2" s="585"/>
      <c r="I2" s="585"/>
      <c r="J2" s="585"/>
      <c r="K2" s="585"/>
      <c r="L2" s="585"/>
      <c r="M2" s="585"/>
      <c r="N2" s="585"/>
    </row>
    <row r="3" spans="1:14" ht="12.75" customHeight="1" x14ac:dyDescent="0.25">
      <c r="C3" s="310"/>
      <c r="D3" s="121"/>
      <c r="E3" s="310"/>
      <c r="F3" s="310"/>
      <c r="G3" s="310"/>
      <c r="H3" s="310"/>
      <c r="I3" s="310"/>
      <c r="J3" s="310"/>
      <c r="K3" s="310"/>
    </row>
    <row r="4" spans="1:14" ht="16.5" customHeight="1" x14ac:dyDescent="0.25">
      <c r="B4" s="13" t="s">
        <v>37</v>
      </c>
      <c r="C4" s="582" t="s">
        <v>196</v>
      </c>
      <c r="D4" s="582"/>
      <c r="E4" s="582"/>
      <c r="F4" s="584"/>
      <c r="G4" s="17"/>
      <c r="H4" s="6"/>
      <c r="I4" s="6"/>
      <c r="J4" s="6"/>
      <c r="K4" s="6"/>
    </row>
    <row r="5" spans="1:14" ht="18.75" customHeight="1" x14ac:dyDescent="0.25">
      <c r="A5" s="13"/>
      <c r="B5" s="13" t="s">
        <v>36</v>
      </c>
      <c r="C5" s="582" t="s">
        <v>197</v>
      </c>
      <c r="D5" s="582"/>
      <c r="E5" s="582"/>
      <c r="F5" s="584"/>
      <c r="G5" s="584"/>
      <c r="H5" s="6"/>
      <c r="I5" s="6"/>
      <c r="J5" s="6"/>
      <c r="K5" s="6"/>
    </row>
    <row r="6" spans="1:14" ht="15.75" customHeight="1" x14ac:dyDescent="0.25">
      <c r="A6" s="13"/>
      <c r="B6" s="13" t="s">
        <v>38</v>
      </c>
      <c r="C6" s="582" t="s">
        <v>198</v>
      </c>
      <c r="D6" s="583"/>
      <c r="E6" s="584"/>
      <c r="F6" s="584"/>
      <c r="G6" s="17"/>
      <c r="H6" s="6"/>
      <c r="I6" s="6"/>
      <c r="J6" s="6"/>
      <c r="K6" s="6"/>
    </row>
    <row r="7" spans="1:14" ht="12" customHeight="1" thickBot="1" x14ac:dyDescent="0.25">
      <c r="A7" s="14"/>
      <c r="B7" s="14"/>
      <c r="L7" s="7"/>
      <c r="M7" s="7"/>
      <c r="N7" s="7" t="s">
        <v>22</v>
      </c>
    </row>
    <row r="8" spans="1:14" ht="31.5" customHeight="1" x14ac:dyDescent="0.2">
      <c r="A8" s="628" t="s">
        <v>24</v>
      </c>
      <c r="B8" s="656" t="s">
        <v>51</v>
      </c>
      <c r="C8" s="611" t="s">
        <v>0</v>
      </c>
      <c r="D8" s="571" t="s">
        <v>35</v>
      </c>
      <c r="E8" s="571" t="s">
        <v>50</v>
      </c>
      <c r="F8" s="581" t="s">
        <v>23</v>
      </c>
      <c r="G8" s="581"/>
      <c r="H8" s="577" t="s">
        <v>26</v>
      </c>
      <c r="I8" s="577" t="s">
        <v>1</v>
      </c>
      <c r="J8" s="577" t="s">
        <v>2</v>
      </c>
      <c r="K8" s="577" t="s">
        <v>3</v>
      </c>
      <c r="L8" s="577" t="s">
        <v>4</v>
      </c>
      <c r="M8" s="626" t="s">
        <v>39</v>
      </c>
      <c r="N8" s="579" t="s">
        <v>202</v>
      </c>
    </row>
    <row r="9" spans="1:14" ht="37.5" customHeight="1" x14ac:dyDescent="0.2">
      <c r="A9" s="629"/>
      <c r="B9" s="657"/>
      <c r="C9" s="613"/>
      <c r="D9" s="658"/>
      <c r="E9" s="603"/>
      <c r="F9" s="20" t="s">
        <v>5</v>
      </c>
      <c r="G9" s="20" t="s">
        <v>6</v>
      </c>
      <c r="H9" s="578"/>
      <c r="I9" s="578"/>
      <c r="J9" s="578"/>
      <c r="K9" s="578"/>
      <c r="L9" s="578"/>
      <c r="M9" s="627"/>
      <c r="N9" s="580"/>
    </row>
    <row r="10" spans="1:14" x14ac:dyDescent="0.2">
      <c r="A10" s="141"/>
      <c r="B10" s="15"/>
      <c r="C10" s="1"/>
      <c r="D10" s="91"/>
      <c r="E10" s="15"/>
      <c r="F10" s="140"/>
      <c r="G10" s="140"/>
      <c r="H10" s="8" t="s">
        <v>25</v>
      </c>
      <c r="I10" s="8" t="s">
        <v>7</v>
      </c>
      <c r="J10" s="8" t="s">
        <v>8</v>
      </c>
      <c r="K10" s="8" t="s">
        <v>9</v>
      </c>
      <c r="L10" s="8" t="s">
        <v>10</v>
      </c>
      <c r="M10" s="335" t="s">
        <v>174</v>
      </c>
      <c r="N10" s="142"/>
    </row>
    <row r="11" spans="1:14" ht="17.25" customHeight="1" x14ac:dyDescent="0.2">
      <c r="A11" s="661" t="s">
        <v>17</v>
      </c>
      <c r="B11" s="662"/>
      <c r="C11" s="663"/>
      <c r="D11" s="663"/>
      <c r="E11" s="663"/>
      <c r="F11" s="663"/>
      <c r="G11" s="663"/>
      <c r="H11" s="663"/>
      <c r="I11" s="663"/>
      <c r="J11" s="663"/>
      <c r="K11" s="663"/>
      <c r="L11" s="663"/>
      <c r="M11" s="663"/>
      <c r="N11" s="664"/>
    </row>
    <row r="12" spans="1:14" ht="47.25" customHeight="1" x14ac:dyDescent="0.2">
      <c r="A12" s="143" t="s">
        <v>223</v>
      </c>
      <c r="B12" s="9"/>
      <c r="C12" s="2" t="s">
        <v>282</v>
      </c>
      <c r="D12" s="51">
        <v>5</v>
      </c>
      <c r="E12" s="129" t="s">
        <v>258</v>
      </c>
      <c r="F12" s="246" t="s">
        <v>93</v>
      </c>
      <c r="G12" s="246" t="s">
        <v>42</v>
      </c>
      <c r="H12" s="94">
        <f>I12+J12+K12+L12+M12</f>
        <v>142914.54</v>
      </c>
      <c r="I12" s="94">
        <v>21437.18</v>
      </c>
      <c r="J12" s="94">
        <v>121477.36</v>
      </c>
      <c r="K12" s="94"/>
      <c r="L12" s="94"/>
      <c r="M12" s="315"/>
      <c r="N12" s="146"/>
    </row>
    <row r="13" spans="1:14" ht="51.75" customHeight="1" x14ac:dyDescent="0.2">
      <c r="A13" s="143" t="s">
        <v>224</v>
      </c>
      <c r="B13" s="9"/>
      <c r="C13" s="127" t="s">
        <v>283</v>
      </c>
      <c r="D13" s="128">
        <v>5</v>
      </c>
      <c r="E13" s="129" t="s">
        <v>258</v>
      </c>
      <c r="F13" s="247" t="s">
        <v>93</v>
      </c>
      <c r="G13" s="247" t="s">
        <v>42</v>
      </c>
      <c r="H13" s="94">
        <f t="shared" ref="H13:H14" si="0">I13+J13+K13+L13+M13</f>
        <v>69407.839999999997</v>
      </c>
      <c r="I13" s="200">
        <v>10411.18</v>
      </c>
      <c r="J13" s="200">
        <v>58996.66</v>
      </c>
      <c r="K13" s="238"/>
      <c r="L13" s="94"/>
      <c r="M13" s="315"/>
      <c r="N13" s="146"/>
    </row>
    <row r="14" spans="1:14" ht="28.5" customHeight="1" x14ac:dyDescent="0.2">
      <c r="A14" s="407" t="s">
        <v>18</v>
      </c>
      <c r="B14" s="408"/>
      <c r="C14" s="659" t="s">
        <v>320</v>
      </c>
      <c r="D14" s="185">
        <v>5</v>
      </c>
      <c r="E14" s="624" t="s">
        <v>157</v>
      </c>
      <c r="F14" s="423" t="s">
        <v>48</v>
      </c>
      <c r="G14" s="423" t="s">
        <v>93</v>
      </c>
      <c r="H14" s="437">
        <f t="shared" si="0"/>
        <v>4826435.3099999996</v>
      </c>
      <c r="I14" s="208">
        <f>4826435.31</f>
        <v>4826435.3099999996</v>
      </c>
      <c r="J14" s="97"/>
      <c r="K14" s="97"/>
      <c r="L14" s="97"/>
      <c r="M14" s="316"/>
      <c r="N14" s="621" t="s">
        <v>344</v>
      </c>
    </row>
    <row r="15" spans="1:14" ht="138.75" customHeight="1" x14ac:dyDescent="0.2">
      <c r="A15" s="409"/>
      <c r="B15" s="410"/>
      <c r="C15" s="631"/>
      <c r="D15" s="103"/>
      <c r="E15" s="625"/>
      <c r="F15" s="424"/>
      <c r="G15" s="424"/>
      <c r="H15" s="238">
        <f>I15+J15+K15+L15+M15</f>
        <v>5203435.3099999996</v>
      </c>
      <c r="I15" s="394">
        <v>5203435.3099999996</v>
      </c>
      <c r="J15" s="97"/>
      <c r="K15" s="97"/>
      <c r="L15" s="97"/>
      <c r="M15" s="316"/>
      <c r="N15" s="623"/>
    </row>
    <row r="16" spans="1:14" ht="195" customHeight="1" x14ac:dyDescent="0.2">
      <c r="A16" s="409"/>
      <c r="B16" s="410"/>
      <c r="C16" s="439" t="s">
        <v>319</v>
      </c>
      <c r="D16" s="440"/>
      <c r="E16" s="441" t="s">
        <v>157</v>
      </c>
      <c r="F16" s="396" t="s">
        <v>42</v>
      </c>
      <c r="G16" s="396" t="s">
        <v>168</v>
      </c>
      <c r="H16" s="238">
        <f t="shared" ref="H16" si="1">I16+J16+K16+L16+M16</f>
        <v>1508000</v>
      </c>
      <c r="I16" s="214">
        <v>808000</v>
      </c>
      <c r="J16" s="214"/>
      <c r="K16" s="214"/>
      <c r="L16" s="214"/>
      <c r="M16" s="452">
        <v>700000</v>
      </c>
      <c r="N16" s="220" t="s">
        <v>345</v>
      </c>
    </row>
    <row r="17" spans="1:14" ht="51.75" customHeight="1" x14ac:dyDescent="0.2">
      <c r="A17" s="143" t="s">
        <v>19</v>
      </c>
      <c r="B17" s="9" t="s">
        <v>156</v>
      </c>
      <c r="C17" s="2" t="s">
        <v>21</v>
      </c>
      <c r="D17" s="51">
        <v>5</v>
      </c>
      <c r="E17" s="18" t="s">
        <v>253</v>
      </c>
      <c r="F17" s="224" t="s">
        <v>48</v>
      </c>
      <c r="G17" s="224" t="s">
        <v>163</v>
      </c>
      <c r="H17" s="94">
        <f>I17+J17+K17+L17+M17</f>
        <v>3138260.79</v>
      </c>
      <c r="I17" s="94">
        <v>1867299.01</v>
      </c>
      <c r="J17" s="130">
        <v>1158479.99</v>
      </c>
      <c r="K17" s="94">
        <v>102218.83</v>
      </c>
      <c r="L17" s="94"/>
      <c r="M17" s="315">
        <v>10262.959999999999</v>
      </c>
      <c r="N17" s="146"/>
    </row>
    <row r="18" spans="1:14" ht="18" customHeight="1" x14ac:dyDescent="0.2">
      <c r="A18" s="144"/>
      <c r="B18" s="134"/>
      <c r="C18" s="134"/>
      <c r="D18" s="134"/>
      <c r="E18" s="134"/>
      <c r="F18" s="134"/>
      <c r="G18" s="136" t="s">
        <v>25</v>
      </c>
      <c r="H18" s="137">
        <f>SUM(H12:H17)-H14</f>
        <v>10062018.48</v>
      </c>
      <c r="I18" s="137">
        <f t="shared" ref="I18:M18" si="2">SUM(I12:I17)-I14</f>
        <v>7910582.6800000006</v>
      </c>
      <c r="J18" s="137">
        <f t="shared" si="2"/>
        <v>1338954.01</v>
      </c>
      <c r="K18" s="137">
        <f t="shared" si="2"/>
        <v>102218.83</v>
      </c>
      <c r="L18" s="137">
        <f t="shared" si="2"/>
        <v>0</v>
      </c>
      <c r="M18" s="137">
        <f t="shared" si="2"/>
        <v>710262.96</v>
      </c>
      <c r="N18" s="147"/>
    </row>
    <row r="19" spans="1:14" ht="15" customHeight="1" x14ac:dyDescent="0.2">
      <c r="A19" s="661" t="s">
        <v>27</v>
      </c>
      <c r="B19" s="662"/>
      <c r="C19" s="663"/>
      <c r="D19" s="663"/>
      <c r="E19" s="663"/>
      <c r="F19" s="663"/>
      <c r="G19" s="663"/>
      <c r="H19" s="663"/>
      <c r="I19" s="663"/>
      <c r="J19" s="663"/>
      <c r="K19" s="663"/>
      <c r="L19" s="663"/>
      <c r="M19" s="663"/>
      <c r="N19" s="665"/>
    </row>
    <row r="20" spans="1:14" ht="36.75" customHeight="1" x14ac:dyDescent="0.2">
      <c r="A20" s="367" t="s">
        <v>40</v>
      </c>
      <c r="B20" s="139"/>
      <c r="C20" s="404" t="s">
        <v>33</v>
      </c>
      <c r="D20" s="185">
        <v>5</v>
      </c>
      <c r="E20" s="368" t="s">
        <v>158</v>
      </c>
      <c r="F20" s="403" t="s">
        <v>162</v>
      </c>
      <c r="G20" s="403">
        <v>2019</v>
      </c>
      <c r="H20" s="208">
        <f>I20+J20+K20+L20+M20</f>
        <v>1180000</v>
      </c>
      <c r="I20" s="209">
        <v>1180000</v>
      </c>
      <c r="J20" s="203"/>
      <c r="K20" s="203"/>
      <c r="L20" s="203"/>
      <c r="M20" s="258"/>
      <c r="N20" s="619" t="s">
        <v>325</v>
      </c>
    </row>
    <row r="21" spans="1:14" ht="27" customHeight="1" x14ac:dyDescent="0.2">
      <c r="A21" s="401"/>
      <c r="B21" s="33"/>
      <c r="C21" s="402"/>
      <c r="D21" s="373"/>
      <c r="E21" s="27"/>
      <c r="F21" s="248"/>
      <c r="G21" s="248"/>
      <c r="H21" s="214">
        <f>I21+J21+K21+L21+M21</f>
        <v>1271400</v>
      </c>
      <c r="I21" s="279">
        <f>1180000+91400</f>
        <v>1271400</v>
      </c>
      <c r="J21" s="203"/>
      <c r="K21" s="203"/>
      <c r="L21" s="203"/>
      <c r="M21" s="258"/>
      <c r="N21" s="620"/>
    </row>
    <row r="22" spans="1:14" ht="18.75" customHeight="1" x14ac:dyDescent="0.2">
      <c r="A22" s="633" t="s">
        <v>128</v>
      </c>
      <c r="B22" s="635" t="s">
        <v>151</v>
      </c>
      <c r="C22" s="637" t="s">
        <v>183</v>
      </c>
      <c r="D22" s="37">
        <v>4</v>
      </c>
      <c r="E22" s="19"/>
      <c r="F22" s="227" t="s">
        <v>93</v>
      </c>
      <c r="G22" s="227" t="s">
        <v>93</v>
      </c>
      <c r="H22" s="95">
        <f t="shared" ref="H22:H33" si="3">I22+J22+K22+L22+M22</f>
        <v>15000</v>
      </c>
      <c r="I22" s="203">
        <v>15000</v>
      </c>
      <c r="J22" s="203"/>
      <c r="K22" s="203"/>
      <c r="L22" s="203"/>
      <c r="M22" s="258"/>
      <c r="N22" s="187"/>
    </row>
    <row r="23" spans="1:14" ht="24" customHeight="1" x14ac:dyDescent="0.2">
      <c r="A23" s="634"/>
      <c r="B23" s="636"/>
      <c r="C23" s="638"/>
      <c r="D23" s="63">
        <v>6</v>
      </c>
      <c r="E23" s="64" t="s">
        <v>154</v>
      </c>
      <c r="F23" s="248" t="s">
        <v>94</v>
      </c>
      <c r="G23" s="248" t="s">
        <v>42</v>
      </c>
      <c r="H23" s="111">
        <f t="shared" si="3"/>
        <v>185000</v>
      </c>
      <c r="I23" s="204">
        <f>55000+41300</f>
        <v>96300</v>
      </c>
      <c r="J23" s="204"/>
      <c r="K23" s="204"/>
      <c r="L23" s="204"/>
      <c r="M23" s="317">
        <f>66700+22000</f>
        <v>88700</v>
      </c>
      <c r="N23" s="191"/>
    </row>
    <row r="24" spans="1:14" ht="31.5" customHeight="1" x14ac:dyDescent="0.2">
      <c r="A24" s="422" t="s">
        <v>225</v>
      </c>
      <c r="B24" s="429"/>
      <c r="C24" s="640" t="s">
        <v>284</v>
      </c>
      <c r="D24" s="102">
        <v>5</v>
      </c>
      <c r="E24" s="80" t="s">
        <v>157</v>
      </c>
      <c r="F24" s="234">
        <v>2016</v>
      </c>
      <c r="G24" s="276" t="s">
        <v>93</v>
      </c>
      <c r="H24" s="208">
        <f t="shared" si="3"/>
        <v>326933.75399999996</v>
      </c>
      <c r="I24" s="221">
        <v>53607.963999999993</v>
      </c>
      <c r="J24" s="221">
        <v>273325.78999999998</v>
      </c>
      <c r="K24" s="221"/>
      <c r="L24" s="221"/>
      <c r="M24" s="427"/>
      <c r="N24" s="621" t="s">
        <v>329</v>
      </c>
    </row>
    <row r="25" spans="1:14" ht="77.25" customHeight="1" x14ac:dyDescent="0.2">
      <c r="A25" s="228"/>
      <c r="B25" s="16"/>
      <c r="C25" s="641"/>
      <c r="D25" s="373"/>
      <c r="E25" s="80"/>
      <c r="F25" s="234"/>
      <c r="G25" s="396" t="s">
        <v>42</v>
      </c>
      <c r="H25" s="214">
        <f>I25+J25+K25+L25+M25</f>
        <v>629324.76</v>
      </c>
      <c r="I25" s="215">
        <v>233807.97</v>
      </c>
      <c r="J25" s="215">
        <v>273325.78999999998</v>
      </c>
      <c r="K25" s="215"/>
      <c r="L25" s="215"/>
      <c r="M25" s="427">
        <v>122191</v>
      </c>
      <c r="N25" s="620"/>
    </row>
    <row r="26" spans="1:14" s="46" customFormat="1" ht="48" customHeight="1" x14ac:dyDescent="0.2">
      <c r="A26" s="149" t="s">
        <v>275</v>
      </c>
      <c r="B26" s="227"/>
      <c r="C26" s="225" t="s">
        <v>86</v>
      </c>
      <c r="D26" s="231" t="s">
        <v>43</v>
      </c>
      <c r="E26" s="234" t="s">
        <v>169</v>
      </c>
      <c r="F26" s="96" t="s">
        <v>48</v>
      </c>
      <c r="G26" s="96" t="s">
        <v>49</v>
      </c>
      <c r="H26" s="95">
        <f t="shared" si="3"/>
        <v>2346864.9700000002</v>
      </c>
      <c r="I26" s="115">
        <v>1006599.83</v>
      </c>
      <c r="J26" s="115">
        <v>1231595</v>
      </c>
      <c r="K26" s="115">
        <v>108670.14</v>
      </c>
      <c r="L26" s="115"/>
      <c r="M26" s="319"/>
      <c r="N26" s="164"/>
    </row>
    <row r="27" spans="1:14" ht="52.5" customHeight="1" x14ac:dyDescent="0.2">
      <c r="A27" s="149" t="s">
        <v>276</v>
      </c>
      <c r="B27" s="21"/>
      <c r="C27" s="34" t="s">
        <v>208</v>
      </c>
      <c r="D27" s="50" t="s">
        <v>43</v>
      </c>
      <c r="E27" s="199" t="s">
        <v>255</v>
      </c>
      <c r="F27" s="96" t="s">
        <v>48</v>
      </c>
      <c r="G27" s="96" t="s">
        <v>163</v>
      </c>
      <c r="H27" s="95">
        <f t="shared" si="3"/>
        <v>2564487.5099999998</v>
      </c>
      <c r="I27" s="115">
        <v>1665630.97</v>
      </c>
      <c r="J27" s="115">
        <v>825976.28</v>
      </c>
      <c r="K27" s="115">
        <v>72880.259999999995</v>
      </c>
      <c r="L27" s="115"/>
      <c r="M27" s="319"/>
      <c r="N27" s="340"/>
    </row>
    <row r="28" spans="1:14" ht="30" customHeight="1" x14ac:dyDescent="0.2">
      <c r="A28" s="367" t="s">
        <v>227</v>
      </c>
      <c r="B28" s="139"/>
      <c r="C28" s="660" t="s">
        <v>226</v>
      </c>
      <c r="D28" s="185">
        <v>5</v>
      </c>
      <c r="E28" s="249" t="s">
        <v>159</v>
      </c>
      <c r="F28" s="249">
        <v>2015</v>
      </c>
      <c r="G28" s="249" t="s">
        <v>42</v>
      </c>
      <c r="H28" s="208">
        <f t="shared" si="3"/>
        <v>602550</v>
      </c>
      <c r="I28" s="208">
        <f>285001.96</f>
        <v>285001.96000000002</v>
      </c>
      <c r="J28" s="208">
        <v>317548.03999999998</v>
      </c>
      <c r="K28" s="95"/>
      <c r="L28" s="95"/>
      <c r="M28" s="320"/>
      <c r="N28" s="619" t="s">
        <v>326</v>
      </c>
    </row>
    <row r="29" spans="1:14" ht="103.5" customHeight="1" x14ac:dyDescent="0.2">
      <c r="A29" s="149"/>
      <c r="B29" s="16"/>
      <c r="C29" s="641"/>
      <c r="D29" s="405"/>
      <c r="E29" s="406"/>
      <c r="F29" s="110"/>
      <c r="G29" s="110"/>
      <c r="H29" s="214">
        <v>661160.80000000005</v>
      </c>
      <c r="I29" s="214">
        <v>343612.76</v>
      </c>
      <c r="J29" s="214">
        <v>317548.03999999998</v>
      </c>
      <c r="K29" s="95"/>
      <c r="L29" s="95"/>
      <c r="M29" s="320"/>
      <c r="N29" s="620"/>
    </row>
    <row r="30" spans="1:14" ht="50.25" customHeight="1" x14ac:dyDescent="0.2">
      <c r="A30" s="149" t="s">
        <v>229</v>
      </c>
      <c r="B30" s="16"/>
      <c r="C30" s="11" t="s">
        <v>228</v>
      </c>
      <c r="D30" s="51">
        <v>5</v>
      </c>
      <c r="E30" s="28" t="s">
        <v>102</v>
      </c>
      <c r="F30" s="224" t="s">
        <v>93</v>
      </c>
      <c r="G30" s="224" t="s">
        <v>168</v>
      </c>
      <c r="H30" s="95">
        <f t="shared" si="3"/>
        <v>1230535.6499999999</v>
      </c>
      <c r="I30" s="97">
        <v>1230535.6499999999</v>
      </c>
      <c r="J30" s="97"/>
      <c r="K30" s="97"/>
      <c r="L30" s="97"/>
      <c r="M30" s="316"/>
      <c r="N30" s="155"/>
    </row>
    <row r="31" spans="1:14" ht="45" customHeight="1" x14ac:dyDescent="0.2">
      <c r="A31" s="228" t="s">
        <v>230</v>
      </c>
      <c r="B31" s="229"/>
      <c r="C31" s="230" t="s">
        <v>349</v>
      </c>
      <c r="D31" s="51" t="s">
        <v>43</v>
      </c>
      <c r="E31" s="308" t="s">
        <v>158</v>
      </c>
      <c r="F31" s="224" t="s">
        <v>48</v>
      </c>
      <c r="G31" s="224" t="s">
        <v>42</v>
      </c>
      <c r="H31" s="95">
        <f t="shared" si="3"/>
        <v>73700</v>
      </c>
      <c r="I31" s="115">
        <v>73700</v>
      </c>
      <c r="J31" s="97"/>
      <c r="K31" s="97"/>
      <c r="L31" s="97"/>
      <c r="M31" s="316"/>
      <c r="N31" s="155"/>
    </row>
    <row r="32" spans="1:14" ht="30" customHeight="1" x14ac:dyDescent="0.2">
      <c r="A32" s="228" t="s">
        <v>231</v>
      </c>
      <c r="B32" s="229"/>
      <c r="C32" s="230" t="s">
        <v>309</v>
      </c>
      <c r="D32" s="51" t="s">
        <v>43</v>
      </c>
      <c r="E32" s="28"/>
      <c r="F32" s="224" t="s">
        <v>42</v>
      </c>
      <c r="G32" s="224" t="s">
        <v>49</v>
      </c>
      <c r="H32" s="95">
        <f t="shared" si="3"/>
        <v>565000</v>
      </c>
      <c r="I32" s="97">
        <v>565000</v>
      </c>
      <c r="J32" s="97"/>
      <c r="K32" s="97"/>
      <c r="L32" s="97"/>
      <c r="M32" s="316"/>
      <c r="N32" s="155"/>
    </row>
    <row r="33" spans="1:15" ht="40.5" customHeight="1" x14ac:dyDescent="0.2">
      <c r="A33" s="148" t="s">
        <v>32</v>
      </c>
      <c r="B33" s="10"/>
      <c r="C33" s="11" t="s">
        <v>29</v>
      </c>
      <c r="D33" s="51">
        <v>5</v>
      </c>
      <c r="E33" s="28" t="s">
        <v>157</v>
      </c>
      <c r="F33" s="224">
        <v>2016</v>
      </c>
      <c r="G33" s="224">
        <v>2018</v>
      </c>
      <c r="H33" s="95">
        <f t="shared" si="3"/>
        <v>1595743.52</v>
      </c>
      <c r="I33" s="100">
        <v>239361.52</v>
      </c>
      <c r="J33" s="100">
        <v>1356382</v>
      </c>
      <c r="K33" s="97"/>
      <c r="L33" s="97"/>
      <c r="M33" s="316"/>
      <c r="N33" s="155"/>
    </row>
    <row r="34" spans="1:15" ht="18" customHeight="1" x14ac:dyDescent="0.2">
      <c r="A34" s="150"/>
      <c r="B34" s="135"/>
      <c r="C34" s="135"/>
      <c r="D34" s="135"/>
      <c r="E34" s="135"/>
      <c r="F34" s="135"/>
      <c r="G34" s="136" t="s">
        <v>25</v>
      </c>
      <c r="H34" s="137">
        <f>SUM(H20:H33)-H20-H28-H24</f>
        <v>11138217.209999999</v>
      </c>
      <c r="I34" s="137">
        <f t="shared" ref="I34:M34" si="4">SUM(I20:I33)-I20-I28-I24</f>
        <v>6740948.7000000002</v>
      </c>
      <c r="J34" s="137">
        <f t="shared" si="4"/>
        <v>4004827.1100000003</v>
      </c>
      <c r="K34" s="137">
        <f t="shared" si="4"/>
        <v>181550.4</v>
      </c>
      <c r="L34" s="137">
        <f t="shared" si="4"/>
        <v>0</v>
      </c>
      <c r="M34" s="137">
        <f t="shared" si="4"/>
        <v>210891</v>
      </c>
      <c r="N34" s="147"/>
    </row>
    <row r="35" spans="1:15" ht="18.75" customHeight="1" x14ac:dyDescent="0.2">
      <c r="A35" s="650" t="s">
        <v>12</v>
      </c>
      <c r="B35" s="651"/>
      <c r="C35" s="652"/>
      <c r="D35" s="652"/>
      <c r="E35" s="652"/>
      <c r="F35" s="652"/>
      <c r="G35" s="652"/>
      <c r="H35" s="652"/>
      <c r="I35" s="652"/>
      <c r="J35" s="652"/>
      <c r="K35" s="652"/>
      <c r="L35" s="652"/>
      <c r="M35" s="652"/>
      <c r="N35" s="653"/>
    </row>
    <row r="36" spans="1:15" ht="27" customHeight="1" x14ac:dyDescent="0.2">
      <c r="A36" s="151" t="s">
        <v>138</v>
      </c>
      <c r="B36" s="52"/>
      <c r="C36" s="53" t="s">
        <v>141</v>
      </c>
      <c r="D36" s="122"/>
      <c r="E36" s="76"/>
      <c r="F36" s="76"/>
      <c r="G36" s="76"/>
      <c r="H36" s="76"/>
      <c r="I36" s="76"/>
      <c r="J36" s="76"/>
      <c r="K36" s="76"/>
      <c r="L36" s="76"/>
      <c r="M36" s="336"/>
      <c r="N36" s="337"/>
    </row>
    <row r="37" spans="1:15" ht="45" customHeight="1" x14ac:dyDescent="0.2">
      <c r="A37" s="152" t="s">
        <v>45</v>
      </c>
      <c r="B37" s="308"/>
      <c r="C37" s="24" t="s">
        <v>11</v>
      </c>
      <c r="D37" s="37">
        <v>5</v>
      </c>
      <c r="E37" s="224" t="s">
        <v>102</v>
      </c>
      <c r="F37" s="234" t="s">
        <v>162</v>
      </c>
      <c r="G37" s="234" t="s">
        <v>170</v>
      </c>
      <c r="H37" s="95">
        <f>I37+J37+K37+L37+M37</f>
        <v>7257030.1500000004</v>
      </c>
      <c r="I37" s="95">
        <v>1464450.74</v>
      </c>
      <c r="J37" s="95">
        <v>5145100</v>
      </c>
      <c r="K37" s="95">
        <v>453979.41</v>
      </c>
      <c r="L37" s="95">
        <v>193500</v>
      </c>
      <c r="M37" s="320"/>
      <c r="N37" s="202"/>
    </row>
    <row r="38" spans="1:15" ht="67.5" customHeight="1" x14ac:dyDescent="0.2">
      <c r="A38" s="153"/>
      <c r="B38" s="309"/>
      <c r="C38" s="25" t="s">
        <v>184</v>
      </c>
      <c r="D38" s="37" t="s">
        <v>43</v>
      </c>
      <c r="E38" s="224" t="s">
        <v>102</v>
      </c>
      <c r="F38" s="234" t="s">
        <v>162</v>
      </c>
      <c r="G38" s="234" t="s">
        <v>170</v>
      </c>
      <c r="H38" s="95">
        <f t="shared" ref="H38:H41" si="5">I38+J38+K38+L38+M38</f>
        <v>2360883.5300000003</v>
      </c>
      <c r="I38" s="95">
        <v>371685.53</v>
      </c>
      <c r="J38" s="95">
        <v>1758148</v>
      </c>
      <c r="K38" s="95"/>
      <c r="L38" s="95">
        <v>231050</v>
      </c>
      <c r="M38" s="320"/>
      <c r="N38" s="202"/>
    </row>
    <row r="39" spans="1:15" ht="42" customHeight="1" x14ac:dyDescent="0.2">
      <c r="A39" s="153" t="s">
        <v>44</v>
      </c>
      <c r="B39" s="309"/>
      <c r="C39" s="25" t="s">
        <v>232</v>
      </c>
      <c r="D39" s="37" t="s">
        <v>43</v>
      </c>
      <c r="E39" s="236" t="s">
        <v>165</v>
      </c>
      <c r="F39" s="234" t="s">
        <v>94</v>
      </c>
      <c r="G39" s="234" t="s">
        <v>170</v>
      </c>
      <c r="H39" s="95">
        <f t="shared" si="5"/>
        <v>1050000</v>
      </c>
      <c r="I39" s="95">
        <v>1050000</v>
      </c>
      <c r="J39" s="95"/>
      <c r="K39" s="95"/>
      <c r="L39" s="95"/>
      <c r="M39" s="320"/>
      <c r="N39" s="202"/>
    </row>
    <row r="40" spans="1:15" ht="41.25" customHeight="1" x14ac:dyDescent="0.2">
      <c r="A40" s="153" t="s">
        <v>46</v>
      </c>
      <c r="B40" s="309"/>
      <c r="C40" s="25" t="s">
        <v>13</v>
      </c>
      <c r="D40" s="37" t="s">
        <v>43</v>
      </c>
      <c r="E40" s="236" t="s">
        <v>165</v>
      </c>
      <c r="F40" s="224" t="s">
        <v>48</v>
      </c>
      <c r="G40" s="224" t="s">
        <v>49</v>
      </c>
      <c r="H40" s="95">
        <f t="shared" si="5"/>
        <v>750000</v>
      </c>
      <c r="I40" s="97">
        <v>750000</v>
      </c>
      <c r="J40" s="97"/>
      <c r="K40" s="97"/>
      <c r="L40" s="97"/>
      <c r="M40" s="316"/>
      <c r="N40" s="155"/>
    </row>
    <row r="41" spans="1:15" ht="39.75" customHeight="1" x14ac:dyDescent="0.2">
      <c r="A41" s="154" t="s">
        <v>47</v>
      </c>
      <c r="B41" s="224"/>
      <c r="C41" s="25" t="s">
        <v>185</v>
      </c>
      <c r="D41" s="37" t="s">
        <v>43</v>
      </c>
      <c r="E41" s="236" t="s">
        <v>166</v>
      </c>
      <c r="F41" s="224" t="s">
        <v>94</v>
      </c>
      <c r="G41" s="224" t="s">
        <v>42</v>
      </c>
      <c r="H41" s="95">
        <f t="shared" si="5"/>
        <v>2400000</v>
      </c>
      <c r="I41" s="97">
        <v>2336053</v>
      </c>
      <c r="J41" s="97"/>
      <c r="K41" s="97"/>
      <c r="L41" s="97">
        <v>63947</v>
      </c>
      <c r="M41" s="316"/>
      <c r="N41" s="155"/>
    </row>
    <row r="42" spans="1:15" ht="33" customHeight="1" x14ac:dyDescent="0.2">
      <c r="A42" s="154" t="s">
        <v>52</v>
      </c>
      <c r="B42" s="224"/>
      <c r="C42" s="222" t="s">
        <v>280</v>
      </c>
      <c r="D42" s="223" t="s">
        <v>43</v>
      </c>
      <c r="E42" s="232" t="s">
        <v>161</v>
      </c>
      <c r="F42" s="234" t="s">
        <v>94</v>
      </c>
      <c r="G42" s="234" t="s">
        <v>170</v>
      </c>
      <c r="H42" s="95">
        <f>I42+J42+K42+L42+M42</f>
        <v>2000000</v>
      </c>
      <c r="I42" s="95">
        <v>1700000</v>
      </c>
      <c r="J42" s="95"/>
      <c r="K42" s="95"/>
      <c r="L42" s="95"/>
      <c r="M42" s="320">
        <v>300000</v>
      </c>
      <c r="N42" s="202"/>
    </row>
    <row r="43" spans="1:15" ht="27.75" customHeight="1" x14ac:dyDescent="0.2">
      <c r="A43" s="156" t="s">
        <v>143</v>
      </c>
      <c r="B43" s="55"/>
      <c r="C43" s="56" t="s">
        <v>142</v>
      </c>
      <c r="D43" s="54"/>
      <c r="E43" s="73"/>
      <c r="F43" s="74"/>
      <c r="G43" s="74"/>
      <c r="H43" s="75"/>
      <c r="I43" s="75"/>
      <c r="J43" s="75"/>
      <c r="K43" s="75"/>
      <c r="L43" s="75"/>
      <c r="M43" s="75"/>
      <c r="N43" s="157"/>
      <c r="O43" s="193"/>
    </row>
    <row r="44" spans="1:15" ht="28.5" customHeight="1" x14ac:dyDescent="0.2">
      <c r="A44" s="152" t="s">
        <v>54</v>
      </c>
      <c r="B44" s="99"/>
      <c r="C44" s="364" t="s">
        <v>200</v>
      </c>
      <c r="D44" s="102" t="s">
        <v>43</v>
      </c>
      <c r="E44" s="186" t="s">
        <v>167</v>
      </c>
      <c r="F44" s="362" t="s">
        <v>162</v>
      </c>
      <c r="G44" s="249" t="s">
        <v>168</v>
      </c>
      <c r="H44" s="219">
        <f>I44+J44+K44+L44+M44</f>
        <v>5450000</v>
      </c>
      <c r="I44" s="208">
        <v>4364909</v>
      </c>
      <c r="J44" s="370"/>
      <c r="K44" s="370"/>
      <c r="L44" s="370">
        <v>1085091</v>
      </c>
      <c r="M44" s="321"/>
      <c r="N44" s="619" t="s">
        <v>340</v>
      </c>
      <c r="O44" s="193"/>
    </row>
    <row r="45" spans="1:15" ht="27.75" customHeight="1" x14ac:dyDescent="0.2">
      <c r="A45" s="160"/>
      <c r="B45" s="371"/>
      <c r="C45" s="372"/>
      <c r="D45" s="373"/>
      <c r="E45" s="101"/>
      <c r="F45" s="27"/>
      <c r="G45" s="374"/>
      <c r="H45" s="219">
        <f>I45+J45+K45+L45+M45</f>
        <v>5450000</v>
      </c>
      <c r="I45" s="456">
        <v>4116901.5</v>
      </c>
      <c r="J45" s="387"/>
      <c r="K45" s="387"/>
      <c r="L45" s="387">
        <v>1333098.5</v>
      </c>
      <c r="M45" s="321"/>
      <c r="N45" s="620"/>
      <c r="O45" s="193"/>
    </row>
    <row r="46" spans="1:15" ht="19.5" customHeight="1" x14ac:dyDescent="0.2">
      <c r="A46" s="154" t="s">
        <v>55</v>
      </c>
      <c r="B46" s="224"/>
      <c r="C46" s="25" t="s">
        <v>53</v>
      </c>
      <c r="D46" s="37" t="s">
        <v>43</v>
      </c>
      <c r="E46" s="236" t="s">
        <v>167</v>
      </c>
      <c r="F46" s="224" t="s">
        <v>152</v>
      </c>
      <c r="G46" s="224" t="s">
        <v>49</v>
      </c>
      <c r="H46" s="98">
        <f t="shared" ref="H46:H47" si="6">I46+J46+K46+L46+M46</f>
        <v>6000000</v>
      </c>
      <c r="I46" s="97">
        <v>972500</v>
      </c>
      <c r="J46" s="97"/>
      <c r="K46" s="97"/>
      <c r="L46" s="97">
        <v>5027500</v>
      </c>
      <c r="M46" s="316"/>
      <c r="N46" s="155"/>
      <c r="O46" s="193"/>
    </row>
    <row r="47" spans="1:15" ht="42" customHeight="1" x14ac:dyDescent="0.2">
      <c r="A47" s="153" t="s">
        <v>56</v>
      </c>
      <c r="B47" s="224"/>
      <c r="C47" s="312" t="s">
        <v>186</v>
      </c>
      <c r="D47" s="102" t="s">
        <v>43</v>
      </c>
      <c r="E47" s="186" t="s">
        <v>165</v>
      </c>
      <c r="F47" s="249" t="s">
        <v>94</v>
      </c>
      <c r="G47" s="249" t="s">
        <v>168</v>
      </c>
      <c r="H47" s="98">
        <f t="shared" si="6"/>
        <v>750000</v>
      </c>
      <c r="I47" s="454">
        <v>750000</v>
      </c>
      <c r="J47" s="454"/>
      <c r="K47" s="454"/>
      <c r="L47" s="454"/>
      <c r="M47" s="322"/>
      <c r="N47" s="251"/>
      <c r="O47" s="193"/>
    </row>
    <row r="48" spans="1:15" ht="29.25" customHeight="1" x14ac:dyDescent="0.2">
      <c r="A48" s="158" t="s">
        <v>145</v>
      </c>
      <c r="B48" s="55"/>
      <c r="C48" s="56" t="s">
        <v>144</v>
      </c>
      <c r="D48" s="54"/>
      <c r="E48" s="77"/>
      <c r="F48" s="78"/>
      <c r="G48" s="78"/>
      <c r="H48" s="75"/>
      <c r="I48" s="79"/>
      <c r="J48" s="79"/>
      <c r="K48" s="79"/>
      <c r="L48" s="79"/>
      <c r="M48" s="79"/>
      <c r="N48" s="159"/>
      <c r="O48" s="193"/>
    </row>
    <row r="49" spans="1:15" ht="44.25" customHeight="1" x14ac:dyDescent="0.2">
      <c r="A49" s="152" t="s">
        <v>57</v>
      </c>
      <c r="B49" s="308"/>
      <c r="C49" s="26" t="s">
        <v>178</v>
      </c>
      <c r="D49" s="51">
        <v>5</v>
      </c>
      <c r="E49" s="18" t="s">
        <v>159</v>
      </c>
      <c r="F49" s="249"/>
      <c r="G49" s="249"/>
      <c r="H49" s="98"/>
      <c r="I49" s="98"/>
      <c r="J49" s="98"/>
      <c r="K49" s="94"/>
      <c r="L49" s="94"/>
      <c r="M49" s="315"/>
      <c r="N49" s="395"/>
      <c r="O49" s="193"/>
    </row>
    <row r="50" spans="1:15" ht="18" customHeight="1" x14ac:dyDescent="0.2">
      <c r="A50" s="160"/>
      <c r="B50" s="27"/>
      <c r="C50" s="639" t="s">
        <v>179</v>
      </c>
      <c r="D50" s="185"/>
      <c r="E50" s="23"/>
      <c r="F50" s="249" t="s">
        <v>48</v>
      </c>
      <c r="G50" s="249" t="s">
        <v>49</v>
      </c>
      <c r="H50" s="370">
        <f>I50+J50+K50+L50+M50</f>
        <v>2043151.88</v>
      </c>
      <c r="I50" s="370">
        <v>350971.52</v>
      </c>
      <c r="J50" s="370">
        <v>1230478</v>
      </c>
      <c r="K50" s="370"/>
      <c r="L50" s="370">
        <v>161702.35999999999</v>
      </c>
      <c r="M50" s="428">
        <v>300000</v>
      </c>
      <c r="N50" s="617" t="s">
        <v>328</v>
      </c>
      <c r="O50" s="193"/>
    </row>
    <row r="51" spans="1:15" ht="20.25" customHeight="1" x14ac:dyDescent="0.2">
      <c r="A51" s="160"/>
      <c r="B51" s="27"/>
      <c r="C51" s="631"/>
      <c r="D51" s="105"/>
      <c r="E51" s="419"/>
      <c r="F51" s="110"/>
      <c r="G51" s="110"/>
      <c r="H51" s="215">
        <f>I51+J51+L51+M51</f>
        <v>1455043.6700000002</v>
      </c>
      <c r="I51" s="215">
        <v>324835.67</v>
      </c>
      <c r="J51" s="215">
        <v>657504.66</v>
      </c>
      <c r="K51" s="215"/>
      <c r="L51" s="215">
        <v>134216.32999999999</v>
      </c>
      <c r="M51" s="427">
        <v>338487.01</v>
      </c>
      <c r="N51" s="618"/>
      <c r="O51" s="193"/>
    </row>
    <row r="52" spans="1:15" ht="18" customHeight="1" x14ac:dyDescent="0.2">
      <c r="A52" s="160"/>
      <c r="B52" s="27"/>
      <c r="C52" s="639" t="s">
        <v>58</v>
      </c>
      <c r="D52" s="103"/>
      <c r="E52" s="101"/>
      <c r="F52" s="374" t="s">
        <v>93</v>
      </c>
      <c r="G52" s="374" t="s">
        <v>49</v>
      </c>
      <c r="H52" s="425">
        <f t="shared" ref="H52" si="7">I52+J52+K52+L52+M52</f>
        <v>4956848.1199999992</v>
      </c>
      <c r="I52" s="425">
        <v>1624152.68</v>
      </c>
      <c r="J52" s="425">
        <v>750123.25</v>
      </c>
      <c r="K52" s="425"/>
      <c r="L52" s="425">
        <v>1732572.19</v>
      </c>
      <c r="M52" s="426">
        <v>850000</v>
      </c>
      <c r="N52" s="418"/>
      <c r="O52" s="193"/>
    </row>
    <row r="53" spans="1:15" ht="27.75" customHeight="1" x14ac:dyDescent="0.2">
      <c r="A53" s="153"/>
      <c r="B53" s="369"/>
      <c r="C53" s="631"/>
      <c r="D53" s="105"/>
      <c r="E53" s="106"/>
      <c r="F53" s="110"/>
      <c r="G53" s="110"/>
      <c r="H53" s="215">
        <f>I53+J53+L53+M53</f>
        <v>4044956.33</v>
      </c>
      <c r="I53" s="215">
        <v>920798.33</v>
      </c>
      <c r="J53" s="215">
        <v>1323096.5900000001</v>
      </c>
      <c r="K53" s="215"/>
      <c r="L53" s="215">
        <v>989548.42</v>
      </c>
      <c r="M53" s="427">
        <v>811512.99</v>
      </c>
      <c r="N53" s="161"/>
      <c r="O53" s="193"/>
    </row>
    <row r="54" spans="1:15" ht="30.75" customHeight="1" x14ac:dyDescent="0.2">
      <c r="A54" s="152" t="s">
        <v>59</v>
      </c>
      <c r="B54" s="362"/>
      <c r="C54" s="375" t="s">
        <v>60</v>
      </c>
      <c r="D54" s="102" t="s">
        <v>43</v>
      </c>
      <c r="E54" s="362" t="s">
        <v>165</v>
      </c>
      <c r="F54" s="362" t="s">
        <v>48</v>
      </c>
      <c r="G54" s="362" t="s">
        <v>42</v>
      </c>
      <c r="H54" s="370">
        <f t="shared" ref="H54:H57" si="8">I54+J54+K54+L54+M54</f>
        <v>900000</v>
      </c>
      <c r="I54" s="221">
        <v>886974</v>
      </c>
      <c r="J54" s="100"/>
      <c r="K54" s="100"/>
      <c r="L54" s="100">
        <v>13026</v>
      </c>
      <c r="M54" s="323"/>
      <c r="N54" s="161"/>
      <c r="O54" s="193"/>
    </row>
    <row r="55" spans="1:15" ht="46.5" customHeight="1" x14ac:dyDescent="0.2">
      <c r="A55" s="153"/>
      <c r="B55" s="363"/>
      <c r="C55" s="104"/>
      <c r="D55" s="57"/>
      <c r="E55" s="363"/>
      <c r="F55" s="363"/>
      <c r="G55" s="363"/>
      <c r="H55" s="214">
        <f t="shared" ref="H55" si="9">I55+J55+K55+L55+M55</f>
        <v>1000000</v>
      </c>
      <c r="I55" s="383">
        <v>986974</v>
      </c>
      <c r="J55" s="97"/>
      <c r="K55" s="100"/>
      <c r="L55" s="100">
        <v>13026</v>
      </c>
      <c r="M55" s="323"/>
      <c r="N55" s="397" t="s">
        <v>339</v>
      </c>
      <c r="O55" s="193"/>
    </row>
    <row r="56" spans="1:15" ht="40.5" customHeight="1" x14ac:dyDescent="0.2">
      <c r="A56" s="154" t="s">
        <v>61</v>
      </c>
      <c r="B56" s="309"/>
      <c r="C56" s="104" t="s">
        <v>295</v>
      </c>
      <c r="D56" s="57" t="s">
        <v>43</v>
      </c>
      <c r="E56" s="309"/>
      <c r="F56" s="309" t="s">
        <v>42</v>
      </c>
      <c r="G56" s="309" t="s">
        <v>49</v>
      </c>
      <c r="H56" s="250">
        <f t="shared" si="8"/>
        <v>149000</v>
      </c>
      <c r="I56" s="100">
        <v>149000</v>
      </c>
      <c r="J56" s="100"/>
      <c r="K56" s="100"/>
      <c r="L56" s="100"/>
      <c r="M56" s="323"/>
      <c r="N56" s="161"/>
      <c r="O56" s="193"/>
    </row>
    <row r="57" spans="1:15" ht="40.5" customHeight="1" x14ac:dyDescent="0.2">
      <c r="A57" s="154" t="s">
        <v>233</v>
      </c>
      <c r="B57" s="309"/>
      <c r="C57" s="104" t="s">
        <v>285</v>
      </c>
      <c r="D57" s="57" t="s">
        <v>43</v>
      </c>
      <c r="E57" s="309" t="s">
        <v>165</v>
      </c>
      <c r="F57" s="309" t="s">
        <v>93</v>
      </c>
      <c r="G57" s="309" t="s">
        <v>49</v>
      </c>
      <c r="H57" s="98">
        <f t="shared" si="8"/>
        <v>1150000</v>
      </c>
      <c r="I57" s="100">
        <v>1110000</v>
      </c>
      <c r="J57" s="100"/>
      <c r="K57" s="100"/>
      <c r="L57" s="100"/>
      <c r="M57" s="323">
        <v>40000</v>
      </c>
      <c r="N57" s="161"/>
      <c r="O57" s="193"/>
    </row>
    <row r="58" spans="1:15" ht="28.5" customHeight="1" x14ac:dyDescent="0.2">
      <c r="A58" s="158" t="s">
        <v>28</v>
      </c>
      <c r="B58" s="224"/>
      <c r="C58" s="56" t="s">
        <v>146</v>
      </c>
      <c r="D58" s="54"/>
      <c r="E58" s="73"/>
      <c r="F58" s="74"/>
      <c r="G58" s="74"/>
      <c r="H58" s="75"/>
      <c r="I58" s="75"/>
      <c r="J58" s="75"/>
      <c r="K58" s="75"/>
      <c r="L58" s="75"/>
      <c r="M58" s="75"/>
      <c r="N58" s="155"/>
      <c r="O58" s="193"/>
    </row>
    <row r="59" spans="1:15" ht="19.5" customHeight="1" x14ac:dyDescent="0.2">
      <c r="A59" s="152" t="s">
        <v>62</v>
      </c>
      <c r="B59" s="362"/>
      <c r="C59" s="375" t="s">
        <v>281</v>
      </c>
      <c r="D59" s="185" t="s">
        <v>43</v>
      </c>
      <c r="E59" s="186" t="s">
        <v>161</v>
      </c>
      <c r="F59" s="362" t="s">
        <v>162</v>
      </c>
      <c r="G59" s="275" t="s">
        <v>49</v>
      </c>
      <c r="H59" s="208">
        <f>I59+J59+K59+L59+M59</f>
        <v>8550000</v>
      </c>
      <c r="I59" s="208">
        <v>4504352</v>
      </c>
      <c r="J59" s="208"/>
      <c r="K59" s="208"/>
      <c r="L59" s="208">
        <v>1486318</v>
      </c>
      <c r="M59" s="380">
        <v>2559330</v>
      </c>
      <c r="N59" s="619" t="s">
        <v>338</v>
      </c>
      <c r="O59" s="193"/>
    </row>
    <row r="60" spans="1:15" ht="33.75" customHeight="1" x14ac:dyDescent="0.2">
      <c r="A60" s="153"/>
      <c r="B60" s="363"/>
      <c r="C60" s="376"/>
      <c r="D60" s="377"/>
      <c r="E60" s="378"/>
      <c r="F60" s="379"/>
      <c r="G60" s="379" t="s">
        <v>42</v>
      </c>
      <c r="H60" s="196">
        <f>+I60+L60+M60</f>
        <v>7000000</v>
      </c>
      <c r="I60" s="381">
        <v>2537201</v>
      </c>
      <c r="J60" s="381"/>
      <c r="K60" s="381"/>
      <c r="L60" s="381">
        <v>1403419</v>
      </c>
      <c r="M60" s="382">
        <v>3059380</v>
      </c>
      <c r="N60" s="620"/>
      <c r="O60" s="193"/>
    </row>
    <row r="61" spans="1:15" ht="21" customHeight="1" x14ac:dyDescent="0.2">
      <c r="A61" s="153" t="s">
        <v>63</v>
      </c>
      <c r="B61" s="309"/>
      <c r="C61" s="108" t="s">
        <v>64</v>
      </c>
      <c r="D61" s="109" t="s">
        <v>43</v>
      </c>
      <c r="E61" s="110" t="s">
        <v>166</v>
      </c>
      <c r="F61" s="110" t="s">
        <v>162</v>
      </c>
      <c r="G61" s="110" t="s">
        <v>170</v>
      </c>
      <c r="H61" s="97">
        <f>I61+J61+K61+L61+M61</f>
        <v>1150000</v>
      </c>
      <c r="I61" s="455"/>
      <c r="J61" s="455"/>
      <c r="K61" s="455"/>
      <c r="L61" s="455">
        <v>1150000</v>
      </c>
      <c r="M61" s="318"/>
      <c r="N61" s="162"/>
      <c r="O61" s="193"/>
    </row>
    <row r="62" spans="1:15" ht="31.5" customHeight="1" x14ac:dyDescent="0.2">
      <c r="A62" s="158" t="s">
        <v>30</v>
      </c>
      <c r="B62" s="55"/>
      <c r="C62" s="58" t="s">
        <v>147</v>
      </c>
      <c r="D62" s="123"/>
      <c r="E62" s="113"/>
      <c r="F62" s="84"/>
      <c r="G62" s="84"/>
      <c r="H62" s="114"/>
      <c r="I62" s="114"/>
      <c r="J62" s="114"/>
      <c r="K62" s="114"/>
      <c r="L62" s="114"/>
      <c r="M62" s="114"/>
      <c r="N62" s="163"/>
      <c r="O62" s="193"/>
    </row>
    <row r="63" spans="1:15" ht="30" customHeight="1" x14ac:dyDescent="0.2">
      <c r="A63" s="154" t="s">
        <v>67</v>
      </c>
      <c r="B63" s="224"/>
      <c r="C63" s="29" t="s">
        <v>14</v>
      </c>
      <c r="D63" s="82">
        <v>5</v>
      </c>
      <c r="E63" s="234" t="s">
        <v>166</v>
      </c>
      <c r="F63" s="96" t="s">
        <v>162</v>
      </c>
      <c r="G63" s="96" t="s">
        <v>168</v>
      </c>
      <c r="H63" s="95">
        <f>I63+J63+K63+L63+M63</f>
        <v>2550000</v>
      </c>
      <c r="I63" s="115">
        <v>2230600</v>
      </c>
      <c r="J63" s="115"/>
      <c r="K63" s="115"/>
      <c r="L63" s="115">
        <v>319400</v>
      </c>
      <c r="M63" s="319"/>
      <c r="N63" s="164"/>
      <c r="O63" s="193"/>
    </row>
    <row r="64" spans="1:15" ht="34.5" customHeight="1" x14ac:dyDescent="0.2">
      <c r="A64" s="152" t="s">
        <v>68</v>
      </c>
      <c r="B64" s="362"/>
      <c r="C64" s="630" t="s">
        <v>66</v>
      </c>
      <c r="D64" s="205" t="s">
        <v>43</v>
      </c>
      <c r="E64" s="249" t="s">
        <v>167</v>
      </c>
      <c r="F64" s="206" t="s">
        <v>48</v>
      </c>
      <c r="G64" s="206" t="s">
        <v>49</v>
      </c>
      <c r="H64" s="276">
        <f t="shared" ref="H64:H88" si="10">I64+J64+K64+L64+M64</f>
        <v>13500000</v>
      </c>
      <c r="I64" s="386">
        <v>10231030</v>
      </c>
      <c r="J64" s="386"/>
      <c r="K64" s="276"/>
      <c r="L64" s="276">
        <v>1968970</v>
      </c>
      <c r="M64" s="380">
        <v>1300000</v>
      </c>
      <c r="N64" s="621" t="s">
        <v>337</v>
      </c>
      <c r="O64" s="193"/>
    </row>
    <row r="65" spans="1:16" ht="24" customHeight="1" x14ac:dyDescent="0.2">
      <c r="A65" s="153"/>
      <c r="B65" s="363"/>
      <c r="C65" s="631"/>
      <c r="D65" s="385"/>
      <c r="E65" s="110"/>
      <c r="F65" s="207"/>
      <c r="G65" s="207"/>
      <c r="H65" s="196">
        <f t="shared" si="10"/>
        <v>13500000</v>
      </c>
      <c r="I65" s="387">
        <v>7731030</v>
      </c>
      <c r="J65" s="387"/>
      <c r="K65" s="196"/>
      <c r="L65" s="196">
        <v>3968970</v>
      </c>
      <c r="M65" s="388">
        <v>1800000</v>
      </c>
      <c r="N65" s="620"/>
      <c r="O65" s="193"/>
    </row>
    <row r="66" spans="1:16" ht="26.25" customHeight="1" x14ac:dyDescent="0.2">
      <c r="A66" s="152" t="s">
        <v>69</v>
      </c>
      <c r="B66" s="362"/>
      <c r="C66" s="365" t="s">
        <v>187</v>
      </c>
      <c r="D66" s="205" t="s">
        <v>43</v>
      </c>
      <c r="E66" s="249" t="s">
        <v>167</v>
      </c>
      <c r="F66" s="206" t="s">
        <v>48</v>
      </c>
      <c r="G66" s="206" t="s">
        <v>42</v>
      </c>
      <c r="H66" s="276">
        <f t="shared" si="10"/>
        <v>4100000</v>
      </c>
      <c r="I66" s="390">
        <v>2930000</v>
      </c>
      <c r="J66" s="390"/>
      <c r="K66" s="391"/>
      <c r="L66" s="391">
        <v>1170000</v>
      </c>
      <c r="M66" s="115"/>
      <c r="N66" s="621" t="s">
        <v>336</v>
      </c>
      <c r="P66" s="389"/>
    </row>
    <row r="67" spans="1:16" ht="31.5" customHeight="1" x14ac:dyDescent="0.2">
      <c r="A67" s="153"/>
      <c r="B67" s="363"/>
      <c r="C67" s="384"/>
      <c r="D67" s="385"/>
      <c r="E67" s="110"/>
      <c r="F67" s="207"/>
      <c r="G67" s="207"/>
      <c r="H67" s="214">
        <f>+I67+L67</f>
        <v>4550000</v>
      </c>
      <c r="I67" s="279">
        <v>3588191</v>
      </c>
      <c r="J67" s="279"/>
      <c r="K67" s="279"/>
      <c r="L67" s="279">
        <v>961809</v>
      </c>
      <c r="M67" s="324"/>
      <c r="N67" s="620"/>
      <c r="P67" s="389"/>
    </row>
    <row r="68" spans="1:16" ht="95.25" customHeight="1" x14ac:dyDescent="0.2">
      <c r="A68" s="353" t="s">
        <v>321</v>
      </c>
      <c r="B68" s="396"/>
      <c r="C68" s="398" t="s">
        <v>323</v>
      </c>
      <c r="D68" s="278" t="s">
        <v>43</v>
      </c>
      <c r="E68" s="224" t="s">
        <v>164</v>
      </c>
      <c r="F68" s="400" t="s">
        <v>42</v>
      </c>
      <c r="G68" s="400" t="s">
        <v>163</v>
      </c>
      <c r="H68" s="214">
        <f>I68+J68+K68+L68+M68</f>
        <v>1982000</v>
      </c>
      <c r="I68" s="279">
        <v>1982000</v>
      </c>
      <c r="J68" s="115"/>
      <c r="K68" s="115"/>
      <c r="L68" s="115"/>
      <c r="M68" s="319"/>
      <c r="N68" s="220" t="s">
        <v>335</v>
      </c>
    </row>
    <row r="69" spans="1:16" ht="71.25" customHeight="1" x14ac:dyDescent="0.2">
      <c r="A69" s="353" t="s">
        <v>322</v>
      </c>
      <c r="B69" s="396"/>
      <c r="C69" s="399" t="s">
        <v>324</v>
      </c>
      <c r="D69" s="278" t="s">
        <v>43</v>
      </c>
      <c r="E69" s="224" t="s">
        <v>164</v>
      </c>
      <c r="F69" s="400" t="s">
        <v>42</v>
      </c>
      <c r="G69" s="400" t="s">
        <v>170</v>
      </c>
      <c r="H69" s="214">
        <f t="shared" ref="H69" si="11">I69+J69+K69+L69+M69</f>
        <v>2615000</v>
      </c>
      <c r="I69" s="279">
        <v>2615000</v>
      </c>
      <c r="J69" s="115"/>
      <c r="K69" s="115"/>
      <c r="L69" s="115"/>
      <c r="M69" s="319"/>
      <c r="N69" s="220" t="s">
        <v>334</v>
      </c>
    </row>
    <row r="70" spans="1:16" ht="26.25" customHeight="1" x14ac:dyDescent="0.2">
      <c r="A70" s="156" t="s">
        <v>84</v>
      </c>
      <c r="B70" s="55"/>
      <c r="C70" s="58" t="s">
        <v>188</v>
      </c>
      <c r="D70" s="123"/>
      <c r="E70" s="116"/>
      <c r="F70" s="117"/>
      <c r="G70" s="117"/>
      <c r="H70" s="95"/>
      <c r="I70" s="118"/>
      <c r="J70" s="118"/>
      <c r="K70" s="118"/>
      <c r="L70" s="118"/>
      <c r="M70" s="118"/>
      <c r="N70" s="165"/>
    </row>
    <row r="71" spans="1:16" ht="42.75" customHeight="1" x14ac:dyDescent="0.2">
      <c r="A71" s="154" t="s">
        <v>71</v>
      </c>
      <c r="B71" s="224"/>
      <c r="C71" s="222" t="s">
        <v>296</v>
      </c>
      <c r="D71" s="82" t="s">
        <v>43</v>
      </c>
      <c r="E71" s="224" t="s">
        <v>164</v>
      </c>
      <c r="F71" s="96" t="s">
        <v>93</v>
      </c>
      <c r="G71" s="96" t="s">
        <v>170</v>
      </c>
      <c r="H71" s="95">
        <f t="shared" si="10"/>
        <v>830000</v>
      </c>
      <c r="I71" s="115">
        <v>830000</v>
      </c>
      <c r="J71" s="115"/>
      <c r="K71" s="115"/>
      <c r="L71" s="115"/>
      <c r="M71" s="319"/>
      <c r="N71" s="164"/>
    </row>
    <row r="72" spans="1:16" ht="41.25" customHeight="1" x14ac:dyDescent="0.2">
      <c r="A72" s="154" t="s">
        <v>234</v>
      </c>
      <c r="B72" s="224"/>
      <c r="C72" s="29" t="s">
        <v>70</v>
      </c>
      <c r="D72" s="82" t="s">
        <v>43</v>
      </c>
      <c r="E72" s="224" t="s">
        <v>164</v>
      </c>
      <c r="F72" s="96" t="s">
        <v>94</v>
      </c>
      <c r="G72" s="96" t="s">
        <v>163</v>
      </c>
      <c r="H72" s="95">
        <f t="shared" si="10"/>
        <v>750000</v>
      </c>
      <c r="I72" s="115">
        <v>619671</v>
      </c>
      <c r="J72" s="115"/>
      <c r="K72" s="115"/>
      <c r="L72" s="115"/>
      <c r="M72" s="319">
        <v>130329</v>
      </c>
      <c r="N72" s="164"/>
    </row>
    <row r="73" spans="1:16" ht="26.25" customHeight="1" x14ac:dyDescent="0.2">
      <c r="A73" s="156" t="s">
        <v>236</v>
      </c>
      <c r="B73" s="55"/>
      <c r="C73" s="58" t="s">
        <v>235</v>
      </c>
      <c r="D73" s="123"/>
      <c r="E73" s="116"/>
      <c r="F73" s="117"/>
      <c r="G73" s="117"/>
      <c r="H73" s="95"/>
      <c r="I73" s="118"/>
      <c r="J73" s="118"/>
      <c r="K73" s="118"/>
      <c r="L73" s="118"/>
      <c r="M73" s="118"/>
      <c r="N73" s="165"/>
    </row>
    <row r="74" spans="1:16" ht="47.25" customHeight="1" x14ac:dyDescent="0.2">
      <c r="A74" s="233" t="s">
        <v>237</v>
      </c>
      <c r="B74" s="55"/>
      <c r="C74" s="222" t="s">
        <v>238</v>
      </c>
      <c r="D74" s="82" t="s">
        <v>77</v>
      </c>
      <c r="E74" s="69" t="s">
        <v>257</v>
      </c>
      <c r="F74" s="227" t="s">
        <v>94</v>
      </c>
      <c r="G74" s="227" t="s">
        <v>49</v>
      </c>
      <c r="H74" s="95">
        <f t="shared" si="10"/>
        <v>1063539</v>
      </c>
      <c r="I74" s="115">
        <v>1063539</v>
      </c>
      <c r="J74" s="115"/>
      <c r="K74" s="115"/>
      <c r="L74" s="115"/>
      <c r="M74" s="319"/>
      <c r="N74" s="164"/>
    </row>
    <row r="75" spans="1:16" ht="47.25" customHeight="1" x14ac:dyDescent="0.2">
      <c r="A75" s="158" t="s">
        <v>72</v>
      </c>
      <c r="B75" s="224"/>
      <c r="C75" s="222" t="s">
        <v>263</v>
      </c>
      <c r="D75" s="223" t="s">
        <v>43</v>
      </c>
      <c r="E75" s="234" t="s">
        <v>158</v>
      </c>
      <c r="F75" s="96" t="s">
        <v>94</v>
      </c>
      <c r="G75" s="96" t="s">
        <v>49</v>
      </c>
      <c r="H75" s="95">
        <f t="shared" si="10"/>
        <v>1163000</v>
      </c>
      <c r="I75" s="115">
        <v>1163000</v>
      </c>
      <c r="J75" s="115"/>
      <c r="K75" s="115"/>
      <c r="L75" s="115"/>
      <c r="M75" s="319"/>
      <c r="N75" s="164"/>
    </row>
    <row r="76" spans="1:16" ht="30" customHeight="1" x14ac:dyDescent="0.2">
      <c r="A76" s="158" t="s">
        <v>74</v>
      </c>
      <c r="B76" s="224"/>
      <c r="C76" s="29" t="s">
        <v>73</v>
      </c>
      <c r="D76" s="82" t="s">
        <v>43</v>
      </c>
      <c r="E76" s="65" t="s">
        <v>157</v>
      </c>
      <c r="F76" s="96" t="s">
        <v>93</v>
      </c>
      <c r="G76" s="96" t="s">
        <v>42</v>
      </c>
      <c r="H76" s="95">
        <f t="shared" si="10"/>
        <v>5017100</v>
      </c>
      <c r="I76" s="252">
        <v>752600</v>
      </c>
      <c r="J76" s="115">
        <v>4264500</v>
      </c>
      <c r="K76" s="115"/>
      <c r="L76" s="115"/>
      <c r="M76" s="319"/>
      <c r="N76" s="164"/>
    </row>
    <row r="77" spans="1:16" ht="30" customHeight="1" x14ac:dyDescent="0.2">
      <c r="A77" s="158" t="s">
        <v>127</v>
      </c>
      <c r="B77" s="224"/>
      <c r="C77" s="59" t="s">
        <v>148</v>
      </c>
      <c r="D77" s="83"/>
      <c r="E77" s="84"/>
      <c r="F77" s="85"/>
      <c r="G77" s="85"/>
      <c r="H77" s="95"/>
      <c r="I77" s="86"/>
      <c r="J77" s="86"/>
      <c r="K77" s="86"/>
      <c r="L77" s="86"/>
      <c r="M77" s="86"/>
      <c r="N77" s="210"/>
    </row>
    <row r="78" spans="1:16" ht="41.25" customHeight="1" x14ac:dyDescent="0.2">
      <c r="A78" s="154" t="s">
        <v>75</v>
      </c>
      <c r="B78" s="224"/>
      <c r="C78" s="222" t="s">
        <v>292</v>
      </c>
      <c r="D78" s="223" t="s">
        <v>77</v>
      </c>
      <c r="E78" s="65" t="s">
        <v>153</v>
      </c>
      <c r="F78" s="96" t="s">
        <v>94</v>
      </c>
      <c r="G78" s="234" t="s">
        <v>93</v>
      </c>
      <c r="H78" s="95">
        <f t="shared" si="10"/>
        <v>290969.42</v>
      </c>
      <c r="I78" s="115">
        <v>290969.42</v>
      </c>
      <c r="J78" s="115"/>
      <c r="K78" s="115"/>
      <c r="L78" s="115"/>
      <c r="M78" s="319"/>
      <c r="N78" s="164"/>
    </row>
    <row r="79" spans="1:16" ht="41.25" customHeight="1" x14ac:dyDescent="0.2">
      <c r="A79" s="154" t="s">
        <v>76</v>
      </c>
      <c r="B79" s="224"/>
      <c r="C79" s="29" t="s">
        <v>260</v>
      </c>
      <c r="D79" s="82" t="s">
        <v>77</v>
      </c>
      <c r="E79" s="234"/>
      <c r="F79" s="96" t="s">
        <v>152</v>
      </c>
      <c r="G79" s="234" t="s">
        <v>49</v>
      </c>
      <c r="H79" s="95">
        <f t="shared" si="10"/>
        <v>662700</v>
      </c>
      <c r="I79" s="115">
        <v>436900</v>
      </c>
      <c r="J79" s="115"/>
      <c r="K79" s="115"/>
      <c r="L79" s="115">
        <v>225800</v>
      </c>
      <c r="M79" s="319"/>
      <c r="N79" s="164"/>
    </row>
    <row r="80" spans="1:16" ht="33.75" customHeight="1" x14ac:dyDescent="0.2">
      <c r="A80" s="244" t="s">
        <v>78</v>
      </c>
      <c r="B80" s="234"/>
      <c r="C80" s="29" t="s">
        <v>297</v>
      </c>
      <c r="D80" s="82" t="s">
        <v>298</v>
      </c>
      <c r="E80" s="30"/>
      <c r="F80" s="96" t="s">
        <v>48</v>
      </c>
      <c r="G80" s="96" t="s">
        <v>49</v>
      </c>
      <c r="H80" s="95">
        <f t="shared" si="10"/>
        <v>375200</v>
      </c>
      <c r="I80" s="115">
        <v>375200</v>
      </c>
      <c r="J80" s="115"/>
      <c r="K80" s="115"/>
      <c r="L80" s="115"/>
      <c r="M80" s="319"/>
      <c r="N80" s="164"/>
    </row>
    <row r="81" spans="1:15" ht="42" customHeight="1" x14ac:dyDescent="0.2">
      <c r="A81" s="158" t="s">
        <v>15</v>
      </c>
      <c r="B81" s="224"/>
      <c r="C81" s="59" t="s">
        <v>239</v>
      </c>
      <c r="D81" s="83"/>
      <c r="E81" s="84"/>
      <c r="F81" s="85"/>
      <c r="G81" s="85"/>
      <c r="H81" s="95"/>
      <c r="I81" s="86"/>
      <c r="J81" s="86"/>
      <c r="K81" s="86"/>
      <c r="L81" s="86"/>
      <c r="M81" s="86"/>
      <c r="N81" s="210"/>
    </row>
    <row r="82" spans="1:15" s="46" customFormat="1" ht="54.75" customHeight="1" x14ac:dyDescent="0.2">
      <c r="A82" s="154" t="s">
        <v>240</v>
      </c>
      <c r="B82" s="224"/>
      <c r="C82" s="222" t="s">
        <v>189</v>
      </c>
      <c r="D82" s="223" t="s">
        <v>43</v>
      </c>
      <c r="E82" s="306" t="s">
        <v>169</v>
      </c>
      <c r="F82" s="227" t="s">
        <v>48</v>
      </c>
      <c r="G82" s="227" t="s">
        <v>49</v>
      </c>
      <c r="H82" s="95">
        <f t="shared" si="10"/>
        <v>1498140</v>
      </c>
      <c r="I82" s="203">
        <v>628000</v>
      </c>
      <c r="J82" s="203">
        <v>870140</v>
      </c>
      <c r="K82" s="203"/>
      <c r="L82" s="115"/>
      <c r="M82" s="319"/>
      <c r="N82" s="164"/>
    </row>
    <row r="83" spans="1:15" ht="37.5" customHeight="1" x14ac:dyDescent="0.2">
      <c r="A83" s="154" t="s">
        <v>241</v>
      </c>
      <c r="B83" s="224"/>
      <c r="C83" s="222" t="s">
        <v>242</v>
      </c>
      <c r="D83" s="223" t="s">
        <v>43</v>
      </c>
      <c r="E83" s="232" t="s">
        <v>157</v>
      </c>
      <c r="F83" s="96" t="s">
        <v>94</v>
      </c>
      <c r="G83" s="96" t="s">
        <v>163</v>
      </c>
      <c r="H83" s="95">
        <f t="shared" si="10"/>
        <v>675700</v>
      </c>
      <c r="I83" s="115">
        <v>67570</v>
      </c>
      <c r="J83" s="115">
        <v>608130</v>
      </c>
      <c r="K83" s="115"/>
      <c r="L83" s="115"/>
      <c r="M83" s="319"/>
      <c r="N83" s="164"/>
    </row>
    <row r="84" spans="1:15" ht="37.5" customHeight="1" x14ac:dyDescent="0.2">
      <c r="A84" s="154" t="s">
        <v>243</v>
      </c>
      <c r="B84" s="224"/>
      <c r="C84" s="222" t="s">
        <v>244</v>
      </c>
      <c r="D84" s="223" t="s">
        <v>43</v>
      </c>
      <c r="E84" s="30" t="s">
        <v>157</v>
      </c>
      <c r="F84" s="96" t="s">
        <v>94</v>
      </c>
      <c r="G84" s="96" t="s">
        <v>93</v>
      </c>
      <c r="H84" s="95">
        <f t="shared" si="10"/>
        <v>120500</v>
      </c>
      <c r="I84" s="115">
        <v>18075</v>
      </c>
      <c r="J84" s="115">
        <v>102425</v>
      </c>
      <c r="K84" s="115"/>
      <c r="L84" s="115"/>
      <c r="M84" s="319"/>
      <c r="N84" s="164"/>
    </row>
    <row r="85" spans="1:15" ht="24.75" customHeight="1" x14ac:dyDescent="0.2">
      <c r="A85" s="152" t="s">
        <v>245</v>
      </c>
      <c r="B85" s="442"/>
      <c r="C85" s="444" t="s">
        <v>277</v>
      </c>
      <c r="D85" s="205">
        <v>5</v>
      </c>
      <c r="E85" s="446"/>
      <c r="F85" s="206" t="s">
        <v>42</v>
      </c>
      <c r="G85" s="206" t="s">
        <v>168</v>
      </c>
      <c r="H85" s="208">
        <f>I85+J85+K85+L85+M85</f>
        <v>2448140.7000000002</v>
      </c>
      <c r="I85" s="209">
        <v>319322.7</v>
      </c>
      <c r="J85" s="209">
        <v>2128818</v>
      </c>
      <c r="K85" s="115"/>
      <c r="L85" s="115"/>
      <c r="M85" s="319"/>
      <c r="N85" s="621" t="s">
        <v>346</v>
      </c>
    </row>
    <row r="86" spans="1:15" ht="23.25" customHeight="1" x14ac:dyDescent="0.2">
      <c r="A86" s="153"/>
      <c r="B86" s="443"/>
      <c r="C86" s="108"/>
      <c r="D86" s="385"/>
      <c r="E86" s="445"/>
      <c r="F86" s="207"/>
      <c r="G86" s="207"/>
      <c r="H86" s="214">
        <f>I86+J86</f>
        <v>2608491.7599999998</v>
      </c>
      <c r="I86" s="279">
        <v>479673.76</v>
      </c>
      <c r="J86" s="279">
        <v>2128818</v>
      </c>
      <c r="K86" s="115"/>
      <c r="L86" s="115"/>
      <c r="M86" s="319"/>
      <c r="N86" s="620"/>
      <c r="O86" s="449"/>
    </row>
    <row r="87" spans="1:15" ht="39" customHeight="1" x14ac:dyDescent="0.2">
      <c r="A87" s="154" t="s">
        <v>246</v>
      </c>
      <c r="B87" s="224"/>
      <c r="C87" s="29" t="s">
        <v>286</v>
      </c>
      <c r="D87" s="82" t="s">
        <v>77</v>
      </c>
      <c r="E87" s="30" t="s">
        <v>257</v>
      </c>
      <c r="F87" s="96" t="s">
        <v>149</v>
      </c>
      <c r="G87" s="96" t="s">
        <v>42</v>
      </c>
      <c r="H87" s="95">
        <f t="shared" si="10"/>
        <v>299705.67</v>
      </c>
      <c r="I87" s="115">
        <v>299705.67</v>
      </c>
      <c r="J87" s="115"/>
      <c r="K87" s="115"/>
      <c r="L87" s="115"/>
      <c r="M87" s="319"/>
      <c r="N87" s="164"/>
    </row>
    <row r="88" spans="1:15" ht="37.5" customHeight="1" x14ac:dyDescent="0.2">
      <c r="A88" s="244" t="s">
        <v>32</v>
      </c>
      <c r="B88" s="234"/>
      <c r="C88" s="29" t="s">
        <v>79</v>
      </c>
      <c r="D88" s="82" t="s">
        <v>43</v>
      </c>
      <c r="E88" s="30"/>
      <c r="F88" s="96" t="s">
        <v>94</v>
      </c>
      <c r="G88" s="96" t="s">
        <v>42</v>
      </c>
      <c r="H88" s="95">
        <f t="shared" si="10"/>
        <v>300000</v>
      </c>
      <c r="I88" s="115">
        <v>300000</v>
      </c>
      <c r="J88" s="279"/>
      <c r="K88" s="115"/>
      <c r="L88" s="115"/>
      <c r="M88" s="319"/>
      <c r="N88" s="164"/>
    </row>
    <row r="89" spans="1:15" ht="15" customHeight="1" x14ac:dyDescent="0.2">
      <c r="A89" s="150"/>
      <c r="B89" s="135"/>
      <c r="C89" s="135"/>
      <c r="D89" s="135"/>
      <c r="E89" s="135"/>
      <c r="F89" s="135"/>
      <c r="G89" s="136" t="s">
        <v>25</v>
      </c>
      <c r="H89" s="137">
        <f>SUM(H37:H88)-H54-H59-H64-H66-H44-H50-H52-H85</f>
        <v>84818959.530000016</v>
      </c>
      <c r="I89" s="137">
        <f t="shared" ref="I89:M89" si="12">SUM(I37:I88)-I54-I59-I64-I66-I44-I50-I52-I85</f>
        <v>45012124.620000005</v>
      </c>
      <c r="J89" s="137">
        <f t="shared" si="12"/>
        <v>16857862.25</v>
      </c>
      <c r="K89" s="137">
        <f t="shared" si="12"/>
        <v>453979.41</v>
      </c>
      <c r="L89" s="137">
        <f t="shared" si="12"/>
        <v>16015284.250000002</v>
      </c>
      <c r="M89" s="137">
        <f t="shared" si="12"/>
        <v>6479709</v>
      </c>
      <c r="N89" s="147"/>
    </row>
    <row r="90" spans="1:15" ht="17.25" customHeight="1" x14ac:dyDescent="0.2">
      <c r="A90" s="166" t="s">
        <v>134</v>
      </c>
      <c r="B90" s="119"/>
      <c r="C90" s="45"/>
      <c r="D90" s="124"/>
      <c r="E90" s="45"/>
      <c r="F90" s="45"/>
      <c r="G90" s="45"/>
      <c r="H90" s="45"/>
      <c r="I90" s="45"/>
      <c r="J90" s="45"/>
      <c r="K90" s="45"/>
      <c r="L90" s="45"/>
      <c r="M90" s="45"/>
      <c r="N90" s="338"/>
    </row>
    <row r="91" spans="1:15" s="46" customFormat="1" ht="45.75" customHeight="1" x14ac:dyDescent="0.2">
      <c r="A91" s="167" t="s">
        <v>138</v>
      </c>
      <c r="B91" s="47"/>
      <c r="C91" s="49" t="s">
        <v>139</v>
      </c>
      <c r="D91" s="125"/>
      <c r="E91" s="48"/>
      <c r="F91" s="48"/>
      <c r="G91" s="48"/>
      <c r="H91" s="48"/>
      <c r="I91" s="48"/>
      <c r="J91" s="48"/>
      <c r="K91" s="48"/>
      <c r="L91" s="48"/>
      <c r="M91" s="325"/>
      <c r="N91" s="168"/>
    </row>
    <row r="92" spans="1:15" ht="36.75" customHeight="1" x14ac:dyDescent="0.2">
      <c r="A92" s="307" t="s">
        <v>47</v>
      </c>
      <c r="B92" s="229" t="s">
        <v>172</v>
      </c>
      <c r="C92" s="225" t="s">
        <v>81</v>
      </c>
      <c r="D92" s="55" t="s">
        <v>77</v>
      </c>
      <c r="E92" s="224" t="s">
        <v>153</v>
      </c>
      <c r="F92" s="224" t="s">
        <v>94</v>
      </c>
      <c r="G92" s="224" t="s">
        <v>93</v>
      </c>
      <c r="H92" s="97">
        <f>I92+J92+K92+L92+M92</f>
        <v>540442</v>
      </c>
      <c r="I92" s="97">
        <f>24442+500000</f>
        <v>524442</v>
      </c>
      <c r="J92" s="97"/>
      <c r="K92" s="97"/>
      <c r="L92" s="97"/>
      <c r="M92" s="316">
        <v>16000</v>
      </c>
      <c r="N92" s="155"/>
      <c r="O92" s="46"/>
    </row>
    <row r="93" spans="1:15" ht="30.75" customHeight="1" x14ac:dyDescent="0.2">
      <c r="A93" s="307" t="s">
        <v>52</v>
      </c>
      <c r="B93" s="33"/>
      <c r="C93" s="32" t="s">
        <v>82</v>
      </c>
      <c r="D93" s="103" t="s">
        <v>77</v>
      </c>
      <c r="E93" s="27" t="s">
        <v>153</v>
      </c>
      <c r="F93" s="253" t="s">
        <v>94</v>
      </c>
      <c r="G93" s="253" t="s">
        <v>42</v>
      </c>
      <c r="H93" s="97">
        <f t="shared" ref="H93:H100" si="13">I93+J93+K93+L93+M93</f>
        <v>419000</v>
      </c>
      <c r="I93" s="254">
        <f>29000+390000</f>
        <v>419000</v>
      </c>
      <c r="J93" s="254"/>
      <c r="K93" s="254"/>
      <c r="L93" s="254"/>
      <c r="M93" s="317"/>
      <c r="N93" s="191"/>
      <c r="O93" s="46"/>
    </row>
    <row r="94" spans="1:15" ht="25.5" customHeight="1" x14ac:dyDescent="0.2">
      <c r="A94" s="307" t="s">
        <v>247</v>
      </c>
      <c r="B94" s="139"/>
      <c r="C94" s="31" t="s">
        <v>80</v>
      </c>
      <c r="D94" s="67" t="s">
        <v>77</v>
      </c>
      <c r="E94" s="68" t="s">
        <v>153</v>
      </c>
      <c r="F94" s="224" t="s">
        <v>93</v>
      </c>
      <c r="G94" s="224" t="s">
        <v>42</v>
      </c>
      <c r="H94" s="97">
        <f t="shared" si="13"/>
        <v>300000</v>
      </c>
      <c r="I94" s="97">
        <v>300000</v>
      </c>
      <c r="J94" s="97"/>
      <c r="K94" s="97"/>
      <c r="L94" s="97"/>
      <c r="M94" s="316"/>
      <c r="N94" s="155"/>
      <c r="O94" s="46"/>
    </row>
    <row r="95" spans="1:15" ht="23.25" customHeight="1" x14ac:dyDescent="0.2">
      <c r="A95" s="307" t="s">
        <v>248</v>
      </c>
      <c r="B95" s="70" t="s">
        <v>155</v>
      </c>
      <c r="C95" s="654" t="s">
        <v>83</v>
      </c>
      <c r="D95" s="413" t="s">
        <v>77</v>
      </c>
      <c r="E95" s="68" t="s">
        <v>153</v>
      </c>
      <c r="F95" s="403" t="s">
        <v>94</v>
      </c>
      <c r="G95" s="403" t="s">
        <v>93</v>
      </c>
      <c r="H95" s="208">
        <f>I95+J95+K95+L95+M95</f>
        <v>179767.05</v>
      </c>
      <c r="I95" s="209">
        <f>4967.05+174800</f>
        <v>179767.05</v>
      </c>
      <c r="J95" s="203"/>
      <c r="K95" s="203"/>
      <c r="L95" s="203"/>
      <c r="M95" s="258"/>
      <c r="N95" s="619" t="s">
        <v>341</v>
      </c>
      <c r="O95" s="46"/>
    </row>
    <row r="96" spans="1:15" ht="35.25" customHeight="1" x14ac:dyDescent="0.2">
      <c r="A96" s="401"/>
      <c r="B96" s="229"/>
      <c r="C96" s="641"/>
      <c r="D96" s="105"/>
      <c r="E96" s="255"/>
      <c r="F96" s="27"/>
      <c r="G96" s="255"/>
      <c r="H96" s="214">
        <f t="shared" ref="H96" si="14">I96+J96+K96+L96+M96</f>
        <v>449967.05</v>
      </c>
      <c r="I96" s="279">
        <f>4967.05+174800+270200</f>
        <v>449967.05</v>
      </c>
      <c r="J96" s="250"/>
      <c r="K96" s="250"/>
      <c r="L96" s="256"/>
      <c r="M96" s="323"/>
      <c r="N96" s="620"/>
      <c r="O96" s="46"/>
    </row>
    <row r="97" spans="1:15" ht="21.75" customHeight="1" x14ac:dyDescent="0.2">
      <c r="A97" s="307" t="s">
        <v>249</v>
      </c>
      <c r="B97" s="277"/>
      <c r="C97" s="240" t="s">
        <v>306</v>
      </c>
      <c r="D97" s="231" t="s">
        <v>77</v>
      </c>
      <c r="E97" s="227" t="s">
        <v>153</v>
      </c>
      <c r="F97" s="227" t="s">
        <v>94</v>
      </c>
      <c r="G97" s="227" t="s">
        <v>42</v>
      </c>
      <c r="H97" s="97">
        <f t="shared" si="13"/>
        <v>1270400</v>
      </c>
      <c r="I97" s="115">
        <v>1270400</v>
      </c>
      <c r="J97" s="203"/>
      <c r="K97" s="203"/>
      <c r="L97" s="203"/>
      <c r="M97" s="258"/>
      <c r="N97" s="187"/>
      <c r="O97" s="46"/>
    </row>
    <row r="98" spans="1:15" ht="43.5" customHeight="1" x14ac:dyDescent="0.2">
      <c r="A98" s="367" t="s">
        <v>250</v>
      </c>
      <c r="B98" s="139"/>
      <c r="C98" s="366" t="s">
        <v>265</v>
      </c>
      <c r="D98" s="185" t="s">
        <v>43</v>
      </c>
      <c r="E98" s="411" t="s">
        <v>166</v>
      </c>
      <c r="F98" s="368" t="s">
        <v>264</v>
      </c>
      <c r="G98" s="412" t="s">
        <v>93</v>
      </c>
      <c r="H98" s="97">
        <f t="shared" si="13"/>
        <v>1100000</v>
      </c>
      <c r="I98" s="75">
        <v>613470</v>
      </c>
      <c r="J98" s="97"/>
      <c r="K98" s="97"/>
      <c r="L98" s="75">
        <v>486530</v>
      </c>
      <c r="M98" s="316"/>
      <c r="N98" s="155"/>
      <c r="O98" s="46"/>
    </row>
    <row r="99" spans="1:15" ht="42" customHeight="1" x14ac:dyDescent="0.2">
      <c r="A99" s="148" t="s">
        <v>57</v>
      </c>
      <c r="B99" s="72"/>
      <c r="C99" s="225" t="s">
        <v>150</v>
      </c>
      <c r="D99" s="71" t="s">
        <v>77</v>
      </c>
      <c r="E99" s="237" t="s">
        <v>252</v>
      </c>
      <c r="F99" s="227" t="s">
        <v>48</v>
      </c>
      <c r="G99" s="257" t="s">
        <v>42</v>
      </c>
      <c r="H99" s="97">
        <f t="shared" si="13"/>
        <v>1592920</v>
      </c>
      <c r="I99" s="258">
        <v>1490920</v>
      </c>
      <c r="J99" s="203"/>
      <c r="K99" s="203">
        <v>38200</v>
      </c>
      <c r="L99" s="259"/>
      <c r="M99" s="258">
        <v>63800</v>
      </c>
      <c r="N99" s="187"/>
      <c r="O99" s="46"/>
    </row>
    <row r="100" spans="1:15" ht="33.75" customHeight="1" x14ac:dyDescent="0.2">
      <c r="A100" s="297" t="s">
        <v>65</v>
      </c>
      <c r="B100" s="280"/>
      <c r="C100" s="225" t="s">
        <v>299</v>
      </c>
      <c r="D100" s="293" t="s">
        <v>77</v>
      </c>
      <c r="E100" s="234"/>
      <c r="F100" s="96" t="s">
        <v>94</v>
      </c>
      <c r="G100" s="96" t="s">
        <v>42</v>
      </c>
      <c r="H100" s="97">
        <f t="shared" si="13"/>
        <v>269250</v>
      </c>
      <c r="I100" s="115">
        <v>269250</v>
      </c>
      <c r="J100" s="203"/>
      <c r="K100" s="203"/>
      <c r="L100" s="203"/>
      <c r="M100" s="258"/>
      <c r="N100" s="187"/>
      <c r="O100" s="46"/>
    </row>
    <row r="101" spans="1:15" ht="42" customHeight="1" x14ac:dyDescent="0.2">
      <c r="A101" s="167" t="s">
        <v>85</v>
      </c>
      <c r="B101" s="47"/>
      <c r="C101" s="87" t="s">
        <v>140</v>
      </c>
      <c r="D101" s="126"/>
      <c r="E101" s="88"/>
      <c r="F101" s="89"/>
      <c r="G101" s="89"/>
      <c r="H101" s="75"/>
      <c r="I101" s="90"/>
      <c r="J101" s="90"/>
      <c r="K101" s="90"/>
      <c r="L101" s="90"/>
      <c r="M101" s="339"/>
      <c r="N101" s="169"/>
    </row>
    <row r="102" spans="1:15" ht="27.75" customHeight="1" x14ac:dyDescent="0.2">
      <c r="A102" s="188" t="s">
        <v>87</v>
      </c>
      <c r="B102" s="190"/>
      <c r="C102" s="654" t="s">
        <v>205</v>
      </c>
      <c r="D102" s="189" t="s">
        <v>43</v>
      </c>
      <c r="E102" s="190" t="s">
        <v>251</v>
      </c>
      <c r="F102" s="206" t="s">
        <v>94</v>
      </c>
      <c r="G102" s="206" t="s">
        <v>49</v>
      </c>
      <c r="H102" s="370">
        <f>I102+J102+K102+L102+M102</f>
        <v>3467795</v>
      </c>
      <c r="I102" s="209">
        <v>2128302.5</v>
      </c>
      <c r="J102" s="209">
        <v>1230885</v>
      </c>
      <c r="K102" s="209">
        <v>108607.5</v>
      </c>
      <c r="L102" s="115"/>
      <c r="M102" s="319"/>
      <c r="N102" s="621" t="s">
        <v>342</v>
      </c>
    </row>
    <row r="103" spans="1:15" ht="24" customHeight="1" x14ac:dyDescent="0.2">
      <c r="A103" s="430"/>
      <c r="B103" s="431"/>
      <c r="C103" s="641"/>
      <c r="D103" s="433"/>
      <c r="E103" s="183"/>
      <c r="F103" s="415"/>
      <c r="G103" s="415"/>
      <c r="H103" s="219">
        <v>3476265</v>
      </c>
      <c r="I103" s="432">
        <v>2136772.5</v>
      </c>
      <c r="J103" s="279">
        <v>1230885</v>
      </c>
      <c r="K103" s="279">
        <v>108607.5</v>
      </c>
      <c r="L103" s="115"/>
      <c r="M103" s="319"/>
      <c r="N103" s="671"/>
    </row>
    <row r="104" spans="1:15" ht="40.5" customHeight="1" x14ac:dyDescent="0.2">
      <c r="A104" s="341" t="s">
        <v>88</v>
      </c>
      <c r="B104" s="403"/>
      <c r="C104" s="366" t="s">
        <v>206</v>
      </c>
      <c r="D104" s="342" t="s">
        <v>43</v>
      </c>
      <c r="E104" s="227" t="s">
        <v>251</v>
      </c>
      <c r="F104" s="206" t="s">
        <v>48</v>
      </c>
      <c r="G104" s="206" t="s">
        <v>49</v>
      </c>
      <c r="H104" s="208">
        <f t="shared" ref="H104:H117" si="15">I104+J104+K104+L104+M104</f>
        <v>4688397</v>
      </c>
      <c r="I104" s="209">
        <v>898421.7</v>
      </c>
      <c r="J104" s="209">
        <v>3482680</v>
      </c>
      <c r="K104" s="209">
        <v>307295.3</v>
      </c>
      <c r="L104" s="115"/>
      <c r="M104" s="319"/>
      <c r="N104" s="621" t="s">
        <v>333</v>
      </c>
    </row>
    <row r="105" spans="1:15" ht="100.5" customHeight="1" x14ac:dyDescent="0.2">
      <c r="A105" s="416"/>
      <c r="B105" s="248"/>
      <c r="C105" s="32"/>
      <c r="D105" s="417"/>
      <c r="E105" s="403"/>
      <c r="F105" s="415"/>
      <c r="G105" s="415"/>
      <c r="H105" s="215">
        <f>I105+J105+K105</f>
        <v>6158049.9500000002</v>
      </c>
      <c r="I105" s="279">
        <v>2368074.65</v>
      </c>
      <c r="J105" s="279">
        <v>3482680</v>
      </c>
      <c r="K105" s="279">
        <v>307295.3</v>
      </c>
      <c r="L105" s="182"/>
      <c r="M105" s="414"/>
      <c r="N105" s="620"/>
    </row>
    <row r="106" spans="1:15" ht="30" customHeight="1" x14ac:dyDescent="0.2">
      <c r="A106" s="341" t="s">
        <v>89</v>
      </c>
      <c r="B106" s="227"/>
      <c r="C106" s="654" t="s">
        <v>207</v>
      </c>
      <c r="D106" s="342" t="s">
        <v>43</v>
      </c>
      <c r="E106" s="313" t="s">
        <v>160</v>
      </c>
      <c r="F106" s="206" t="s">
        <v>94</v>
      </c>
      <c r="G106" s="206" t="s">
        <v>49</v>
      </c>
      <c r="H106" s="201">
        <f>I106+J106+K106+L106+M106</f>
        <v>2003953.32</v>
      </c>
      <c r="I106" s="438">
        <v>658965.23</v>
      </c>
      <c r="J106" s="182">
        <v>1235935</v>
      </c>
      <c r="K106" s="182">
        <v>109053.09</v>
      </c>
      <c r="L106" s="182"/>
      <c r="M106" s="182"/>
      <c r="N106" s="346"/>
    </row>
    <row r="107" spans="1:15" ht="33" customHeight="1" x14ac:dyDescent="0.2">
      <c r="A107" s="343"/>
      <c r="B107" s="227"/>
      <c r="C107" s="679"/>
      <c r="D107" s="344"/>
      <c r="E107" s="314"/>
      <c r="F107" s="207"/>
      <c r="G107" s="207"/>
      <c r="H107" s="111"/>
      <c r="I107" s="392"/>
      <c r="J107" s="392"/>
      <c r="K107" s="252"/>
      <c r="L107" s="252"/>
      <c r="M107" s="393"/>
      <c r="N107" s="345"/>
    </row>
    <row r="108" spans="1:15" ht="46.5" customHeight="1" x14ac:dyDescent="0.2">
      <c r="A108" s="170" t="s">
        <v>90</v>
      </c>
      <c r="B108" s="21"/>
      <c r="C108" s="225" t="s">
        <v>254</v>
      </c>
      <c r="D108" s="198" t="s">
        <v>43</v>
      </c>
      <c r="E108" s="199" t="s">
        <v>255</v>
      </c>
      <c r="F108" s="96" t="s">
        <v>94</v>
      </c>
      <c r="G108" s="207" t="s">
        <v>163</v>
      </c>
      <c r="H108" s="95">
        <f t="shared" si="15"/>
        <v>2900918</v>
      </c>
      <c r="I108" s="252">
        <v>339680</v>
      </c>
      <c r="J108" s="252">
        <v>2353570</v>
      </c>
      <c r="K108" s="252">
        <v>207668</v>
      </c>
      <c r="L108" s="252"/>
      <c r="M108" s="319"/>
      <c r="N108" s="164"/>
      <c r="O108" s="46"/>
    </row>
    <row r="109" spans="1:15" ht="32.25" customHeight="1" x14ac:dyDescent="0.2">
      <c r="A109" s="170" t="s">
        <v>91</v>
      </c>
      <c r="B109" s="21"/>
      <c r="C109" s="225" t="s">
        <v>209</v>
      </c>
      <c r="D109" s="50" t="s">
        <v>43</v>
      </c>
      <c r="E109" s="199" t="s">
        <v>160</v>
      </c>
      <c r="F109" s="96" t="s">
        <v>94</v>
      </c>
      <c r="G109" s="96" t="s">
        <v>49</v>
      </c>
      <c r="H109" s="95">
        <f t="shared" si="15"/>
        <v>1598002.6800000002</v>
      </c>
      <c r="I109" s="115">
        <v>175777.09</v>
      </c>
      <c r="J109" s="115">
        <v>1306910</v>
      </c>
      <c r="K109" s="115">
        <v>115315.59</v>
      </c>
      <c r="L109" s="115"/>
      <c r="M109" s="319"/>
      <c r="N109" s="164"/>
      <c r="O109" s="46"/>
    </row>
    <row r="110" spans="1:15" ht="28.5" customHeight="1" x14ac:dyDescent="0.2">
      <c r="A110" s="170" t="s">
        <v>92</v>
      </c>
      <c r="B110" s="21"/>
      <c r="C110" s="61" t="s">
        <v>210</v>
      </c>
      <c r="D110" s="62" t="s">
        <v>43</v>
      </c>
      <c r="E110" s="226" t="s">
        <v>256</v>
      </c>
      <c r="F110" s="96" t="s">
        <v>93</v>
      </c>
      <c r="G110" s="96" t="s">
        <v>49</v>
      </c>
      <c r="H110" s="95">
        <f t="shared" si="15"/>
        <v>3344825.5</v>
      </c>
      <c r="I110" s="115">
        <v>669771.5</v>
      </c>
      <c r="J110" s="115">
        <v>2458158</v>
      </c>
      <c r="K110" s="115">
        <v>216896</v>
      </c>
      <c r="L110" s="115"/>
      <c r="M110" s="319"/>
      <c r="N110" s="164"/>
      <c r="O110" s="46"/>
    </row>
    <row r="111" spans="1:15" ht="50.25" customHeight="1" x14ac:dyDescent="0.2">
      <c r="A111" s="197" t="s">
        <v>203</v>
      </c>
      <c r="B111" s="35"/>
      <c r="C111" s="225" t="s">
        <v>204</v>
      </c>
      <c r="D111" s="198" t="s">
        <v>43</v>
      </c>
      <c r="E111" s="234" t="s">
        <v>259</v>
      </c>
      <c r="F111" s="96" t="s">
        <v>94</v>
      </c>
      <c r="G111" s="96" t="s">
        <v>170</v>
      </c>
      <c r="H111" s="95">
        <f t="shared" si="15"/>
        <v>1874590</v>
      </c>
      <c r="I111" s="95">
        <v>140594</v>
      </c>
      <c r="J111" s="115">
        <v>1593402</v>
      </c>
      <c r="K111" s="115">
        <v>140594</v>
      </c>
      <c r="L111" s="115"/>
      <c r="M111" s="319"/>
      <c r="N111" s="164"/>
      <c r="O111" s="46"/>
    </row>
    <row r="112" spans="1:15" ht="26.25" customHeight="1" x14ac:dyDescent="0.2">
      <c r="A112" s="281" t="s">
        <v>300</v>
      </c>
      <c r="B112" s="282"/>
      <c r="C112" s="283" t="s">
        <v>301</v>
      </c>
      <c r="D112" s="284"/>
      <c r="E112" s="88"/>
      <c r="F112" s="89"/>
      <c r="G112" s="89"/>
      <c r="H112" s="95"/>
      <c r="I112" s="90"/>
      <c r="J112" s="90"/>
      <c r="K112" s="90"/>
      <c r="L112" s="90"/>
      <c r="M112" s="339"/>
      <c r="N112" s="169"/>
      <c r="O112" s="46"/>
    </row>
    <row r="113" spans="1:15" ht="19.5" customHeight="1" x14ac:dyDescent="0.2">
      <c r="A113" s="294" t="s">
        <v>300</v>
      </c>
      <c r="B113" s="285"/>
      <c r="C113" s="654" t="s">
        <v>302</v>
      </c>
      <c r="D113" s="286" t="s">
        <v>77</v>
      </c>
      <c r="E113" s="232" t="s">
        <v>303</v>
      </c>
      <c r="F113" s="96" t="s">
        <v>48</v>
      </c>
      <c r="G113" s="96" t="s">
        <v>94</v>
      </c>
      <c r="H113" s="95">
        <f t="shared" si="15"/>
        <v>542581.26</v>
      </c>
      <c r="I113" s="115">
        <v>501162.26</v>
      </c>
      <c r="J113" s="115"/>
      <c r="K113" s="115"/>
      <c r="L113" s="115"/>
      <c r="M113" s="319">
        <v>41419</v>
      </c>
      <c r="N113" s="164"/>
    </row>
    <row r="114" spans="1:15" ht="18.75" customHeight="1" x14ac:dyDescent="0.2">
      <c r="A114" s="295"/>
      <c r="B114" s="287"/>
      <c r="C114" s="655"/>
      <c r="D114" s="288"/>
      <c r="E114" s="289"/>
      <c r="F114" s="96" t="s">
        <v>93</v>
      </c>
      <c r="G114" s="96" t="s">
        <v>93</v>
      </c>
      <c r="H114" s="95">
        <f t="shared" si="15"/>
        <v>1408455</v>
      </c>
      <c r="I114" s="115">
        <v>1408455</v>
      </c>
      <c r="J114" s="115"/>
      <c r="K114" s="115"/>
      <c r="L114" s="115"/>
      <c r="M114" s="319"/>
      <c r="N114" s="164"/>
    </row>
    <row r="115" spans="1:15" ht="19.5" customHeight="1" x14ac:dyDescent="0.2">
      <c r="A115" s="296"/>
      <c r="B115" s="290"/>
      <c r="C115" s="291"/>
      <c r="D115" s="292"/>
      <c r="E115" s="232"/>
      <c r="F115" s="96" t="s">
        <v>42</v>
      </c>
      <c r="G115" s="96" t="s">
        <v>163</v>
      </c>
      <c r="H115" s="95">
        <f t="shared" si="15"/>
        <v>2175000</v>
      </c>
      <c r="I115" s="115">
        <f>1450000+725000</f>
        <v>2175000</v>
      </c>
      <c r="J115" s="115"/>
      <c r="K115" s="115"/>
      <c r="L115" s="115"/>
      <c r="M115" s="319"/>
      <c r="N115" s="164"/>
    </row>
    <row r="116" spans="1:15" ht="27.75" customHeight="1" x14ac:dyDescent="0.2">
      <c r="A116" s="297" t="s">
        <v>31</v>
      </c>
      <c r="B116" s="280"/>
      <c r="C116" s="225" t="s">
        <v>304</v>
      </c>
      <c r="D116" s="293" t="s">
        <v>77</v>
      </c>
      <c r="E116" s="234" t="s">
        <v>305</v>
      </c>
      <c r="F116" s="96" t="s">
        <v>48</v>
      </c>
      <c r="G116" s="96" t="s">
        <v>49</v>
      </c>
      <c r="H116" s="95">
        <f t="shared" si="15"/>
        <v>867241</v>
      </c>
      <c r="I116" s="115">
        <v>867241</v>
      </c>
      <c r="J116" s="115"/>
      <c r="K116" s="115"/>
      <c r="L116" s="115"/>
      <c r="M116" s="319"/>
      <c r="N116" s="164"/>
    </row>
    <row r="117" spans="1:15" ht="33.75" customHeight="1" x14ac:dyDescent="0.2">
      <c r="A117" s="171" t="s">
        <v>32</v>
      </c>
      <c r="B117" s="22"/>
      <c r="C117" s="4" t="s">
        <v>95</v>
      </c>
      <c r="D117" s="50" t="s">
        <v>43</v>
      </c>
      <c r="E117" s="239" t="s">
        <v>171</v>
      </c>
      <c r="F117" s="96" t="s">
        <v>94</v>
      </c>
      <c r="G117" s="96" t="s">
        <v>163</v>
      </c>
      <c r="H117" s="95">
        <f t="shared" si="15"/>
        <v>6800000</v>
      </c>
      <c r="I117" s="115">
        <v>6800000</v>
      </c>
      <c r="J117" s="260"/>
      <c r="K117" s="260"/>
      <c r="L117" s="260"/>
      <c r="M117" s="326"/>
      <c r="N117" s="261"/>
      <c r="O117" s="46"/>
    </row>
    <row r="118" spans="1:15" ht="18" customHeight="1" x14ac:dyDescent="0.2">
      <c r="A118" s="150"/>
      <c r="B118" s="135"/>
      <c r="C118" s="135"/>
      <c r="D118" s="135"/>
      <c r="E118" s="135"/>
      <c r="F118" s="135"/>
      <c r="G118" s="136" t="s">
        <v>25</v>
      </c>
      <c r="H118" s="137">
        <f>SUM(H91:H117)-H95-H104-H102</f>
        <v>39091860.759999998</v>
      </c>
      <c r="I118" s="137">
        <f t="shared" ref="I118:M118" si="16">SUM(I91:I117)-I95-I104-I102</f>
        <v>23578942.280000001</v>
      </c>
      <c r="J118" s="137">
        <f>SUM(J91:J117)-J95-J104-J102</f>
        <v>13661540</v>
      </c>
      <c r="K118" s="137">
        <f t="shared" si="16"/>
        <v>1243629.48</v>
      </c>
      <c r="L118" s="137">
        <f t="shared" si="16"/>
        <v>486530</v>
      </c>
      <c r="M118" s="137">
        <f t="shared" si="16"/>
        <v>121219</v>
      </c>
      <c r="N118" s="147"/>
    </row>
    <row r="119" spans="1:15" s="36" customFormat="1" ht="15" x14ac:dyDescent="0.25">
      <c r="A119" s="672" t="s">
        <v>110</v>
      </c>
      <c r="B119" s="673"/>
      <c r="C119" s="674"/>
      <c r="D119" s="674"/>
      <c r="E119" s="674"/>
      <c r="F119" s="674"/>
      <c r="G119" s="674"/>
      <c r="H119" s="674"/>
      <c r="I119" s="674"/>
      <c r="J119" s="674"/>
      <c r="K119" s="674"/>
      <c r="L119" s="674"/>
      <c r="M119" s="675"/>
      <c r="N119" s="676"/>
    </row>
    <row r="120" spans="1:15" s="36" customFormat="1" ht="61.5" customHeight="1" x14ac:dyDescent="0.25">
      <c r="A120" s="154" t="s">
        <v>112</v>
      </c>
      <c r="B120" s="224"/>
      <c r="C120" s="225" t="s">
        <v>195</v>
      </c>
      <c r="D120" s="223">
        <v>5</v>
      </c>
      <c r="E120" s="262" t="s">
        <v>173</v>
      </c>
      <c r="F120" s="262" t="s">
        <v>48</v>
      </c>
      <c r="G120" s="262">
        <v>2019</v>
      </c>
      <c r="H120" s="263">
        <f>SUM(I120:J120)</f>
        <v>2261384.91</v>
      </c>
      <c r="I120" s="263">
        <v>1062922.9099999999</v>
      </c>
      <c r="J120" s="263">
        <v>1198462</v>
      </c>
      <c r="K120" s="95"/>
      <c r="L120" s="112"/>
      <c r="M120" s="329"/>
      <c r="N120" s="145"/>
    </row>
    <row r="121" spans="1:15" s="36" customFormat="1" ht="59.25" customHeight="1" x14ac:dyDescent="0.25">
      <c r="A121" s="154" t="s">
        <v>113</v>
      </c>
      <c r="B121" s="224"/>
      <c r="C121" s="225" t="s">
        <v>176</v>
      </c>
      <c r="D121" s="223">
        <v>5</v>
      </c>
      <c r="E121" s="262" t="s">
        <v>253</v>
      </c>
      <c r="F121" s="262" t="s">
        <v>48</v>
      </c>
      <c r="G121" s="262" t="s">
        <v>49</v>
      </c>
      <c r="H121" s="263">
        <v>1800440.91</v>
      </c>
      <c r="I121" s="263">
        <v>778674.03</v>
      </c>
      <c r="J121" s="263">
        <v>1021766.88</v>
      </c>
      <c r="K121" s="95"/>
      <c r="L121" s="112"/>
      <c r="M121" s="329"/>
      <c r="N121" s="453"/>
    </row>
    <row r="122" spans="1:15" s="36" customFormat="1" ht="30.75" customHeight="1" x14ac:dyDescent="0.25">
      <c r="A122" s="154" t="s">
        <v>114</v>
      </c>
      <c r="B122" s="224"/>
      <c r="C122" s="225" t="s">
        <v>199</v>
      </c>
      <c r="D122" s="223" t="s">
        <v>213</v>
      </c>
      <c r="E122" s="262" t="s">
        <v>270</v>
      </c>
      <c r="F122" s="262" t="s">
        <v>94</v>
      </c>
      <c r="G122" s="262" t="s">
        <v>42</v>
      </c>
      <c r="H122" s="263">
        <f>+I122</f>
        <v>697289.04</v>
      </c>
      <c r="I122" s="263">
        <v>697289.04</v>
      </c>
      <c r="J122" s="263"/>
      <c r="K122" s="95"/>
      <c r="L122" s="112"/>
      <c r="M122" s="329"/>
      <c r="N122" s="145"/>
    </row>
    <row r="123" spans="1:15" s="36" customFormat="1" ht="30.75" customHeight="1" x14ac:dyDescent="0.25">
      <c r="A123" s="154" t="s">
        <v>224</v>
      </c>
      <c r="B123" s="74"/>
      <c r="C123" s="264" t="s">
        <v>287</v>
      </c>
      <c r="D123" s="223" t="s">
        <v>43</v>
      </c>
      <c r="E123" s="265" t="s">
        <v>272</v>
      </c>
      <c r="F123" s="262" t="s">
        <v>93</v>
      </c>
      <c r="G123" s="266" t="s">
        <v>49</v>
      </c>
      <c r="H123" s="263">
        <f>SUM(I123)</f>
        <v>630000</v>
      </c>
      <c r="I123" s="263">
        <v>630000</v>
      </c>
      <c r="J123" s="263"/>
      <c r="K123" s="95"/>
      <c r="L123" s="112"/>
      <c r="M123" s="329"/>
      <c r="N123" s="453"/>
    </row>
    <row r="124" spans="1:15" s="36" customFormat="1" ht="30.75" customHeight="1" x14ac:dyDescent="0.25">
      <c r="A124" s="154" t="s">
        <v>112</v>
      </c>
      <c r="B124" s="74"/>
      <c r="C124" s="264" t="s">
        <v>273</v>
      </c>
      <c r="D124" s="223" t="s">
        <v>43</v>
      </c>
      <c r="E124" s="265" t="s">
        <v>274</v>
      </c>
      <c r="F124" s="262" t="s">
        <v>93</v>
      </c>
      <c r="G124" s="351" t="s">
        <v>351</v>
      </c>
      <c r="H124" s="263">
        <f>SUM(I124)</f>
        <v>3136431</v>
      </c>
      <c r="I124" s="263">
        <f>3138000-1569</f>
        <v>3136431</v>
      </c>
      <c r="J124" s="263"/>
      <c r="K124" s="95"/>
      <c r="L124" s="112"/>
      <c r="M124" s="329"/>
      <c r="N124" s="453" t="s">
        <v>350</v>
      </c>
    </row>
    <row r="125" spans="1:15" s="36" customFormat="1" ht="30.75" customHeight="1" x14ac:dyDescent="0.25">
      <c r="A125" s="353" t="s">
        <v>312</v>
      </c>
      <c r="B125" s="354"/>
      <c r="C125" s="195" t="s">
        <v>311</v>
      </c>
      <c r="D125" s="355" t="s">
        <v>43</v>
      </c>
      <c r="E125" s="356"/>
      <c r="F125" s="356" t="s">
        <v>93</v>
      </c>
      <c r="G125" s="356" t="s">
        <v>42</v>
      </c>
      <c r="H125" s="357">
        <f>+I125</f>
        <v>75000</v>
      </c>
      <c r="I125" s="357">
        <v>75000</v>
      </c>
      <c r="J125" s="263"/>
      <c r="K125" s="95"/>
      <c r="L125" s="112"/>
      <c r="M125" s="329"/>
      <c r="N125" s="359" t="s">
        <v>327</v>
      </c>
    </row>
    <row r="126" spans="1:15" s="36" customFormat="1" ht="15" x14ac:dyDescent="0.25">
      <c r="A126" s="150"/>
      <c r="B126" s="135"/>
      <c r="C126" s="135"/>
      <c r="D126" s="135"/>
      <c r="E126" s="135"/>
      <c r="F126" s="135"/>
      <c r="G126" s="136" t="s">
        <v>25</v>
      </c>
      <c r="H126" s="93">
        <f>SUM(H120:H125)</f>
        <v>8600545.8599999994</v>
      </c>
      <c r="I126" s="93">
        <f t="shared" ref="I126:M126" si="17">SUM(I120:I125)</f>
        <v>6380316.9800000004</v>
      </c>
      <c r="J126" s="93">
        <f t="shared" si="17"/>
        <v>2220228.88</v>
      </c>
      <c r="K126" s="93">
        <f t="shared" si="17"/>
        <v>0</v>
      </c>
      <c r="L126" s="93">
        <f t="shared" si="17"/>
        <v>0</v>
      </c>
      <c r="M126" s="93">
        <f t="shared" si="17"/>
        <v>0</v>
      </c>
      <c r="N126" s="93"/>
    </row>
    <row r="127" spans="1:15" s="36" customFormat="1" ht="15" x14ac:dyDescent="0.25">
      <c r="A127" s="672" t="s">
        <v>111</v>
      </c>
      <c r="B127" s="673"/>
      <c r="C127" s="673"/>
      <c r="D127" s="673"/>
      <c r="E127" s="673"/>
      <c r="F127" s="673"/>
      <c r="G127" s="673"/>
      <c r="H127" s="673"/>
      <c r="I127" s="673"/>
      <c r="J127" s="673"/>
      <c r="K127" s="673"/>
      <c r="L127" s="673"/>
      <c r="M127" s="677"/>
      <c r="N127" s="678"/>
    </row>
    <row r="128" spans="1:15" s="36" customFormat="1" ht="46.5" customHeight="1" x14ac:dyDescent="0.25">
      <c r="A128" s="173" t="s">
        <v>115</v>
      </c>
      <c r="B128" s="212"/>
      <c r="C128" s="654" t="s">
        <v>261</v>
      </c>
      <c r="D128" s="268">
        <v>5</v>
      </c>
      <c r="E128" s="262" t="s">
        <v>253</v>
      </c>
      <c r="F128" s="242">
        <v>2017</v>
      </c>
      <c r="G128" s="242">
        <v>2020</v>
      </c>
      <c r="H128" s="208">
        <f>SUM(I128:N128)</f>
        <v>2488500</v>
      </c>
      <c r="I128" s="208">
        <v>1609424.57</v>
      </c>
      <c r="J128" s="208">
        <v>807799.05</v>
      </c>
      <c r="K128" s="208">
        <v>71276.38</v>
      </c>
      <c r="L128" s="112"/>
      <c r="M128" s="327"/>
      <c r="N128" s="667" t="s">
        <v>343</v>
      </c>
    </row>
    <row r="129" spans="1:21" s="36" customFormat="1" ht="36" customHeight="1" x14ac:dyDescent="0.25">
      <c r="A129" s="174"/>
      <c r="B129" s="211"/>
      <c r="C129" s="641"/>
      <c r="D129" s="348"/>
      <c r="E129" s="262"/>
      <c r="F129" s="242"/>
      <c r="G129" s="216">
        <v>2021</v>
      </c>
      <c r="H129" s="214">
        <f>SUM(I129:N129)</f>
        <v>3538077</v>
      </c>
      <c r="I129" s="214">
        <v>3538077</v>
      </c>
      <c r="J129" s="95"/>
      <c r="K129" s="95"/>
      <c r="L129" s="112"/>
      <c r="M129" s="327"/>
      <c r="N129" s="668"/>
    </row>
    <row r="130" spans="1:21" s="36" customFormat="1" ht="80.25" customHeight="1" x14ac:dyDescent="0.25">
      <c r="A130" s="172" t="s">
        <v>116</v>
      </c>
      <c r="B130" s="43"/>
      <c r="C130" s="225" t="s">
        <v>268</v>
      </c>
      <c r="D130" s="241">
        <v>5</v>
      </c>
      <c r="E130" s="262" t="s">
        <v>173</v>
      </c>
      <c r="F130" s="242">
        <v>2017</v>
      </c>
      <c r="G130" s="242">
        <v>2020</v>
      </c>
      <c r="H130" s="95">
        <f>SUM(I130:K130)</f>
        <v>1352126.7999999998</v>
      </c>
      <c r="I130" s="95">
        <v>233775.27</v>
      </c>
      <c r="J130" s="95">
        <v>1027674.38</v>
      </c>
      <c r="K130" s="95">
        <v>90677.15</v>
      </c>
      <c r="L130" s="112"/>
      <c r="M130" s="327"/>
      <c r="N130" s="267"/>
    </row>
    <row r="131" spans="1:21" s="36" customFormat="1" ht="30" customHeight="1" x14ac:dyDescent="0.25">
      <c r="A131" s="644" t="s">
        <v>117</v>
      </c>
      <c r="B131" s="217"/>
      <c r="C131" s="642" t="s">
        <v>190</v>
      </c>
      <c r="D131" s="646">
        <v>5</v>
      </c>
      <c r="E131" s="262" t="s">
        <v>173</v>
      </c>
      <c r="F131" s="648">
        <v>2017</v>
      </c>
      <c r="G131" s="648">
        <v>2019</v>
      </c>
      <c r="H131" s="669">
        <f>I132+K132</f>
        <v>860220.12</v>
      </c>
      <c r="I131" s="208">
        <v>860220.12</v>
      </c>
      <c r="J131" s="214"/>
      <c r="K131" s="95"/>
      <c r="L131" s="95"/>
      <c r="M131" s="320"/>
      <c r="N131" s="621" t="s">
        <v>347</v>
      </c>
      <c r="S131" s="194"/>
    </row>
    <row r="132" spans="1:21" s="36" customFormat="1" ht="30" customHeight="1" x14ac:dyDescent="0.25">
      <c r="A132" s="645"/>
      <c r="B132" s="434"/>
      <c r="C132" s="643"/>
      <c r="D132" s="647"/>
      <c r="E132" s="269"/>
      <c r="F132" s="649"/>
      <c r="G132" s="649"/>
      <c r="H132" s="670"/>
      <c r="I132" s="219">
        <v>317220.12</v>
      </c>
      <c r="J132" s="450"/>
      <c r="K132" s="219">
        <v>543000</v>
      </c>
      <c r="L132" s="219"/>
      <c r="M132" s="322"/>
      <c r="N132" s="671"/>
      <c r="S132" s="194"/>
    </row>
    <row r="133" spans="1:21" s="36" customFormat="1" ht="67.5" customHeight="1" x14ac:dyDescent="0.25">
      <c r="A133" s="173" t="s">
        <v>118</v>
      </c>
      <c r="B133" s="212"/>
      <c r="C133" s="311" t="s">
        <v>269</v>
      </c>
      <c r="D133" s="268">
        <v>5</v>
      </c>
      <c r="E133" s="269" t="s">
        <v>173</v>
      </c>
      <c r="F133" s="270">
        <v>2017</v>
      </c>
      <c r="G133" s="270">
        <v>2018</v>
      </c>
      <c r="H133" s="201">
        <f>SUM(I133:K133)</f>
        <v>350000</v>
      </c>
      <c r="I133" s="201"/>
      <c r="J133" s="201">
        <v>297500</v>
      </c>
      <c r="K133" s="201">
        <v>52500</v>
      </c>
      <c r="L133" s="184"/>
      <c r="M133" s="328"/>
      <c r="N133" s="271"/>
      <c r="U133" s="194"/>
    </row>
    <row r="134" spans="1:21" s="36" customFormat="1" ht="20.25" customHeight="1" x14ac:dyDescent="0.25">
      <c r="A134" s="152" t="s">
        <v>119</v>
      </c>
      <c r="B134" s="434"/>
      <c r="C134" s="654" t="s">
        <v>96</v>
      </c>
      <c r="D134" s="268">
        <v>5</v>
      </c>
      <c r="E134" s="270" t="s">
        <v>164</v>
      </c>
      <c r="F134" s="270">
        <v>2017</v>
      </c>
      <c r="G134" s="270">
        <v>2020</v>
      </c>
      <c r="H134" s="208">
        <f>+I134+J134+K134+L134</f>
        <v>6840000</v>
      </c>
      <c r="I134" s="208">
        <v>6840000</v>
      </c>
      <c r="J134" s="112"/>
      <c r="K134" s="112"/>
      <c r="L134" s="112"/>
      <c r="M134" s="327"/>
      <c r="N134" s="667" t="s">
        <v>354</v>
      </c>
    </row>
    <row r="135" spans="1:21" s="36" customFormat="1" ht="20.25" customHeight="1" x14ac:dyDescent="0.25">
      <c r="A135" s="153"/>
      <c r="B135" s="435"/>
      <c r="C135" s="641"/>
      <c r="D135" s="348"/>
      <c r="E135" s="349"/>
      <c r="F135" s="349"/>
      <c r="G135" s="349"/>
      <c r="H135" s="214">
        <v>12500000</v>
      </c>
      <c r="I135" s="214">
        <v>12500000</v>
      </c>
      <c r="J135" s="112"/>
      <c r="K135" s="112"/>
      <c r="L135" s="112"/>
      <c r="M135" s="327"/>
      <c r="N135" s="668"/>
    </row>
    <row r="136" spans="1:21" s="36" customFormat="1" ht="34.5" customHeight="1" x14ac:dyDescent="0.25">
      <c r="A136" s="172" t="s">
        <v>120</v>
      </c>
      <c r="B136" s="43"/>
      <c r="C136" s="4" t="s">
        <v>278</v>
      </c>
      <c r="D136" s="44">
        <v>6</v>
      </c>
      <c r="E136" s="43" t="s">
        <v>279</v>
      </c>
      <c r="F136" s="43">
        <v>2018</v>
      </c>
      <c r="G136" s="43">
        <v>2022</v>
      </c>
      <c r="H136" s="97">
        <v>7000000</v>
      </c>
      <c r="I136" s="97">
        <v>7000000</v>
      </c>
      <c r="J136" s="97"/>
      <c r="K136" s="3"/>
      <c r="L136" s="3"/>
      <c r="M136" s="329"/>
      <c r="N136" s="145"/>
    </row>
    <row r="137" spans="1:21" s="36" customFormat="1" ht="42.75" customHeight="1" x14ac:dyDescent="0.25">
      <c r="A137" s="154" t="s">
        <v>211</v>
      </c>
      <c r="B137" s="217"/>
      <c r="C137" s="225" t="s">
        <v>222</v>
      </c>
      <c r="D137" s="235">
        <v>6</v>
      </c>
      <c r="E137" s="217" t="s">
        <v>293</v>
      </c>
      <c r="F137" s="217">
        <v>2018</v>
      </c>
      <c r="G137" s="217">
        <v>2018</v>
      </c>
      <c r="H137" s="95">
        <f>SUM(I137:K137)</f>
        <v>140000</v>
      </c>
      <c r="I137" s="95">
        <f>128000+12000</f>
        <v>140000</v>
      </c>
      <c r="J137" s="95"/>
      <c r="K137" s="95"/>
      <c r="L137" s="97"/>
      <c r="M137" s="316"/>
      <c r="N137" s="155"/>
    </row>
    <row r="138" spans="1:21" s="36" customFormat="1" ht="30" customHeight="1" x14ac:dyDescent="0.25">
      <c r="A138" s="172" t="s">
        <v>220</v>
      </c>
      <c r="B138" s="43"/>
      <c r="C138" s="225" t="s">
        <v>212</v>
      </c>
      <c r="D138" s="241">
        <v>5</v>
      </c>
      <c r="E138" s="242" t="s">
        <v>171</v>
      </c>
      <c r="F138" s="242">
        <v>2017</v>
      </c>
      <c r="G138" s="242">
        <v>2018</v>
      </c>
      <c r="H138" s="95">
        <f>SUM(I138:K138)</f>
        <v>472308.98</v>
      </c>
      <c r="I138" s="95">
        <v>240308.98</v>
      </c>
      <c r="J138" s="95"/>
      <c r="K138" s="95">
        <v>232000</v>
      </c>
      <c r="L138" s="112"/>
      <c r="M138" s="327"/>
      <c r="N138" s="267"/>
    </row>
    <row r="139" spans="1:21" s="36" customFormat="1" ht="42" customHeight="1" x14ac:dyDescent="0.25">
      <c r="A139" s="173" t="s">
        <v>221</v>
      </c>
      <c r="B139" s="43"/>
      <c r="C139" s="447" t="s">
        <v>310</v>
      </c>
      <c r="D139" s="268">
        <v>6</v>
      </c>
      <c r="E139" s="242"/>
      <c r="F139" s="270">
        <v>2018</v>
      </c>
      <c r="G139" s="270">
        <v>2020</v>
      </c>
      <c r="H139" s="201">
        <v>1225800</v>
      </c>
      <c r="I139" s="95">
        <v>1225800</v>
      </c>
      <c r="J139" s="95"/>
      <c r="K139" s="208"/>
      <c r="L139" s="112"/>
      <c r="M139" s="327"/>
      <c r="N139" s="448" t="s">
        <v>347</v>
      </c>
    </row>
    <row r="140" spans="1:21" s="36" customFormat="1" ht="30" customHeight="1" x14ac:dyDescent="0.25">
      <c r="A140" s="172" t="s">
        <v>262</v>
      </c>
      <c r="B140" s="43"/>
      <c r="C140" s="225" t="s">
        <v>288</v>
      </c>
      <c r="D140" s="241">
        <v>5</v>
      </c>
      <c r="E140" s="242" t="s">
        <v>173</v>
      </c>
      <c r="F140" s="242">
        <v>2018</v>
      </c>
      <c r="G140" s="242">
        <v>2020</v>
      </c>
      <c r="H140" s="95">
        <f>SUM(I140:N140)</f>
        <v>2064000</v>
      </c>
      <c r="I140" s="95">
        <v>309600</v>
      </c>
      <c r="J140" s="95"/>
      <c r="K140" s="95">
        <v>1754400</v>
      </c>
      <c r="L140" s="112"/>
      <c r="M140" s="327"/>
      <c r="N140" s="267"/>
    </row>
    <row r="141" spans="1:21" s="36" customFormat="1" ht="30" customHeight="1" x14ac:dyDescent="0.25">
      <c r="A141" s="353" t="s">
        <v>267</v>
      </c>
      <c r="B141" s="216"/>
      <c r="C141" s="195" t="s">
        <v>291</v>
      </c>
      <c r="D141" s="352">
        <v>5</v>
      </c>
      <c r="E141" s="216" t="s">
        <v>173</v>
      </c>
      <c r="F141" s="216">
        <v>2019</v>
      </c>
      <c r="G141" s="216">
        <v>2021</v>
      </c>
      <c r="H141" s="214">
        <v>2500000</v>
      </c>
      <c r="I141" s="208">
        <v>2500000</v>
      </c>
      <c r="J141" s="214"/>
      <c r="K141" s="214"/>
      <c r="L141" s="214"/>
      <c r="M141" s="452">
        <v>2500000</v>
      </c>
      <c r="N141" s="359" t="s">
        <v>348</v>
      </c>
    </row>
    <row r="142" spans="1:21" s="36" customFormat="1" ht="31.5" customHeight="1" x14ac:dyDescent="0.25">
      <c r="A142" s="175" t="s">
        <v>19</v>
      </c>
      <c r="B142" s="43"/>
      <c r="C142" s="38" t="s">
        <v>97</v>
      </c>
      <c r="D142" s="272"/>
      <c r="E142" s="274"/>
      <c r="F142" s="273"/>
      <c r="G142" s="273"/>
      <c r="H142" s="112"/>
      <c r="I142" s="112"/>
      <c r="J142" s="112"/>
      <c r="K142" s="112"/>
      <c r="L142" s="112"/>
      <c r="M142" s="327"/>
      <c r="N142" s="267"/>
    </row>
    <row r="143" spans="1:21" s="36" customFormat="1" ht="38.25" customHeight="1" x14ac:dyDescent="0.25">
      <c r="A143" s="173" t="s">
        <v>121</v>
      </c>
      <c r="B143" s="212"/>
      <c r="C143" s="666" t="s">
        <v>289</v>
      </c>
      <c r="D143" s="268">
        <v>5</v>
      </c>
      <c r="E143" s="242" t="s">
        <v>253</v>
      </c>
      <c r="F143" s="242">
        <v>2017</v>
      </c>
      <c r="G143" s="276">
        <v>2019</v>
      </c>
      <c r="H143" s="208">
        <f>SUM(I143:N143)</f>
        <v>704023</v>
      </c>
      <c r="I143" s="208">
        <v>704023</v>
      </c>
      <c r="J143" s="112"/>
      <c r="K143" s="112"/>
      <c r="L143" s="112"/>
      <c r="M143" s="327"/>
      <c r="N143" s="667" t="s">
        <v>330</v>
      </c>
    </row>
    <row r="144" spans="1:21" s="36" customFormat="1" ht="34.5" customHeight="1" x14ac:dyDescent="0.25">
      <c r="A144" s="174"/>
      <c r="B144" s="211"/>
      <c r="C144" s="641"/>
      <c r="D144" s="348"/>
      <c r="E144" s="242"/>
      <c r="F144" s="242"/>
      <c r="G144" s="216">
        <v>2020</v>
      </c>
      <c r="H144" s="214">
        <f>SUM(I144:K144)</f>
        <v>1958148.4300000002</v>
      </c>
      <c r="I144" s="214">
        <v>1079073</v>
      </c>
      <c r="J144" s="214">
        <v>807799.05</v>
      </c>
      <c r="K144" s="214">
        <v>71276.38</v>
      </c>
      <c r="L144" s="112"/>
      <c r="M144" s="327"/>
      <c r="N144" s="668"/>
    </row>
    <row r="145" spans="1:18" s="36" customFormat="1" ht="53.25" customHeight="1" x14ac:dyDescent="0.25">
      <c r="A145" s="172" t="s">
        <v>122</v>
      </c>
      <c r="B145" s="43"/>
      <c r="C145" s="39" t="s">
        <v>266</v>
      </c>
      <c r="D145" s="241">
        <v>5</v>
      </c>
      <c r="E145" s="242" t="s">
        <v>173</v>
      </c>
      <c r="F145" s="242">
        <v>2016</v>
      </c>
      <c r="G145" s="242">
        <v>2019</v>
      </c>
      <c r="H145" s="95">
        <f>SUM(I145:N145)</f>
        <v>2688980</v>
      </c>
      <c r="I145" s="95">
        <v>2688980</v>
      </c>
      <c r="J145" s="112"/>
      <c r="K145" s="112"/>
      <c r="L145" s="112"/>
      <c r="M145" s="327"/>
      <c r="N145" s="267"/>
    </row>
    <row r="146" spans="1:18" s="36" customFormat="1" ht="33" customHeight="1" x14ac:dyDescent="0.25">
      <c r="A146" s="172" t="s">
        <v>123</v>
      </c>
      <c r="B146" s="43"/>
      <c r="C146" s="39" t="s">
        <v>290</v>
      </c>
      <c r="D146" s="241">
        <v>5</v>
      </c>
      <c r="E146" s="242" t="s">
        <v>173</v>
      </c>
      <c r="F146" s="242">
        <v>2018</v>
      </c>
      <c r="G146" s="242">
        <v>2020</v>
      </c>
      <c r="H146" s="95">
        <f>SUM(I146:N146)</f>
        <v>574922.68999999994</v>
      </c>
      <c r="I146" s="95">
        <v>574922.68999999994</v>
      </c>
      <c r="J146" s="112"/>
      <c r="K146" s="112"/>
      <c r="L146" s="112"/>
      <c r="M146" s="327"/>
      <c r="N146" s="267"/>
    </row>
    <row r="147" spans="1:18" s="36" customFormat="1" ht="30" customHeight="1" x14ac:dyDescent="0.25">
      <c r="A147" s="175" t="s">
        <v>20</v>
      </c>
      <c r="B147" s="43"/>
      <c r="C147" s="41" t="s">
        <v>180</v>
      </c>
      <c r="D147" s="272"/>
      <c r="E147" s="273"/>
      <c r="F147" s="273"/>
      <c r="G147" s="273"/>
      <c r="H147" s="112"/>
      <c r="I147" s="112"/>
      <c r="J147" s="112"/>
      <c r="K147" s="112"/>
      <c r="L147" s="112"/>
      <c r="M147" s="327"/>
      <c r="N147" s="267"/>
    </row>
    <row r="148" spans="1:18" s="36" customFormat="1" ht="43.5" customHeight="1" x14ac:dyDescent="0.25">
      <c r="A148" s="172" t="s">
        <v>124</v>
      </c>
      <c r="B148" s="43"/>
      <c r="C148" s="39" t="s">
        <v>99</v>
      </c>
      <c r="D148" s="241">
        <v>5</v>
      </c>
      <c r="E148" s="242" t="s">
        <v>173</v>
      </c>
      <c r="F148" s="242">
        <v>2016</v>
      </c>
      <c r="G148" s="242">
        <v>2019</v>
      </c>
      <c r="H148" s="95">
        <f>SUM(I148:J148)</f>
        <v>780124</v>
      </c>
      <c r="I148" s="95">
        <v>232374</v>
      </c>
      <c r="J148" s="95">
        <v>547750</v>
      </c>
      <c r="K148" s="112"/>
      <c r="L148" s="112"/>
      <c r="M148" s="327"/>
      <c r="N148" s="267"/>
    </row>
    <row r="149" spans="1:18" s="36" customFormat="1" ht="43.5" customHeight="1" x14ac:dyDescent="0.25">
      <c r="A149" s="172" t="s">
        <v>125</v>
      </c>
      <c r="B149" s="43"/>
      <c r="C149" s="39" t="s">
        <v>191</v>
      </c>
      <c r="D149" s="241">
        <v>5</v>
      </c>
      <c r="E149" s="242" t="s">
        <v>253</v>
      </c>
      <c r="F149" s="242">
        <v>2016</v>
      </c>
      <c r="G149" s="242">
        <v>2019</v>
      </c>
      <c r="H149" s="95">
        <f>SUM(I149:J149)</f>
        <v>897859.63</v>
      </c>
      <c r="I149" s="95">
        <v>897859.63</v>
      </c>
      <c r="J149" s="95"/>
      <c r="K149" s="112"/>
      <c r="L149" s="112"/>
      <c r="M149" s="327"/>
      <c r="N149" s="267"/>
    </row>
    <row r="150" spans="1:18" s="36" customFormat="1" ht="41.25" customHeight="1" x14ac:dyDescent="0.25">
      <c r="A150" s="358" t="s">
        <v>126</v>
      </c>
      <c r="B150" s="192"/>
      <c r="C150" s="360" t="s">
        <v>313</v>
      </c>
      <c r="D150" s="352">
        <v>5</v>
      </c>
      <c r="E150" s="216"/>
      <c r="F150" s="216">
        <v>2016</v>
      </c>
      <c r="G150" s="216">
        <v>2018</v>
      </c>
      <c r="H150" s="214">
        <f>+I150</f>
        <v>110364</v>
      </c>
      <c r="I150" s="214">
        <v>110364</v>
      </c>
      <c r="J150" s="95"/>
      <c r="K150" s="112"/>
      <c r="L150" s="112"/>
      <c r="M150" s="327"/>
      <c r="N150" s="359" t="s">
        <v>327</v>
      </c>
    </row>
    <row r="151" spans="1:18" s="36" customFormat="1" ht="15" customHeight="1" x14ac:dyDescent="0.25">
      <c r="A151" s="150"/>
      <c r="B151" s="135"/>
      <c r="C151" s="135"/>
      <c r="D151" s="135"/>
      <c r="E151" s="135"/>
      <c r="F151" s="135"/>
      <c r="G151" s="136" t="s">
        <v>25</v>
      </c>
      <c r="H151" s="93">
        <f t="shared" ref="H151:M151" si="18">SUM(H128:H150)-H134-H128-H143</f>
        <v>39012931.649999999</v>
      </c>
      <c r="I151" s="93">
        <f>SUM(I128:I150)-I134-I128-I143-I141-I131</f>
        <v>31088354.690000001</v>
      </c>
      <c r="J151" s="93">
        <f t="shared" si="18"/>
        <v>2680723.4300000006</v>
      </c>
      <c r="K151" s="93">
        <f t="shared" si="18"/>
        <v>2743853.5300000003</v>
      </c>
      <c r="L151" s="93">
        <f t="shared" si="18"/>
        <v>0</v>
      </c>
      <c r="M151" s="93">
        <f t="shared" si="18"/>
        <v>2500000</v>
      </c>
      <c r="N151" s="218"/>
    </row>
    <row r="152" spans="1:18" s="36" customFormat="1" ht="16.5" customHeight="1" x14ac:dyDescent="0.25">
      <c r="A152" s="682" t="s">
        <v>135</v>
      </c>
      <c r="B152" s="683"/>
      <c r="C152" s="683"/>
      <c r="D152" s="683"/>
      <c r="E152" s="683"/>
      <c r="F152" s="683"/>
      <c r="G152" s="683"/>
      <c r="H152" s="683"/>
      <c r="I152" s="683"/>
      <c r="J152" s="683"/>
      <c r="K152" s="683"/>
      <c r="L152" s="683"/>
      <c r="M152" s="684"/>
      <c r="N152" s="685"/>
    </row>
    <row r="153" spans="1:18" s="36" customFormat="1" ht="18.75" customHeight="1" x14ac:dyDescent="0.25">
      <c r="A153" s="175" t="s">
        <v>127</v>
      </c>
      <c r="B153" s="43"/>
      <c r="C153" s="40" t="s">
        <v>100</v>
      </c>
      <c r="D153" s="44"/>
      <c r="E153" s="43"/>
      <c r="F153" s="43"/>
      <c r="G153" s="43"/>
      <c r="H153" s="3"/>
      <c r="I153" s="3"/>
      <c r="J153" s="3"/>
      <c r="K153" s="3"/>
      <c r="L153" s="3"/>
      <c r="M153" s="329"/>
      <c r="N153" s="145"/>
    </row>
    <row r="154" spans="1:18" s="36" customFormat="1" ht="33" customHeight="1" x14ac:dyDescent="0.25">
      <c r="A154" s="154" t="s">
        <v>41</v>
      </c>
      <c r="B154" s="217"/>
      <c r="C154" s="39" t="s">
        <v>101</v>
      </c>
      <c r="D154" s="241">
        <v>5</v>
      </c>
      <c r="E154" s="242" t="s">
        <v>102</v>
      </c>
      <c r="F154" s="242">
        <v>2016</v>
      </c>
      <c r="G154" s="242">
        <v>2018</v>
      </c>
      <c r="H154" s="95">
        <f>SUM(I154:M154)</f>
        <v>17374761.469999999</v>
      </c>
      <c r="I154" s="95">
        <v>4322106.8899999997</v>
      </c>
      <c r="J154" s="95">
        <v>11564519</v>
      </c>
      <c r="K154" s="95">
        <f>1020399+457599.88</f>
        <v>1477998.88</v>
      </c>
      <c r="L154" s="95"/>
      <c r="M154" s="320">
        <v>10136.700000000001</v>
      </c>
      <c r="N154" s="202"/>
    </row>
    <row r="155" spans="1:18" s="36" customFormat="1" ht="34.5" customHeight="1" x14ac:dyDescent="0.25">
      <c r="A155" s="421" t="s">
        <v>216</v>
      </c>
      <c r="B155" s="217"/>
      <c r="C155" s="350" t="s">
        <v>214</v>
      </c>
      <c r="D155" s="268">
        <v>5</v>
      </c>
      <c r="E155" s="206" t="s">
        <v>169</v>
      </c>
      <c r="F155" s="270">
        <v>2017</v>
      </c>
      <c r="G155" s="275">
        <v>2019</v>
      </c>
      <c r="H155" s="275">
        <f t="shared" ref="H155:H160" si="19">SUM(I155:M155)</f>
        <v>5052891.1000000006</v>
      </c>
      <c r="I155" s="208">
        <v>3273291.22</v>
      </c>
      <c r="J155" s="208">
        <v>1635308</v>
      </c>
      <c r="K155" s="208">
        <v>144291.88</v>
      </c>
      <c r="L155" s="95"/>
      <c r="M155" s="320"/>
      <c r="N155" s="621" t="s">
        <v>332</v>
      </c>
      <c r="R155" s="194"/>
    </row>
    <row r="156" spans="1:18" s="36" customFormat="1" ht="34.5" customHeight="1" x14ac:dyDescent="0.25">
      <c r="A156" s="420"/>
      <c r="B156" s="217"/>
      <c r="C156" s="347"/>
      <c r="D156" s="348"/>
      <c r="E156" s="207"/>
      <c r="F156" s="349"/>
      <c r="G156" s="216">
        <v>2020</v>
      </c>
      <c r="H156" s="214">
        <f>I156+J156+K156</f>
        <v>5211820.0999999996</v>
      </c>
      <c r="I156" s="214">
        <v>3900674.13</v>
      </c>
      <c r="J156" s="214">
        <v>1204836.8400000001</v>
      </c>
      <c r="K156" s="214">
        <v>106309.13</v>
      </c>
      <c r="L156" s="95"/>
      <c r="M156" s="320"/>
      <c r="N156" s="671"/>
    </row>
    <row r="157" spans="1:18" s="36" customFormat="1" ht="30.75" customHeight="1" x14ac:dyDescent="0.25">
      <c r="A157" s="243" t="s">
        <v>217</v>
      </c>
      <c r="B157" s="217"/>
      <c r="C157" s="39" t="s">
        <v>215</v>
      </c>
      <c r="D157" s="241">
        <v>5</v>
      </c>
      <c r="E157" s="96" t="s">
        <v>169</v>
      </c>
      <c r="F157" s="242">
        <v>2017</v>
      </c>
      <c r="G157" s="242">
        <v>2020</v>
      </c>
      <c r="H157" s="95">
        <f t="shared" si="19"/>
        <v>5461634.2699999996</v>
      </c>
      <c r="I157" s="95">
        <v>5461634.2699999996</v>
      </c>
      <c r="J157" s="95"/>
      <c r="K157" s="95"/>
      <c r="L157" s="95"/>
      <c r="M157" s="320"/>
      <c r="N157" s="202"/>
    </row>
    <row r="158" spans="1:18" s="36" customFormat="1" ht="29.25" customHeight="1" x14ac:dyDescent="0.25">
      <c r="A158" s="154" t="s">
        <v>128</v>
      </c>
      <c r="B158" s="217"/>
      <c r="C158" s="39" t="s">
        <v>103</v>
      </c>
      <c r="D158" s="235">
        <v>5</v>
      </c>
      <c r="E158" s="227" t="s">
        <v>169</v>
      </c>
      <c r="F158" s="242">
        <v>2016</v>
      </c>
      <c r="G158" s="242">
        <v>2020</v>
      </c>
      <c r="H158" s="95">
        <f t="shared" si="19"/>
        <v>1514077.41</v>
      </c>
      <c r="I158" s="95">
        <v>1514077.41</v>
      </c>
      <c r="J158" s="95"/>
      <c r="K158" s="95"/>
      <c r="L158" s="95"/>
      <c r="M158" s="320"/>
      <c r="N158" s="202"/>
    </row>
    <row r="159" spans="1:18" s="36" customFormat="1" ht="22.5" customHeight="1" x14ac:dyDescent="0.25">
      <c r="A159" s="154" t="s">
        <v>129</v>
      </c>
      <c r="B159" s="217"/>
      <c r="C159" s="240" t="s">
        <v>104</v>
      </c>
      <c r="D159" s="235">
        <v>5</v>
      </c>
      <c r="E159" s="227" t="s">
        <v>169</v>
      </c>
      <c r="F159" s="242">
        <v>2017</v>
      </c>
      <c r="G159" s="242">
        <v>2020</v>
      </c>
      <c r="H159" s="95">
        <f t="shared" si="19"/>
        <v>2700000</v>
      </c>
      <c r="I159" s="95">
        <v>2700000</v>
      </c>
      <c r="J159" s="95"/>
      <c r="K159" s="95"/>
      <c r="L159" s="95"/>
      <c r="M159" s="320"/>
      <c r="N159" s="202"/>
    </row>
    <row r="160" spans="1:18" s="36" customFormat="1" ht="25.5" x14ac:dyDescent="0.25">
      <c r="A160" s="244" t="s">
        <v>219</v>
      </c>
      <c r="B160" s="245"/>
      <c r="C160" s="225" t="s">
        <v>218</v>
      </c>
      <c r="D160" s="241">
        <v>5</v>
      </c>
      <c r="E160" s="227" t="s">
        <v>169</v>
      </c>
      <c r="F160" s="245">
        <v>2019</v>
      </c>
      <c r="G160" s="242">
        <v>2020</v>
      </c>
      <c r="H160" s="95">
        <f t="shared" si="19"/>
        <v>2011473</v>
      </c>
      <c r="I160" s="95">
        <v>301000</v>
      </c>
      <c r="J160" s="95"/>
      <c r="K160" s="95">
        <v>1710473</v>
      </c>
      <c r="L160" s="95"/>
      <c r="M160" s="320"/>
      <c r="N160" s="202"/>
    </row>
    <row r="161" spans="1:20" s="36" customFormat="1" ht="84.75" customHeight="1" x14ac:dyDescent="0.25">
      <c r="A161" s="244" t="s">
        <v>314</v>
      </c>
      <c r="B161" s="245"/>
      <c r="C161" s="195" t="s">
        <v>318</v>
      </c>
      <c r="D161" s="216">
        <v>5</v>
      </c>
      <c r="E161" s="400" t="s">
        <v>169</v>
      </c>
      <c r="F161" s="436">
        <v>2019</v>
      </c>
      <c r="G161" s="216">
        <v>2020</v>
      </c>
      <c r="H161" s="214">
        <v>1050000</v>
      </c>
      <c r="I161" s="214">
        <v>1050000</v>
      </c>
      <c r="J161" s="95"/>
      <c r="K161" s="95"/>
      <c r="L161" s="95"/>
      <c r="M161" s="320"/>
      <c r="N161" s="220" t="s">
        <v>331</v>
      </c>
    </row>
    <row r="162" spans="1:20" s="36" customFormat="1" ht="15" x14ac:dyDescent="0.25">
      <c r="A162" s="150"/>
      <c r="B162" s="135"/>
      <c r="C162" s="135"/>
      <c r="D162" s="135"/>
      <c r="E162" s="135"/>
      <c r="F162" s="135"/>
      <c r="G162" s="136" t="s">
        <v>25</v>
      </c>
      <c r="H162" s="93">
        <f>SUM(H153:H161)-H155</f>
        <v>35323766.25</v>
      </c>
      <c r="I162" s="93">
        <f>SUM(I153:I161)-I155</f>
        <v>19249492.699999999</v>
      </c>
      <c r="J162" s="93">
        <f t="shared" ref="J162:M162" si="20">SUM(J153:J161)-J155</f>
        <v>12769355.84</v>
      </c>
      <c r="K162" s="93">
        <f t="shared" si="20"/>
        <v>3294781.01</v>
      </c>
      <c r="L162" s="93">
        <f t="shared" si="20"/>
        <v>0</v>
      </c>
      <c r="M162" s="93">
        <f t="shared" si="20"/>
        <v>10136.700000000001</v>
      </c>
      <c r="N162" s="218"/>
    </row>
    <row r="163" spans="1:20" s="36" customFormat="1" ht="15" x14ac:dyDescent="0.25">
      <c r="A163" s="682" t="s">
        <v>136</v>
      </c>
      <c r="B163" s="683"/>
      <c r="C163" s="683"/>
      <c r="D163" s="683"/>
      <c r="E163" s="683"/>
      <c r="F163" s="683"/>
      <c r="G163" s="683"/>
      <c r="H163" s="683"/>
      <c r="I163" s="683"/>
      <c r="J163" s="683"/>
      <c r="K163" s="683"/>
      <c r="L163" s="683"/>
      <c r="M163" s="684"/>
      <c r="N163" s="685"/>
    </row>
    <row r="164" spans="1:20" s="36" customFormat="1" ht="38.25" x14ac:dyDescent="0.25">
      <c r="A164" s="175" t="s">
        <v>127</v>
      </c>
      <c r="B164" s="43"/>
      <c r="C164" s="41" t="s">
        <v>105</v>
      </c>
      <c r="D164" s="44"/>
      <c r="E164" s="92"/>
      <c r="F164" s="43"/>
      <c r="G164" s="43"/>
      <c r="H164" s="43"/>
      <c r="I164" s="43"/>
      <c r="J164" s="43"/>
      <c r="K164" s="43"/>
      <c r="L164" s="43"/>
      <c r="M164" s="330"/>
      <c r="N164" s="176"/>
    </row>
    <row r="165" spans="1:20" s="36" customFormat="1" ht="28.5" customHeight="1" x14ac:dyDescent="0.25">
      <c r="A165" s="172" t="s">
        <v>130</v>
      </c>
      <c r="B165" s="43"/>
      <c r="C165" s="34" t="s">
        <v>181</v>
      </c>
      <c r="D165" s="44">
        <v>5</v>
      </c>
      <c r="E165" s="242" t="s">
        <v>272</v>
      </c>
      <c r="F165" s="242">
        <v>2017</v>
      </c>
      <c r="G165" s="242">
        <v>2019</v>
      </c>
      <c r="H165" s="95">
        <v>572000</v>
      </c>
      <c r="I165" s="95">
        <f>+H165</f>
        <v>572000</v>
      </c>
      <c r="J165" s="273"/>
      <c r="K165" s="43"/>
      <c r="L165" s="43"/>
      <c r="M165" s="330"/>
      <c r="N165" s="176"/>
    </row>
    <row r="166" spans="1:20" s="36" customFormat="1" ht="18" customHeight="1" x14ac:dyDescent="0.25">
      <c r="A166" s="172" t="s">
        <v>76</v>
      </c>
      <c r="B166" s="43"/>
      <c r="C166" s="4" t="s">
        <v>106</v>
      </c>
      <c r="D166" s="44">
        <v>5</v>
      </c>
      <c r="E166" s="273" t="s">
        <v>271</v>
      </c>
      <c r="F166" s="242">
        <v>2016</v>
      </c>
      <c r="G166" s="242">
        <v>2019</v>
      </c>
      <c r="H166" s="95">
        <f>SUM(I166:J166)</f>
        <v>620424.07999999996</v>
      </c>
      <c r="I166" s="95">
        <v>117620.47</v>
      </c>
      <c r="J166" s="95">
        <v>502803.61</v>
      </c>
      <c r="K166" s="43"/>
      <c r="L166" s="43"/>
      <c r="M166" s="330"/>
      <c r="N166" s="176"/>
    </row>
    <row r="167" spans="1:20" s="36" customFormat="1" ht="42.75" customHeight="1" x14ac:dyDescent="0.25">
      <c r="A167" s="172" t="s">
        <v>131</v>
      </c>
      <c r="B167" s="43"/>
      <c r="C167" s="4" t="s">
        <v>107</v>
      </c>
      <c r="D167" s="44">
        <v>5</v>
      </c>
      <c r="E167" s="273" t="s">
        <v>271</v>
      </c>
      <c r="F167" s="273">
        <v>2016</v>
      </c>
      <c r="G167" s="273">
        <v>2020</v>
      </c>
      <c r="H167" s="112">
        <f>+I167+J167</f>
        <v>290766.37</v>
      </c>
      <c r="I167" s="112">
        <v>55029.98</v>
      </c>
      <c r="J167" s="112">
        <v>235736.39</v>
      </c>
      <c r="K167" s="43"/>
      <c r="L167" s="43"/>
      <c r="M167" s="330"/>
      <c r="N167" s="176"/>
    </row>
    <row r="168" spans="1:20" s="36" customFormat="1" ht="52.5" customHeight="1" x14ac:dyDescent="0.25">
      <c r="A168" s="172" t="s">
        <v>132</v>
      </c>
      <c r="B168" s="43"/>
      <c r="C168" s="4" t="s">
        <v>294</v>
      </c>
      <c r="D168" s="44">
        <v>5</v>
      </c>
      <c r="E168" s="273" t="s">
        <v>164</v>
      </c>
      <c r="F168" s="242">
        <v>2017</v>
      </c>
      <c r="G168" s="242">
        <v>2020</v>
      </c>
      <c r="H168" s="95">
        <f>I168</f>
        <v>3457000</v>
      </c>
      <c r="I168" s="95">
        <v>3457000</v>
      </c>
      <c r="J168" s="273"/>
      <c r="K168" s="43"/>
      <c r="L168" s="43"/>
      <c r="M168" s="330"/>
      <c r="N168" s="176"/>
    </row>
    <row r="169" spans="1:20" s="36" customFormat="1" ht="18" customHeight="1" x14ac:dyDescent="0.25">
      <c r="A169" s="175" t="s">
        <v>31</v>
      </c>
      <c r="B169" s="43"/>
      <c r="C169" s="42" t="s">
        <v>108</v>
      </c>
      <c r="D169" s="44"/>
      <c r="E169" s="274"/>
      <c r="F169" s="273"/>
      <c r="G169" s="273"/>
      <c r="H169" s="273"/>
      <c r="I169" s="273"/>
      <c r="J169" s="273"/>
      <c r="K169" s="43"/>
      <c r="L169" s="43"/>
      <c r="M169" s="330"/>
      <c r="N169" s="176"/>
    </row>
    <row r="170" spans="1:20" s="36" customFormat="1" ht="44.25" customHeight="1" x14ac:dyDescent="0.25">
      <c r="A170" s="172" t="s">
        <v>133</v>
      </c>
      <c r="B170" s="43"/>
      <c r="C170" s="39" t="s">
        <v>194</v>
      </c>
      <c r="D170" s="44">
        <v>5</v>
      </c>
      <c r="E170" s="273" t="s">
        <v>255</v>
      </c>
      <c r="F170" s="273">
        <v>2016</v>
      </c>
      <c r="G170" s="273">
        <v>2019</v>
      </c>
      <c r="H170" s="112">
        <v>4601547.3899999997</v>
      </c>
      <c r="I170" s="112">
        <v>833110.55</v>
      </c>
      <c r="J170" s="112">
        <v>3768436.84</v>
      </c>
      <c r="K170" s="43"/>
      <c r="L170" s="43"/>
      <c r="M170" s="330"/>
      <c r="N170" s="176"/>
    </row>
    <row r="171" spans="1:20" s="36" customFormat="1" ht="44.25" customHeight="1" x14ac:dyDescent="0.25">
      <c r="A171" s="353" t="s">
        <v>316</v>
      </c>
      <c r="B171" s="216"/>
      <c r="C171" s="360" t="s">
        <v>315</v>
      </c>
      <c r="D171" s="352">
        <v>5</v>
      </c>
      <c r="E171" s="216"/>
      <c r="F171" s="216">
        <v>2017</v>
      </c>
      <c r="G171" s="216">
        <v>2018</v>
      </c>
      <c r="H171" s="214">
        <f>+I171</f>
        <v>61000</v>
      </c>
      <c r="I171" s="214">
        <v>61000</v>
      </c>
      <c r="J171" s="214"/>
      <c r="K171" s="43"/>
      <c r="L171" s="3"/>
      <c r="M171" s="330"/>
      <c r="N171" s="359" t="s">
        <v>327</v>
      </c>
    </row>
    <row r="172" spans="1:20" s="36" customFormat="1" ht="15" x14ac:dyDescent="0.25">
      <c r="A172" s="150"/>
      <c r="B172" s="135"/>
      <c r="C172" s="135"/>
      <c r="D172" s="135"/>
      <c r="E172" s="135"/>
      <c r="F172" s="135"/>
      <c r="G172" s="136" t="s">
        <v>25</v>
      </c>
      <c r="H172" s="138">
        <f t="shared" ref="H172:M172" si="21">SUM(H164:H171)</f>
        <v>9602737.8399999999</v>
      </c>
      <c r="I172" s="138">
        <f t="shared" si="21"/>
        <v>5095761</v>
      </c>
      <c r="J172" s="138">
        <f t="shared" si="21"/>
        <v>4506976.84</v>
      </c>
      <c r="K172" s="138">
        <f t="shared" si="21"/>
        <v>0</v>
      </c>
      <c r="L172" s="138">
        <f t="shared" si="21"/>
        <v>0</v>
      </c>
      <c r="M172" s="331">
        <f t="shared" si="21"/>
        <v>0</v>
      </c>
      <c r="N172" s="177"/>
    </row>
    <row r="173" spans="1:20" s="36" customFormat="1" ht="16.5" customHeight="1" x14ac:dyDescent="0.25">
      <c r="A173" s="682" t="s">
        <v>137</v>
      </c>
      <c r="B173" s="683"/>
      <c r="C173" s="683"/>
      <c r="D173" s="683"/>
      <c r="E173" s="683"/>
      <c r="F173" s="683"/>
      <c r="G173" s="683"/>
      <c r="H173" s="683"/>
      <c r="I173" s="683"/>
      <c r="J173" s="683"/>
      <c r="K173" s="683"/>
      <c r="L173" s="683"/>
      <c r="M173" s="684"/>
      <c r="N173" s="685"/>
    </row>
    <row r="174" spans="1:20" s="36" customFormat="1" ht="42" customHeight="1" x14ac:dyDescent="0.25">
      <c r="A174" s="175" t="s">
        <v>127</v>
      </c>
      <c r="B174" s="43"/>
      <c r="C174" s="225" t="s">
        <v>193</v>
      </c>
      <c r="D174" s="241">
        <v>5</v>
      </c>
      <c r="E174" s="242" t="s">
        <v>173</v>
      </c>
      <c r="F174" s="242">
        <v>2015</v>
      </c>
      <c r="G174" s="242">
        <v>2018</v>
      </c>
      <c r="H174" s="95">
        <f>SUM(I174:M174)</f>
        <v>553800</v>
      </c>
      <c r="I174" s="95">
        <v>20000</v>
      </c>
      <c r="J174" s="95"/>
      <c r="K174" s="95">
        <v>522000</v>
      </c>
      <c r="L174" s="95"/>
      <c r="M174" s="320">
        <v>11800</v>
      </c>
      <c r="N174" s="202"/>
      <c r="T174" s="194"/>
    </row>
    <row r="175" spans="1:20" s="36" customFormat="1" ht="21" customHeight="1" x14ac:dyDescent="0.25">
      <c r="A175" s="459" t="s">
        <v>34</v>
      </c>
      <c r="B175" s="43"/>
      <c r="C175" s="680" t="s">
        <v>192</v>
      </c>
      <c r="D175" s="463">
        <v>5</v>
      </c>
      <c r="E175" s="464" t="s">
        <v>173</v>
      </c>
      <c r="F175" s="464">
        <v>2017</v>
      </c>
      <c r="G175" s="464">
        <v>2020</v>
      </c>
      <c r="H175" s="465">
        <f>SUM(I175:M175)</f>
        <v>2367040</v>
      </c>
      <c r="I175" s="466">
        <f>85235+733805</f>
        <v>819040</v>
      </c>
      <c r="J175" s="465">
        <v>1548000</v>
      </c>
      <c r="K175" s="465"/>
      <c r="L175" s="465"/>
      <c r="M175" s="467"/>
      <c r="N175" s="621" t="s">
        <v>355</v>
      </c>
    </row>
    <row r="176" spans="1:20" s="36" customFormat="1" ht="24" customHeight="1" x14ac:dyDescent="0.25">
      <c r="A176" s="458"/>
      <c r="B176" s="43"/>
      <c r="C176" s="681"/>
      <c r="D176" s="468"/>
      <c r="E176" s="469"/>
      <c r="F176" s="469"/>
      <c r="G176" s="469"/>
      <c r="H176" s="470"/>
      <c r="I176" s="471">
        <v>85235</v>
      </c>
      <c r="J176" s="470"/>
      <c r="K176" s="470"/>
      <c r="L176" s="470"/>
      <c r="M176" s="472"/>
      <c r="N176" s="671"/>
    </row>
    <row r="177" spans="1:14" s="36" customFormat="1" ht="45" customHeight="1" x14ac:dyDescent="0.25">
      <c r="A177" s="175" t="s">
        <v>15</v>
      </c>
      <c r="B177" s="43"/>
      <c r="C177" s="213" t="s">
        <v>182</v>
      </c>
      <c r="D177" s="241">
        <v>5</v>
      </c>
      <c r="E177" s="242" t="s">
        <v>164</v>
      </c>
      <c r="F177" s="242">
        <v>2017</v>
      </c>
      <c r="G177" s="242">
        <v>2019</v>
      </c>
      <c r="H177" s="95">
        <f t="shared" ref="H177:H180" si="22">SUM(I177:M177)</f>
        <v>700000</v>
      </c>
      <c r="I177" s="95">
        <v>450000</v>
      </c>
      <c r="J177" s="95"/>
      <c r="K177" s="95"/>
      <c r="L177" s="95"/>
      <c r="M177" s="320">
        <v>250000</v>
      </c>
      <c r="N177" s="202"/>
    </row>
    <row r="178" spans="1:14" s="36" customFormat="1" ht="42" customHeight="1" x14ac:dyDescent="0.25">
      <c r="A178" s="175" t="s">
        <v>16</v>
      </c>
      <c r="B178" s="43"/>
      <c r="C178" s="225" t="s">
        <v>109</v>
      </c>
      <c r="D178" s="241">
        <v>5</v>
      </c>
      <c r="E178" s="242" t="s">
        <v>98</v>
      </c>
      <c r="F178" s="242">
        <v>2017</v>
      </c>
      <c r="G178" s="242">
        <v>2019</v>
      </c>
      <c r="H178" s="95">
        <f t="shared" si="22"/>
        <v>335000</v>
      </c>
      <c r="I178" s="115">
        <v>335000</v>
      </c>
      <c r="J178" s="300"/>
      <c r="K178" s="301"/>
      <c r="L178" s="301"/>
      <c r="M178" s="332"/>
      <c r="N178" s="302"/>
    </row>
    <row r="179" spans="1:14" s="36" customFormat="1" ht="42" customHeight="1" x14ac:dyDescent="0.25">
      <c r="A179" s="460" t="s">
        <v>356</v>
      </c>
      <c r="B179" s="461"/>
      <c r="C179" s="195" t="s">
        <v>357</v>
      </c>
      <c r="D179" s="352">
        <v>5</v>
      </c>
      <c r="E179" s="216"/>
      <c r="F179" s="216">
        <v>2018</v>
      </c>
      <c r="G179" s="216">
        <v>2021</v>
      </c>
      <c r="H179" s="214">
        <v>3053030</v>
      </c>
      <c r="I179" s="361">
        <v>3053030</v>
      </c>
      <c r="J179" s="462"/>
      <c r="K179" s="304"/>
      <c r="L179" s="304"/>
      <c r="M179" s="333"/>
      <c r="N179" s="305"/>
    </row>
    <row r="180" spans="1:14" s="36" customFormat="1" ht="30.75" customHeight="1" x14ac:dyDescent="0.25">
      <c r="A180" s="298" t="s">
        <v>307</v>
      </c>
      <c r="B180" s="299"/>
      <c r="C180" s="225" t="s">
        <v>308</v>
      </c>
      <c r="D180" s="241">
        <v>5</v>
      </c>
      <c r="E180" s="242"/>
      <c r="F180" s="242">
        <v>2019</v>
      </c>
      <c r="G180" s="242">
        <v>2020</v>
      </c>
      <c r="H180" s="95">
        <f t="shared" si="22"/>
        <v>100000</v>
      </c>
      <c r="I180" s="182">
        <v>100000</v>
      </c>
      <c r="J180" s="303"/>
      <c r="K180" s="304"/>
      <c r="L180" s="304"/>
      <c r="M180" s="333"/>
      <c r="N180" s="305"/>
    </row>
    <row r="181" spans="1:14" s="36" customFormat="1" ht="42" customHeight="1" x14ac:dyDescent="0.25">
      <c r="A181" s="298" t="s">
        <v>317</v>
      </c>
      <c r="B181" s="299"/>
      <c r="C181" s="195" t="s">
        <v>352</v>
      </c>
      <c r="D181" s="352">
        <v>5</v>
      </c>
      <c r="E181" s="216"/>
      <c r="F181" s="216">
        <v>2017</v>
      </c>
      <c r="G181" s="216">
        <v>2018</v>
      </c>
      <c r="H181" s="214">
        <v>29000</v>
      </c>
      <c r="I181" s="361">
        <v>29000</v>
      </c>
      <c r="J181" s="303"/>
      <c r="K181" s="304"/>
      <c r="L181" s="304"/>
      <c r="M181" s="333"/>
      <c r="N181" s="359" t="s">
        <v>327</v>
      </c>
    </row>
    <row r="182" spans="1:14" s="36" customFormat="1" ht="15" customHeight="1" thickBot="1" x14ac:dyDescent="0.3">
      <c r="A182" s="178"/>
      <c r="B182" s="133"/>
      <c r="C182" s="132"/>
      <c r="D182" s="132"/>
      <c r="E182" s="132"/>
      <c r="F182" s="132"/>
      <c r="G182" s="131" t="s">
        <v>25</v>
      </c>
      <c r="H182" s="107">
        <f>SUM(H174:H181)</f>
        <v>7137870</v>
      </c>
      <c r="I182" s="107">
        <f>SUM(I174:I181)-I176</f>
        <v>4806070</v>
      </c>
      <c r="J182" s="107">
        <f t="shared" ref="J182:M182" si="23">SUM(J174:J181)-J176</f>
        <v>1548000</v>
      </c>
      <c r="K182" s="107">
        <f t="shared" si="23"/>
        <v>522000</v>
      </c>
      <c r="L182" s="107">
        <f t="shared" si="23"/>
        <v>0</v>
      </c>
      <c r="M182" s="107">
        <f t="shared" si="23"/>
        <v>261800</v>
      </c>
      <c r="N182" s="179"/>
    </row>
    <row r="183" spans="1:14" ht="13.5" thickBot="1" x14ac:dyDescent="0.25">
      <c r="A183" s="632" t="s">
        <v>177</v>
      </c>
      <c r="B183" s="575"/>
      <c r="C183" s="575"/>
      <c r="D183" s="575"/>
      <c r="E183" s="575"/>
      <c r="F183" s="575"/>
      <c r="G183" s="575"/>
      <c r="H183" s="180">
        <f>SUMIF(G11:G182,"Iš viso:",H11:H182)</f>
        <v>244788907.58000004</v>
      </c>
      <c r="I183" s="180">
        <f>SUMIF(G11:G182,"Iš viso:",I11:I182)</f>
        <v>149862593.65000001</v>
      </c>
      <c r="J183" s="180">
        <f>SUMIF(G11:G182,"Iš viso:",J11:J182)</f>
        <v>59588468.360000014</v>
      </c>
      <c r="K183" s="180">
        <f>SUMIF(G11:G182,"Iš viso:",K11:K182)</f>
        <v>8542012.6600000001</v>
      </c>
      <c r="L183" s="180">
        <f>SUMIF(G11:G182,"Iš viso:",L11:L182)</f>
        <v>16501814.250000002</v>
      </c>
      <c r="M183" s="334">
        <f>SUMIF(G11:G182,"Iš viso:",M11:M182)</f>
        <v>10294018.66</v>
      </c>
      <c r="N183" s="181"/>
    </row>
    <row r="185" spans="1:14" x14ac:dyDescent="0.2">
      <c r="G185" s="457" t="s">
        <v>353</v>
      </c>
      <c r="H185" s="457"/>
      <c r="I185" s="457"/>
    </row>
    <row r="187" spans="1:14" x14ac:dyDescent="0.2">
      <c r="I187" s="66"/>
    </row>
  </sheetData>
  <mergeCells count="70">
    <mergeCell ref="C175:C176"/>
    <mergeCell ref="N175:N176"/>
    <mergeCell ref="A163:N163"/>
    <mergeCell ref="A173:N173"/>
    <mergeCell ref="A152:N152"/>
    <mergeCell ref="C102:C103"/>
    <mergeCell ref="N102:N103"/>
    <mergeCell ref="C128:C129"/>
    <mergeCell ref="N128:N129"/>
    <mergeCell ref="C134:C135"/>
    <mergeCell ref="A119:N119"/>
    <mergeCell ref="A127:N127"/>
    <mergeCell ref="C106:C107"/>
    <mergeCell ref="C143:C144"/>
    <mergeCell ref="N143:N144"/>
    <mergeCell ref="H131:H132"/>
    <mergeCell ref="N131:N132"/>
    <mergeCell ref="N155:N156"/>
    <mergeCell ref="N134:N135"/>
    <mergeCell ref="C95:C96"/>
    <mergeCell ref="N85:N86"/>
    <mergeCell ref="N95:N96"/>
    <mergeCell ref="N104:N105"/>
    <mergeCell ref="B8:B9"/>
    <mergeCell ref="C8:C9"/>
    <mergeCell ref="D8:D9"/>
    <mergeCell ref="E8:E9"/>
    <mergeCell ref="F8:G8"/>
    <mergeCell ref="C14:C15"/>
    <mergeCell ref="N20:N21"/>
    <mergeCell ref="N28:N29"/>
    <mergeCell ref="C28:C29"/>
    <mergeCell ref="N8:N9"/>
    <mergeCell ref="A11:N11"/>
    <mergeCell ref="A19:N19"/>
    <mergeCell ref="C64:C65"/>
    <mergeCell ref="A183:G183"/>
    <mergeCell ref="A22:A23"/>
    <mergeCell ref="B22:B23"/>
    <mergeCell ref="C22:C23"/>
    <mergeCell ref="C52:C53"/>
    <mergeCell ref="C50:C51"/>
    <mergeCell ref="C24:C25"/>
    <mergeCell ref="C131:C132"/>
    <mergeCell ref="A131:A132"/>
    <mergeCell ref="D131:D132"/>
    <mergeCell ref="F131:F132"/>
    <mergeCell ref="G131:G132"/>
    <mergeCell ref="A35:N35"/>
    <mergeCell ref="C113:C114"/>
    <mergeCell ref="N24:N25"/>
    <mergeCell ref="N14:N15"/>
    <mergeCell ref="E14:E15"/>
    <mergeCell ref="M8:M9"/>
    <mergeCell ref="A8:A9"/>
    <mergeCell ref="I8:I9"/>
    <mergeCell ref="J8:J9"/>
    <mergeCell ref="K8:K9"/>
    <mergeCell ref="L8:L9"/>
    <mergeCell ref="H8:H9"/>
    <mergeCell ref="J1:N1"/>
    <mergeCell ref="A2:N2"/>
    <mergeCell ref="C4:F4"/>
    <mergeCell ref="C5:G5"/>
    <mergeCell ref="C6:F6"/>
    <mergeCell ref="N50:N51"/>
    <mergeCell ref="N44:N45"/>
    <mergeCell ref="N59:N60"/>
    <mergeCell ref="N64:N65"/>
    <mergeCell ref="N66:N67"/>
  </mergeCells>
  <pageMargins left="0.98425196850393704" right="0.19685039370078741" top="0.74803149606299213" bottom="0.39370078740157483" header="0.31496062992125984" footer="0.31496062992125984"/>
  <pageSetup paperSize="9" scale="49" orientation="portrait" r:id="rId1"/>
  <rowBreaks count="1" manualBreakCount="1">
    <brk id="172"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Projektų sąrašas </vt:lpstr>
      <vt:lpstr>lyginamasis variantas</vt:lpstr>
      <vt:lpstr>'lyginamasis variantas'!Print_Area</vt:lpstr>
      <vt:lpstr>'Projektų sąrašas '!Print_Area</vt:lpstr>
      <vt:lpstr>'lyginamasis variantas'!Print_Titles</vt:lpstr>
      <vt:lpstr>'Projektų sąrašas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Lietute Demidova</cp:lastModifiedBy>
  <cp:lastPrinted>2019-01-31T08:44:42Z</cp:lastPrinted>
  <dcterms:created xsi:type="dcterms:W3CDTF">2016-08-26T11:07:05Z</dcterms:created>
  <dcterms:modified xsi:type="dcterms:W3CDTF">2019-02-05T07:20:27Z</dcterms:modified>
</cp:coreProperties>
</file>