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8 SVP ataskaita\Sprendimas\"/>
    </mc:Choice>
  </mc:AlternateContent>
  <bookViews>
    <workbookView xWindow="0" yWindow="0" windowWidth="28800" windowHeight="12000" activeTab="1"/>
  </bookViews>
  <sheets>
    <sheet name="Ataskaita" sheetId="11" r:id="rId1"/>
    <sheet name="Priemonių suvestinė" sheetId="9" r:id="rId2"/>
    <sheet name="aiškinamoji lentelė 2018 m." sheetId="13" state="hidden" r:id="rId3"/>
  </sheets>
  <definedNames>
    <definedName name="_xlnm.Print_Area" localSheetId="1">'Priemonių suvestinė'!$A$1:$O$227</definedName>
    <definedName name="_xlnm.Print_Titles" localSheetId="1">'Priemonių suvestinė'!$4:$6</definedName>
  </definedNames>
  <calcPr calcId="162913" fullPrecision="0"/>
</workbook>
</file>

<file path=xl/calcChain.xml><?xml version="1.0" encoding="utf-8"?>
<calcChain xmlns="http://schemas.openxmlformats.org/spreadsheetml/2006/main">
  <c r="K155" i="9" l="1"/>
  <c r="J195" i="9" l="1"/>
  <c r="I195" i="9"/>
  <c r="J167" i="9"/>
  <c r="J121" i="9" l="1"/>
  <c r="J80" i="9" l="1"/>
  <c r="I59" i="9"/>
  <c r="J40" i="9"/>
  <c r="J26" i="9"/>
  <c r="J217" i="9" l="1"/>
  <c r="I217" i="9"/>
  <c r="J147" i="9" l="1"/>
  <c r="M101" i="9" l="1"/>
  <c r="J155" i="9" l="1"/>
  <c r="I155" i="9"/>
  <c r="H155" i="9"/>
  <c r="J41" i="9"/>
  <c r="J59" i="9" s="1"/>
  <c r="J47" i="9"/>
  <c r="I167" i="9" l="1"/>
  <c r="J62" i="9"/>
  <c r="J211" i="9" l="1"/>
  <c r="H223" i="9"/>
  <c r="H222" i="9"/>
  <c r="H221" i="9"/>
  <c r="H220" i="9"/>
  <c r="H212" i="9"/>
  <c r="H218" i="9"/>
  <c r="H217" i="9"/>
  <c r="H215" i="9"/>
  <c r="H211" i="9"/>
  <c r="H198" i="9" l="1"/>
  <c r="H172" i="9"/>
  <c r="H214" i="9" s="1"/>
  <c r="H167" i="9"/>
  <c r="H150" i="9"/>
  <c r="H131" i="9"/>
  <c r="H147" i="9" s="1"/>
  <c r="H127" i="9"/>
  <c r="H124" i="9"/>
  <c r="H98" i="9"/>
  <c r="H97" i="9"/>
  <c r="H93" i="9"/>
  <c r="H87" i="9"/>
  <c r="H80" i="9"/>
  <c r="H67" i="9"/>
  <c r="H59" i="9"/>
  <c r="H40" i="9"/>
  <c r="H26" i="9"/>
  <c r="J67" i="9"/>
  <c r="J87" i="9"/>
  <c r="J93" i="9"/>
  <c r="J124" i="9"/>
  <c r="J127" i="9"/>
  <c r="J150" i="9"/>
  <c r="J198" i="9"/>
  <c r="J212" i="9"/>
  <c r="J213" i="9"/>
  <c r="J214" i="9"/>
  <c r="J215" i="9"/>
  <c r="J216" i="9"/>
  <c r="J218" i="9"/>
  <c r="J220" i="9"/>
  <c r="J221" i="9"/>
  <c r="J222" i="9"/>
  <c r="J223" i="9"/>
  <c r="J168" i="9" l="1"/>
  <c r="J94" i="9"/>
  <c r="H121" i="9"/>
  <c r="H128" i="9" s="1"/>
  <c r="H213" i="9"/>
  <c r="H210" i="9" s="1"/>
  <c r="H195" i="9"/>
  <c r="J128" i="9"/>
  <c r="H216" i="9"/>
  <c r="J199" i="9"/>
  <c r="H199" i="9"/>
  <c r="H168" i="9"/>
  <c r="J210" i="9"/>
  <c r="J209" i="9" s="1"/>
  <c r="J219" i="9"/>
  <c r="H219" i="9"/>
  <c r="H94" i="9"/>
  <c r="I172" i="9"/>
  <c r="I170" i="9"/>
  <c r="I133" i="9"/>
  <c r="I131" i="9"/>
  <c r="I68" i="9"/>
  <c r="I65" i="9"/>
  <c r="I62" i="9"/>
  <c r="I61" i="9"/>
  <c r="I27" i="9"/>
  <c r="N270" i="13"/>
  <c r="M270" i="13"/>
  <c r="L270" i="13"/>
  <c r="K270" i="13"/>
  <c r="N269" i="13"/>
  <c r="M269" i="13"/>
  <c r="L269" i="13"/>
  <c r="K269" i="13"/>
  <c r="N268" i="13"/>
  <c r="M268" i="13"/>
  <c r="L268" i="13"/>
  <c r="K268" i="13"/>
  <c r="N267" i="13"/>
  <c r="M267" i="13"/>
  <c r="L267" i="13"/>
  <c r="K267" i="13"/>
  <c r="K266" i="13" s="1"/>
  <c r="N266" i="13"/>
  <c r="M266" i="13"/>
  <c r="L266" i="13"/>
  <c r="N265" i="13"/>
  <c r="M265" i="13"/>
  <c r="L265" i="13"/>
  <c r="N264" i="13"/>
  <c r="M264" i="13"/>
  <c r="L264" i="13"/>
  <c r="K264" i="13"/>
  <c r="N263" i="13"/>
  <c r="M263" i="13"/>
  <c r="L263" i="13"/>
  <c r="K263" i="13"/>
  <c r="N262" i="13"/>
  <c r="M262" i="13"/>
  <c r="L262" i="13"/>
  <c r="K262" i="13"/>
  <c r="N261" i="13"/>
  <c r="N260" i="13"/>
  <c r="M260" i="13"/>
  <c r="L260" i="13"/>
  <c r="N259" i="13"/>
  <c r="M259" i="13"/>
  <c r="L259" i="13"/>
  <c r="K259" i="13"/>
  <c r="N247" i="13"/>
  <c r="M247" i="13"/>
  <c r="M248" i="13" s="1"/>
  <c r="L247" i="13"/>
  <c r="L248" i="13" s="1"/>
  <c r="K247" i="13"/>
  <c r="L244" i="13"/>
  <c r="K244" i="13"/>
  <c r="M243" i="13"/>
  <c r="L243" i="13"/>
  <c r="K241" i="13"/>
  <c r="N238" i="13"/>
  <c r="N243" i="13" s="1"/>
  <c r="M238" i="13"/>
  <c r="L238" i="13"/>
  <c r="K238" i="13"/>
  <c r="K233" i="13"/>
  <c r="K231" i="13"/>
  <c r="K229" i="13"/>
  <c r="K228" i="13"/>
  <c r="K207" i="13"/>
  <c r="K243" i="13" s="1"/>
  <c r="N203" i="13"/>
  <c r="N204" i="13" s="1"/>
  <c r="M203" i="13"/>
  <c r="M204" i="13" s="1"/>
  <c r="L203" i="13"/>
  <c r="K203" i="13"/>
  <c r="K204" i="13" s="1"/>
  <c r="L188" i="13"/>
  <c r="K188" i="13"/>
  <c r="N184" i="13"/>
  <c r="M184" i="13"/>
  <c r="L184" i="13"/>
  <c r="K184" i="13"/>
  <c r="N180" i="13"/>
  <c r="M180" i="13"/>
  <c r="M178" i="13"/>
  <c r="K177" i="13"/>
  <c r="K260" i="13" s="1"/>
  <c r="L176" i="13"/>
  <c r="L180" i="13" s="1"/>
  <c r="K176" i="13"/>
  <c r="K168" i="13"/>
  <c r="K180" i="13" s="1"/>
  <c r="N155" i="13"/>
  <c r="M155" i="13"/>
  <c r="L155" i="13"/>
  <c r="K155" i="13"/>
  <c r="N152" i="13"/>
  <c r="M152" i="13"/>
  <c r="L152" i="13"/>
  <c r="L156" i="13" s="1"/>
  <c r="K152" i="13"/>
  <c r="N149" i="13"/>
  <c r="M149" i="13"/>
  <c r="L149" i="13"/>
  <c r="K149" i="13"/>
  <c r="K125" i="13"/>
  <c r="R122" i="13"/>
  <c r="Q122" i="13"/>
  <c r="S122" i="13" s="1"/>
  <c r="N122" i="13"/>
  <c r="N258" i="13" s="1"/>
  <c r="N257" i="13" s="1"/>
  <c r="N256" i="13" s="1"/>
  <c r="N271" i="13" s="1"/>
  <c r="M122" i="13"/>
  <c r="M142" i="13" s="1"/>
  <c r="L122" i="13"/>
  <c r="L142" i="13" s="1"/>
  <c r="S121" i="13"/>
  <c r="R121" i="13"/>
  <c r="Q121" i="13"/>
  <c r="K119" i="13"/>
  <c r="K118" i="13"/>
  <c r="K142" i="13" s="1"/>
  <c r="N113" i="13"/>
  <c r="N114" i="13" s="1"/>
  <c r="M113" i="13"/>
  <c r="L113" i="13"/>
  <c r="K113" i="13"/>
  <c r="N108" i="13"/>
  <c r="M108" i="13"/>
  <c r="K108" i="13"/>
  <c r="L101" i="13"/>
  <c r="L108" i="13" s="1"/>
  <c r="N96" i="13"/>
  <c r="L87" i="13"/>
  <c r="M83" i="13"/>
  <c r="M258" i="13" s="1"/>
  <c r="L83" i="13"/>
  <c r="L96" i="13" s="1"/>
  <c r="K83" i="13"/>
  <c r="K96" i="13" s="1"/>
  <c r="N80" i="13"/>
  <c r="M80" i="13"/>
  <c r="L80" i="13"/>
  <c r="K73" i="13"/>
  <c r="L70" i="13"/>
  <c r="K70" i="13"/>
  <c r="K69" i="13"/>
  <c r="K80" i="13" s="1"/>
  <c r="N67" i="13"/>
  <c r="M67" i="13"/>
  <c r="L67" i="13"/>
  <c r="K62" i="13"/>
  <c r="L61" i="13"/>
  <c r="K61" i="13"/>
  <c r="K60" i="13"/>
  <c r="K265" i="13" s="1"/>
  <c r="K57" i="13"/>
  <c r="K55" i="13"/>
  <c r="K53" i="13"/>
  <c r="K52" i="13"/>
  <c r="K261" i="13" s="1"/>
  <c r="N50" i="13"/>
  <c r="L46" i="13"/>
  <c r="K46" i="13"/>
  <c r="L42" i="13"/>
  <c r="L50" i="13" s="1"/>
  <c r="K42" i="13"/>
  <c r="K258" i="13" s="1"/>
  <c r="K257" i="13" s="1"/>
  <c r="K256" i="13" s="1"/>
  <c r="K271" i="13" s="1"/>
  <c r="M41" i="13"/>
  <c r="M261" i="13" s="1"/>
  <c r="L41" i="13"/>
  <c r="K38" i="13"/>
  <c r="N35" i="13"/>
  <c r="M35" i="13"/>
  <c r="K35" i="13"/>
  <c r="L24" i="13"/>
  <c r="L258" i="13" s="1"/>
  <c r="K24" i="13"/>
  <c r="K17" i="13"/>
  <c r="I14" i="9"/>
  <c r="I147" i="9" l="1"/>
  <c r="J200" i="9"/>
  <c r="J201" i="9" s="1"/>
  <c r="H209" i="9"/>
  <c r="H224" i="9" s="1"/>
  <c r="I211" i="9"/>
  <c r="J224" i="9"/>
  <c r="H200" i="9"/>
  <c r="H201" i="9" s="1"/>
  <c r="K114" i="13"/>
  <c r="M257" i="13"/>
  <c r="M256" i="13" s="1"/>
  <c r="M271" i="13" s="1"/>
  <c r="L114" i="13"/>
  <c r="M156" i="13"/>
  <c r="M249" i="13" s="1"/>
  <c r="M250" i="13" s="1"/>
  <c r="L204" i="13"/>
  <c r="N248" i="13"/>
  <c r="K248" i="13"/>
  <c r="K156" i="13"/>
  <c r="L249" i="13"/>
  <c r="L250" i="13" s="1"/>
  <c r="K67" i="13"/>
  <c r="L261" i="13"/>
  <c r="L257" i="13" s="1"/>
  <c r="L256" i="13" s="1"/>
  <c r="L271" i="13" s="1"/>
  <c r="L35" i="13"/>
  <c r="M50" i="13"/>
  <c r="M114" i="13" s="1"/>
  <c r="M96" i="13"/>
  <c r="K50" i="13"/>
  <c r="N142" i="13"/>
  <c r="N156" i="13" s="1"/>
  <c r="K249" i="13" l="1"/>
  <c r="K250" i="13" s="1"/>
  <c r="N249" i="13"/>
  <c r="N250" i="13" s="1"/>
  <c r="I99" i="9" l="1"/>
  <c r="I218" i="9" s="1"/>
  <c r="I98" i="9"/>
  <c r="I97" i="9"/>
  <c r="I127" i="9" l="1"/>
  <c r="I124" i="9" l="1"/>
  <c r="I121" i="9"/>
  <c r="I128" i="9" l="1"/>
  <c r="I67" i="9"/>
  <c r="I93" i="9"/>
  <c r="I87" i="9"/>
  <c r="I80" i="9"/>
  <c r="I40" i="9"/>
  <c r="I26" i="9" l="1"/>
  <c r="I94" i="9" s="1"/>
  <c r="I223" i="9" l="1"/>
  <c r="I222" i="9"/>
  <c r="I221" i="9"/>
  <c r="I220" i="9"/>
  <c r="I216" i="9"/>
  <c r="I215" i="9"/>
  <c r="I213" i="9"/>
  <c r="I212" i="9"/>
  <c r="I198" i="9"/>
  <c r="I214" i="9"/>
  <c r="I150" i="9"/>
  <c r="I168" i="9" s="1"/>
  <c r="I210" i="9" l="1"/>
  <c r="I209" i="9" s="1"/>
  <c r="I219" i="9"/>
  <c r="I199" i="9"/>
  <c r="I224" i="9" l="1"/>
  <c r="I200" i="9"/>
  <c r="I201" i="9" s="1"/>
</calcChain>
</file>

<file path=xl/comments1.xml><?xml version="1.0" encoding="utf-8"?>
<comments xmlns="http://schemas.openxmlformats.org/spreadsheetml/2006/main">
  <authors>
    <author>Audra Cepiene</author>
  </authors>
  <commentList>
    <comment ref="E14"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G25"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27"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D36" authorId="0" shapeId="0">
      <text>
        <r>
          <rPr>
            <b/>
            <sz val="9"/>
            <color indexed="81"/>
            <rFont val="Tahoma"/>
            <family val="2"/>
            <charset val="186"/>
          </rPr>
          <t>SPG protokolas 2016-09-23 Nr. STR-12</t>
        </r>
        <r>
          <rPr>
            <sz val="9"/>
            <color indexed="81"/>
            <rFont val="Tahoma"/>
            <family val="2"/>
            <charset val="186"/>
          </rPr>
          <t xml:space="preserve">
</t>
        </r>
      </text>
    </comment>
    <comment ref="E41"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G46" authorId="0" shapeId="0">
      <text>
        <r>
          <rPr>
            <sz val="9"/>
            <color indexed="81"/>
            <rFont val="Tahoma"/>
            <family val="2"/>
            <charset val="186"/>
          </rPr>
          <t>Gyventojų lėšos</t>
        </r>
      </text>
    </comment>
    <comment ref="D57"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E60"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G66" authorId="0" shapeId="0">
      <text>
        <r>
          <rPr>
            <sz val="9"/>
            <color indexed="81"/>
            <rFont val="Tahoma"/>
            <family val="2"/>
            <charset val="186"/>
          </rPr>
          <t xml:space="preserve">AB „Klaipėdos nafta“ skirtia tikslines lėšas 175.000 Eur 
</t>
        </r>
      </text>
    </comment>
    <comment ref="E68"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E81"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K82" authorId="0" shapeId="0">
      <text>
        <r>
          <rPr>
            <sz val="9"/>
            <color indexed="81"/>
            <rFont val="Tahoma"/>
            <family val="2"/>
            <charset val="186"/>
          </rPr>
          <t xml:space="preserve">Techn. projekto </t>
        </r>
        <r>
          <rPr>
            <b/>
            <sz val="9"/>
            <color indexed="81"/>
            <rFont val="Tahoma"/>
            <family val="2"/>
            <charset val="186"/>
          </rPr>
          <t>kaina 534 tūkst. eur ir darbai</t>
        </r>
        <r>
          <rPr>
            <sz val="9"/>
            <color indexed="81"/>
            <rFont val="Tahoma"/>
            <family val="2"/>
            <charset val="186"/>
          </rPr>
          <t xml:space="preserve"> </t>
        </r>
        <r>
          <rPr>
            <sz val="8"/>
            <color indexed="81"/>
            <rFont val="Tahoma"/>
            <family val="2"/>
            <charset val="186"/>
          </rPr>
          <t>(Geologinių, topografinių (geodezinių) tyrinėjimo dokumentų parengimas; Techninis projektas; Investicinis projektas; Detaliojo plano koregavimas)</t>
        </r>
      </text>
    </comment>
    <comment ref="E9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35"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K149"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E157"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160" authorId="0" shapeId="0">
      <text>
        <r>
          <rPr>
            <b/>
            <sz val="9"/>
            <color indexed="81"/>
            <rFont val="Tahoma"/>
            <family val="2"/>
            <charset val="186"/>
          </rPr>
          <t xml:space="preserve">2.1.2.5. </t>
        </r>
        <r>
          <rPr>
            <sz val="9"/>
            <color indexed="81"/>
            <rFont val="Tahoma"/>
            <family val="2"/>
            <charset val="186"/>
          </rPr>
          <t>Sudaryti sąlygas naujų ekologiškų viešojo transporto rūšių atsiradimui</t>
        </r>
      </text>
    </comment>
    <comment ref="D163" authorId="0" shapeId="0">
      <text>
        <r>
          <rPr>
            <sz val="9"/>
            <color indexed="81"/>
            <rFont val="Tahoma"/>
            <family val="2"/>
            <charset val="186"/>
          </rPr>
          <t>Priemonė įtraukta pagal darnaus judumo priemonių planą, el. paštu</t>
        </r>
      </text>
    </comment>
    <comment ref="E163"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E164"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65"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r>
          <rPr>
            <b/>
            <sz val="9"/>
            <color indexed="81"/>
            <rFont val="Tahoma"/>
            <family val="2"/>
            <charset val="186"/>
          </rPr>
          <t xml:space="preserve">
</t>
        </r>
        <r>
          <rPr>
            <sz val="9"/>
            <color indexed="81"/>
            <rFont val="Tahoma"/>
            <family val="2"/>
            <charset val="186"/>
          </rPr>
          <t xml:space="preserve">
</t>
        </r>
      </text>
    </comment>
    <comment ref="L188" authorId="0" shapeId="0">
      <text>
        <r>
          <rPr>
            <b/>
            <sz val="9"/>
            <color indexed="81"/>
            <rFont val="Tahoma"/>
            <family val="2"/>
            <charset val="186"/>
          </rPr>
          <t>neteisingai išversta į ha, turi būti 4,5 ha, o ne 44,5</t>
        </r>
      </text>
    </comment>
    <comment ref="L192"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J201" authorId="0" shapeId="0">
      <text>
        <r>
          <rPr>
            <b/>
            <sz val="9"/>
            <color indexed="81"/>
            <rFont val="Tahoma"/>
            <family val="2"/>
            <charset val="186"/>
          </rPr>
          <t xml:space="preserve">244443,3
</t>
        </r>
        <r>
          <rPr>
            <sz val="9"/>
            <color indexed="81"/>
            <rFont val="Tahoma"/>
            <family val="2"/>
            <charset val="186"/>
          </rPr>
          <t xml:space="preserve">
</t>
        </r>
      </text>
    </comment>
    <comment ref="H210" authorId="0" shapeId="0">
      <text>
        <r>
          <rPr>
            <b/>
            <sz val="9"/>
            <color indexed="81"/>
            <rFont val="Tahoma"/>
            <family val="2"/>
            <charset val="186"/>
          </rPr>
          <t xml:space="preserve">20071,5
</t>
        </r>
        <r>
          <rPr>
            <sz val="9"/>
            <color indexed="81"/>
            <rFont val="Tahoma"/>
            <family val="2"/>
            <charset val="186"/>
          </rPr>
          <t xml:space="preserve">
</t>
        </r>
      </text>
    </comment>
    <comment ref="I210" authorId="0" shapeId="0">
      <text>
        <r>
          <rPr>
            <b/>
            <sz val="9"/>
            <color indexed="81"/>
            <rFont val="Tahoma"/>
            <family val="2"/>
            <charset val="186"/>
          </rPr>
          <t>18063,2</t>
        </r>
        <r>
          <rPr>
            <sz val="9"/>
            <color indexed="81"/>
            <rFont val="Tahoma"/>
            <family val="2"/>
            <charset val="186"/>
          </rPr>
          <t xml:space="preserve">
</t>
        </r>
      </text>
    </comment>
    <comment ref="H224" authorId="0" shapeId="0">
      <text>
        <r>
          <rPr>
            <b/>
            <sz val="9"/>
            <color indexed="81"/>
            <rFont val="Tahoma"/>
            <family val="2"/>
            <charset val="186"/>
          </rPr>
          <t xml:space="preserve">28111
</t>
        </r>
        <r>
          <rPr>
            <sz val="9"/>
            <color indexed="81"/>
            <rFont val="Tahoma"/>
            <family val="2"/>
            <charset val="186"/>
          </rPr>
          <t xml:space="preserve">
</t>
        </r>
      </text>
    </comment>
    <comment ref="I224" authorId="0" shapeId="0">
      <text>
        <r>
          <rPr>
            <b/>
            <sz val="9"/>
            <color indexed="81"/>
            <rFont val="Tahoma"/>
            <family val="2"/>
            <charset val="186"/>
          </rPr>
          <t xml:space="preserve">28292,8
</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F13"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5"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7" authorId="0" shapeId="0">
      <text>
        <r>
          <rPr>
            <b/>
            <sz val="9"/>
            <color indexed="81"/>
            <rFont val="Tahoma"/>
            <family val="2"/>
            <charset val="186"/>
          </rPr>
          <t>SPG protokolas 2016-09-23 Nr. STR-12</t>
        </r>
        <r>
          <rPr>
            <sz val="9"/>
            <color indexed="81"/>
            <rFont val="Tahoma"/>
            <family val="2"/>
            <charset val="186"/>
          </rPr>
          <t xml:space="preserve">
dėl Bastionų g. tiesimo</t>
        </r>
      </text>
    </comment>
    <comment ref="F18"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1" authorId="0" shapeId="0">
      <text>
        <r>
          <rPr>
            <b/>
            <sz val="9"/>
            <color indexed="81"/>
            <rFont val="Tahoma"/>
            <family val="2"/>
            <charset val="186"/>
          </rPr>
          <t xml:space="preserve">P2.1.2.8
</t>
        </r>
        <r>
          <rPr>
            <sz val="9"/>
            <color indexed="81"/>
            <rFont val="Tahoma"/>
            <family val="2"/>
            <charset val="186"/>
          </rPr>
          <t xml:space="preserve">Centrinėje miesto dalyje suformuoti pėsčiųjų takų, zonų ir gatvių tinklą </t>
        </r>
      </text>
    </comment>
    <comment ref="J27"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F28"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3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36"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O40" authorId="0" shapeId="0">
      <text>
        <r>
          <rPr>
            <sz val="9"/>
            <color indexed="81"/>
            <rFont val="Tahoma"/>
            <family val="2"/>
            <charset val="186"/>
          </rPr>
          <t xml:space="preserve">2020 – 2022 m. siūloma įrengti likusias gatves (Žvaigždžių g., Vėjo g. II-ąjį etapą, Slengių g., Arimų g. atkarpą iki Slengių g., Griaustinio g., Lietaus g., Vaivorykštės g.). </t>
        </r>
      </text>
    </comment>
    <comment ref="E44" authorId="0" shapeId="0">
      <text>
        <r>
          <rPr>
            <b/>
            <sz val="9"/>
            <color indexed="81"/>
            <rFont val="Tahoma"/>
            <family val="2"/>
            <charset val="186"/>
          </rPr>
          <t>SPG protokolas 2016-09-23 Nr. STR-12</t>
        </r>
        <r>
          <rPr>
            <sz val="9"/>
            <color indexed="81"/>
            <rFont val="Tahoma"/>
            <family val="2"/>
            <charset val="186"/>
          </rPr>
          <t xml:space="preserve">
</t>
        </r>
      </text>
    </comment>
    <comment ref="F51"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K53" authorId="0" shapeId="0">
      <text>
        <r>
          <rPr>
            <b/>
            <sz val="9"/>
            <color indexed="81"/>
            <rFont val="Tahoma"/>
            <family val="2"/>
            <charset val="186"/>
          </rPr>
          <t>minusuotas likutis</t>
        </r>
        <r>
          <rPr>
            <sz val="9"/>
            <color indexed="81"/>
            <rFont val="Tahoma"/>
            <family val="2"/>
            <charset val="186"/>
          </rPr>
          <t xml:space="preserve">
</t>
        </r>
      </text>
    </comment>
    <comment ref="F60"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O62" authorId="0" shapeId="0">
      <text>
        <r>
          <rPr>
            <sz val="9"/>
            <color indexed="81"/>
            <rFont val="Tahoma"/>
            <family val="2"/>
            <charset val="186"/>
          </rPr>
          <t xml:space="preserve">parengta vienos perėjos techninis projektas 
</t>
        </r>
      </text>
    </comment>
    <comment ref="E65" authorId="0" shapeId="0">
      <text>
        <r>
          <rPr>
            <b/>
            <sz val="9"/>
            <color indexed="81"/>
            <rFont val="Tahoma"/>
            <family val="2"/>
            <charset val="186"/>
          </rPr>
          <t>Koreguojamas pavadinimas:</t>
        </r>
        <r>
          <rPr>
            <sz val="9"/>
            <color indexed="81"/>
            <rFont val="Tahoma"/>
            <family val="2"/>
            <charset val="186"/>
          </rPr>
          <t xml:space="preserve"> buvo Šilutės plento rekonstravimas: (I etapas – nuo Tilžės g. iki Kauno g.; II etapas – nuo Kauno g. iki Dubysos g.)</t>
        </r>
      </text>
    </comment>
    <comment ref="J66" authorId="0" shapeId="0">
      <text>
        <r>
          <rPr>
            <sz val="9"/>
            <color indexed="81"/>
            <rFont val="Tahoma"/>
            <family val="2"/>
            <charset val="186"/>
          </rPr>
          <t>Gyventojų lėšos</t>
        </r>
      </text>
    </comment>
    <comment ref="F68"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J74" authorId="0" shapeId="0">
      <text>
        <r>
          <rPr>
            <sz val="9"/>
            <color indexed="81"/>
            <rFont val="Tahoma"/>
            <family val="2"/>
            <charset val="186"/>
          </rPr>
          <t xml:space="preserve">AB „Klaipėdos nafta“ skirtia tikslines lėšas 175.000 Eur 
</t>
        </r>
      </text>
    </comment>
    <comment ref="E77" authorId="0" shapeId="0">
      <text>
        <r>
          <rPr>
            <sz val="9"/>
            <color indexed="81"/>
            <rFont val="Tahoma"/>
            <family val="2"/>
            <charset val="186"/>
          </rPr>
          <t>SPG protokolas 2016-09-23 Nr. STR-12</t>
        </r>
      </text>
    </comment>
    <comment ref="F81"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O90" authorId="0" shapeId="0">
      <text>
        <r>
          <rPr>
            <sz val="9"/>
            <color indexed="81"/>
            <rFont val="Tahoma"/>
            <family val="2"/>
            <charset val="186"/>
          </rPr>
          <t xml:space="preserve">Techninis parengtas
</t>
        </r>
      </text>
    </comment>
    <comment ref="F97"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O98" authorId="0" shapeId="0">
      <text>
        <r>
          <rPr>
            <sz val="9"/>
            <color indexed="81"/>
            <rFont val="Tahoma"/>
            <family val="2"/>
            <charset val="186"/>
          </rPr>
          <t xml:space="preserve">Techn. projekto </t>
        </r>
        <r>
          <rPr>
            <b/>
            <sz val="9"/>
            <color indexed="81"/>
            <rFont val="Tahoma"/>
            <family val="2"/>
            <charset val="186"/>
          </rPr>
          <t>kaina 534 tūkst. eur ir darbai</t>
        </r>
        <r>
          <rPr>
            <sz val="9"/>
            <color indexed="81"/>
            <rFont val="Tahoma"/>
            <family val="2"/>
            <charset val="186"/>
          </rPr>
          <t xml:space="preserve"> </t>
        </r>
        <r>
          <rPr>
            <sz val="8"/>
            <color indexed="81"/>
            <rFont val="Tahoma"/>
            <family val="2"/>
            <charset val="186"/>
          </rPr>
          <t>(Geologinių, topografinių (geodezinių) tyrinėjimo dokumentų parengimas; Techninis projektas; Investicinis projektas; Detaliojo plano koregavimas)</t>
        </r>
      </text>
    </comment>
    <comment ref="L102" authorId="0" shapeId="0">
      <text>
        <r>
          <rPr>
            <b/>
            <sz val="9"/>
            <color indexed="81"/>
            <rFont val="Tahoma"/>
            <family val="2"/>
            <charset val="186"/>
          </rPr>
          <t xml:space="preserve">10
</t>
        </r>
        <r>
          <rPr>
            <sz val="9"/>
            <color indexed="81"/>
            <rFont val="Tahoma"/>
            <family val="2"/>
            <charset val="186"/>
          </rPr>
          <t xml:space="preserve">
</t>
        </r>
      </text>
    </comment>
    <comment ref="L103" authorId="0" shapeId="0">
      <text>
        <r>
          <rPr>
            <b/>
            <sz val="9"/>
            <color indexed="81"/>
            <rFont val="Tahoma"/>
            <family val="2"/>
            <charset val="186"/>
          </rPr>
          <t xml:space="preserve">746,9
</t>
        </r>
        <r>
          <rPr>
            <sz val="9"/>
            <color indexed="81"/>
            <rFont val="Tahoma"/>
            <family val="2"/>
            <charset val="186"/>
          </rPr>
          <t xml:space="preserve">
</t>
        </r>
      </text>
    </comment>
    <comment ref="M103" authorId="0" shapeId="0">
      <text>
        <r>
          <rPr>
            <b/>
            <sz val="9"/>
            <color indexed="81"/>
            <rFont val="Tahoma"/>
            <family val="2"/>
            <charset val="186"/>
          </rPr>
          <t xml:space="preserve">5000
</t>
        </r>
        <r>
          <rPr>
            <sz val="9"/>
            <color indexed="81"/>
            <rFont val="Tahoma"/>
            <family val="2"/>
            <charset val="186"/>
          </rPr>
          <t xml:space="preserve">
</t>
        </r>
      </text>
    </comment>
    <comment ref="N103" authorId="0" shapeId="0">
      <text>
        <r>
          <rPr>
            <b/>
            <sz val="9"/>
            <color indexed="81"/>
            <rFont val="Tahoma"/>
            <family val="2"/>
            <charset val="186"/>
          </rPr>
          <t xml:space="preserve">8231,9
</t>
        </r>
        <r>
          <rPr>
            <sz val="9"/>
            <color indexed="81"/>
            <rFont val="Tahoma"/>
            <family val="2"/>
            <charset val="186"/>
          </rPr>
          <t xml:space="preserve">
</t>
        </r>
      </text>
    </comment>
    <comment ref="M104" authorId="0" shapeId="0">
      <text>
        <r>
          <rPr>
            <b/>
            <sz val="9"/>
            <color indexed="81"/>
            <rFont val="Tahoma"/>
            <family val="2"/>
            <charset val="186"/>
          </rPr>
          <t xml:space="preserve">10000
</t>
        </r>
        <r>
          <rPr>
            <sz val="9"/>
            <color indexed="81"/>
            <rFont val="Tahoma"/>
            <family val="2"/>
            <charset val="186"/>
          </rPr>
          <t xml:space="preserve">
</t>
        </r>
      </text>
    </comment>
    <comment ref="N104" authorId="0" shapeId="0">
      <text>
        <r>
          <rPr>
            <b/>
            <sz val="9"/>
            <color indexed="81"/>
            <rFont val="Tahoma"/>
            <family val="2"/>
            <charset val="186"/>
          </rPr>
          <t xml:space="preserve">1200
</t>
        </r>
        <r>
          <rPr>
            <sz val="9"/>
            <color indexed="81"/>
            <rFont val="Tahoma"/>
            <family val="2"/>
            <charset val="186"/>
          </rPr>
          <t xml:space="preserve">
</t>
        </r>
      </text>
    </comment>
    <comment ref="F11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3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P135" authorId="0" shapeId="0">
      <text>
        <r>
          <rPr>
            <sz val="9"/>
            <color indexed="81"/>
            <rFont val="Tahoma"/>
            <family val="2"/>
            <charset val="186"/>
          </rPr>
          <t xml:space="preserve">iš viso bus integruota iki 2020 m.  205 vieš. transporto priemonių
</t>
        </r>
      </text>
    </comment>
    <comment ref="F139"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14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150" authorId="0" shapeId="0">
      <text>
        <r>
          <rPr>
            <sz val="9"/>
            <color indexed="81"/>
            <rFont val="Tahoma"/>
            <family val="2"/>
            <charset val="186"/>
          </rPr>
          <t>Projektas vykdomas kartu su Autobusų parku</t>
        </r>
      </text>
    </comment>
    <comment ref="F151"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159"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O165" authorId="0" shapeId="0">
      <text>
        <r>
          <rPr>
            <sz val="9"/>
            <color indexed="81"/>
            <rFont val="Tahoma"/>
            <family val="2"/>
            <charset val="186"/>
          </rPr>
          <t>Pagal projektą "Informacinės kelio ženklų sistemos įrengimas", pabaiga 2018 m.</t>
        </r>
      </text>
    </comment>
    <comment ref="O166" authorId="0" shapeId="0">
      <text>
        <r>
          <rPr>
            <sz val="9"/>
            <color indexed="81"/>
            <rFont val="Tahoma"/>
            <family val="2"/>
            <charset val="186"/>
          </rPr>
          <t xml:space="preserve">Pagal sutartį "Dekoratyvinių kelio ženklų stovų įrengimas", pabaiga 2018 m. </t>
        </r>
      </text>
    </comment>
    <comment ref="K176" authorId="0" shapeId="0">
      <text>
        <r>
          <rPr>
            <sz val="9"/>
            <color indexed="81"/>
            <rFont val="Tahoma"/>
            <family val="2"/>
            <charset val="186"/>
          </rPr>
          <t>Patobulinta ir ekploatuojama programėlė (su start/stop funkcija) išmaniesiems įrenginiais stovėjimo mokesčiui apmokėti, 12 tūkst. eur SB(VR);
Įrengta bankinių kortelių skaitytuvų stovėjimo bilietų automatuose 10 vnt. 30 tūkst. eur SB(VR)</t>
        </r>
      </text>
    </comment>
    <comment ref="L176" authorId="0" shapeId="0">
      <text>
        <r>
          <rPr>
            <sz val="9"/>
            <color indexed="81"/>
            <rFont val="Tahoma"/>
            <family val="2"/>
            <charset val="186"/>
          </rPr>
          <t>Patobulinta ir ekploatuojama programėlė (su start/stop funkcija) išmaniesiems įrenginiais stovėjimo mokesčiui apmokėti, 12 tūkst. eur SB(VR);</t>
        </r>
      </text>
    </comment>
    <comment ref="F181"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O182"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F185" authorId="0" shapeId="0">
      <text>
        <r>
          <rPr>
            <b/>
            <sz val="9"/>
            <color indexed="81"/>
            <rFont val="Tahoma"/>
            <family val="2"/>
            <charset val="186"/>
          </rPr>
          <t>P2, Klaipėdos miesto darnaus judumo planas (2018-09-13, T2-185)</t>
        </r>
      </text>
    </comment>
    <comment ref="F187"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r>
          <rPr>
            <b/>
            <sz val="9"/>
            <color indexed="81"/>
            <rFont val="Tahoma"/>
            <family val="2"/>
            <charset val="186"/>
          </rPr>
          <t xml:space="preserve">P2, Klaipėdos miesto darnaus judumo planas (2018-09-13, T2-185), </t>
        </r>
      </text>
    </comment>
    <comment ref="F190" authorId="0" shapeId="0">
      <text>
        <r>
          <rPr>
            <b/>
            <sz val="9"/>
            <color indexed="81"/>
            <rFont val="Tahoma"/>
            <family val="2"/>
            <charset val="186"/>
          </rPr>
          <t xml:space="preserve">2.1.2.5. </t>
        </r>
        <r>
          <rPr>
            <sz val="9"/>
            <color indexed="81"/>
            <rFont val="Tahoma"/>
            <family val="2"/>
            <charset val="186"/>
          </rPr>
          <t xml:space="preserve">Sudaryti sąlygas naujų ekologiškų viešojo transporto rūšių atsiradimui
</t>
        </r>
        <r>
          <rPr>
            <b/>
            <sz val="9"/>
            <color indexed="81"/>
            <rFont val="Tahoma"/>
            <family val="2"/>
            <charset val="186"/>
          </rPr>
          <t>P2,</t>
        </r>
        <r>
          <rPr>
            <sz val="9"/>
            <color indexed="81"/>
            <rFont val="Tahoma"/>
            <family val="2"/>
            <charset val="186"/>
          </rPr>
          <t xml:space="preserve"> </t>
        </r>
        <r>
          <rPr>
            <b/>
            <sz val="9"/>
            <color indexed="81"/>
            <rFont val="Tahoma"/>
            <family val="2"/>
            <charset val="186"/>
          </rPr>
          <t>Klaipėdos miesto darnaus judumo planas (2018-09-13, T2-185)</t>
        </r>
        <r>
          <rPr>
            <sz val="9"/>
            <color indexed="81"/>
            <rFont val="Tahoma"/>
            <family val="2"/>
            <charset val="186"/>
          </rPr>
          <t xml:space="preserve">
</t>
        </r>
      </text>
    </comment>
    <comment ref="F193"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E196" authorId="0" shapeId="0">
      <text>
        <r>
          <rPr>
            <sz val="9"/>
            <color indexed="81"/>
            <rFont val="Tahoma"/>
            <family val="2"/>
            <charset val="186"/>
          </rPr>
          <t>Priemonė įtraukta pagal darnaus judumo priemonių planą, el. paštu</t>
        </r>
      </text>
    </comment>
    <comment ref="F196" authorId="0" shapeId="0">
      <text>
        <r>
          <rPr>
            <b/>
            <sz val="9"/>
            <color indexed="81"/>
            <rFont val="Tahoma"/>
            <family val="2"/>
            <charset val="186"/>
          </rPr>
          <t xml:space="preserve">P2, Klaipėdos miesto darnaus judumo planas (2018-09-13, T2-185), 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Centrinėje miesto dalyje suformuoti pėsčiųjų takų, zonų ir gatvių tinklą 2.1.2.7</t>
        </r>
      </text>
    </comment>
    <comment ref="O196" authorId="0" shapeId="0">
      <text>
        <r>
          <rPr>
            <sz val="9"/>
            <color indexed="81"/>
            <rFont val="Tahoma"/>
            <family val="2"/>
            <charset val="186"/>
          </rPr>
          <t>2019 m. – 50 000 eurų iš SB techninio projekto parengimui, 2020 m. – 850 000 eurų iš ES ir 150 000 eurų iš SB projekto įgyvendinimui.</t>
        </r>
      </text>
    </comment>
    <comment ref="F199"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200" authorId="0" shapeId="0">
      <text>
        <r>
          <rPr>
            <b/>
            <sz val="9"/>
            <color indexed="81"/>
            <rFont val="Tahoma"/>
            <family val="2"/>
            <charset val="186"/>
          </rPr>
          <t>Audra Cepiene:</t>
        </r>
        <r>
          <rPr>
            <sz val="9"/>
            <color indexed="81"/>
            <rFont val="Tahoma"/>
            <family val="2"/>
            <charset val="186"/>
          </rPr>
          <t xml:space="preserve">
 Klaipėdos miesto savivaldybės administracijos direktorius 2017-08-30 įsakymu Nr. AD1-2155 ,,Dėl elektromobilių įkrovimo stotelių kortelių išdavimo“ 2.2.1 papunkčiu Miesto ūkio departamentui pavedė organizuoti ,,...Klaipėdos miesto savivaldybei priklausančių elektromobilių įkrovimo stotelių eksploatavimą ir priežiūrą...“. Vykdyti elektromobilių įkrovimo stotelių eksploatavimą ir priežiūrą Miesto ūkio departamente nėra kompetentingų specialistų.  
Pažymėtina, kad Klaipėdos mieste šiuo metu įrengtos penkios (Piliavietės aikštelė – 2 vnt., prie savivaldybės pastato – 2 vnt., P&amp;R aikštelėje – 1 vnt.) viešos elektromobilių įkrovimo stotelės, ateityje jų skaičius tik didės. Paskutiniu metu buvo atvejų, kai elektromobilių įkrovimo stotelės sugęsta, o prižiūrėti jas ir eksploatuoti nėra paskirta jokiai įmonei. </t>
        </r>
      </text>
    </comment>
    <comment ref="F200"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O200" authorId="0" shapeId="0">
      <text>
        <r>
          <rPr>
            <sz val="9"/>
            <color indexed="81"/>
            <rFont val="Tahoma"/>
            <family val="2"/>
            <charset val="186"/>
          </rPr>
          <t xml:space="preserve">Piliavietės aikštelė – 2 vnt., prie savivaldybės pastato – 2 vnt., P&amp;R aikštelėje – 1 vnt.) </t>
        </r>
      </text>
    </comment>
    <comment ref="K207" authorId="0" shapeId="0">
      <text>
        <r>
          <rPr>
            <sz val="9"/>
            <color indexed="81"/>
            <rFont val="Tahoma"/>
            <family val="2"/>
            <charset val="186"/>
          </rPr>
          <t xml:space="preserve">Įsakymu 2018-09-04 buvo perskirstytos papriemonės: mažintos 145 tūkst eur lėšos Ištisinio asfaltbetonio dangos remontui ir padidintos Kiemų ir privažiuojamųjų kelių  prie biudžetinių įstaigų dangų remontui. 85,8 tūkst eur suma yra kompensuojama užbaigti ištisinio asfalto dangų remontą   </t>
        </r>
      </text>
    </comment>
    <comment ref="O233" authorId="0" shapeId="0">
      <text>
        <r>
          <rPr>
            <b/>
            <sz val="9"/>
            <color indexed="81"/>
            <rFont val="Tahoma"/>
            <family val="2"/>
            <charset val="186"/>
          </rPr>
          <t xml:space="preserve">2018 m.planas
</t>
        </r>
        <r>
          <rPr>
            <sz val="9"/>
            <color indexed="81"/>
            <rFont val="Tahoma"/>
            <family val="2"/>
            <charset val="186"/>
          </rPr>
          <t>- Smiltelės g. (atskiros atkarpos);
- Baltijos pr. (atskiros atkarpos);
- Birutės g. (nuo Sausio 15-osios g. iki Bijūnų g.);
- Bijūnų g. (nuo Taikos pr. iki Birutės g.);
- Tilžės g. (nuo Sausio 15-osios g. iki Komunarų g.);
- Senamiesčio gatvės (pagal poreikį);</t>
        </r>
        <r>
          <rPr>
            <b/>
            <sz val="9"/>
            <color indexed="81"/>
            <rFont val="Tahoma"/>
            <family val="2"/>
            <charset val="186"/>
          </rPr>
          <t xml:space="preserve">
</t>
        </r>
        <r>
          <rPr>
            <sz val="9"/>
            <color indexed="81"/>
            <rFont val="Tahoma"/>
            <family val="2"/>
            <charset val="186"/>
          </rPr>
          <t xml:space="preserve">- Panevėžio g. (nuo Dailidžių g. iki Plytinės g.);
- Verpėjų g. (atskiros atkarpos);
- Kalvos g.;
- J. Zembrickio g.;
- Pievų tako g.
</t>
        </r>
      </text>
    </comment>
    <comment ref="O238" authorId="0" shapeId="0">
      <text>
        <r>
          <rPr>
            <sz val="9"/>
            <color indexed="81"/>
            <rFont val="Tahoma"/>
            <family val="2"/>
            <charset val="186"/>
          </rPr>
          <t xml:space="preserve">UKD 2017 metams pateikė poreikį 2849,8 tūkst. Eur suremontuoti 74 įstaigų kiemus ir privažiavimus. Lėšos paskirstytos per tris metus, 2017-06 29 VS raštaspapildyti priemonės 06.01.04.01.05 „ Kiemų ir privažiuojamųjų kelių prie biudžetinių įstaigų dangos remontas“ rodiklius, įtraukiant Klaipėdos suaugusių gimnaziją (pagal 2017-06-27 VS-3833).
</t>
        </r>
      </text>
    </comment>
    <comment ref="P238"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K242" authorId="0" shapeId="0">
      <text>
        <r>
          <rPr>
            <sz val="9"/>
            <color indexed="81"/>
            <rFont val="Tahoma"/>
            <family val="2"/>
            <charset val="186"/>
          </rPr>
          <t>2017-11-29 buvo nustatyta, kad yra nukritusi viena stambiagabaritė Biržos tilto gelžbetoninė konstrukcija– kontrasvoris (vienas iš esamų šešių), išlyginanti atidaromos perdangos pusiausvyrą. Tai viena iš pagrindinių tilto konstrukcijų. Kad atlikti remonto darbus, reikalinga atlikti ekspertizės paslaugas, todėl yra pradėtos viešojo pirkimo procedūros šiai paslaugai pirkti. Dėl šios priežasties prašome  Susisiekimo sistemos priežiūros ir plėtros programos Nr. 6  priemonės 06.01.04.01.05. „Tiltų ir kelio statinių priežiūra“ dalį 2017 metais nepanaudotų savivaldybės biudžeto lėšų sumą (6.000,00 Eur) perkelti į 2018 metus.</t>
        </r>
      </text>
    </comment>
    <comment ref="K257" authorId="0" shapeId="0">
      <text>
        <r>
          <rPr>
            <b/>
            <sz val="9"/>
            <color indexed="81"/>
            <rFont val="Tahoma"/>
            <family val="2"/>
            <charset val="186"/>
          </rPr>
          <t xml:space="preserve">18063,2
</t>
        </r>
        <r>
          <rPr>
            <sz val="9"/>
            <color indexed="81"/>
            <rFont val="Tahoma"/>
            <family val="2"/>
            <charset val="186"/>
          </rPr>
          <t xml:space="preserve">
</t>
        </r>
      </text>
    </comment>
    <comment ref="K261" authorId="0" shapeId="0">
      <text>
        <r>
          <rPr>
            <b/>
            <sz val="9"/>
            <color indexed="81"/>
            <rFont val="Tahoma"/>
            <family val="2"/>
            <charset val="186"/>
          </rPr>
          <t xml:space="preserve">3991,4+7,7 papildomas KPPP reservas
</t>
        </r>
      </text>
    </comment>
  </commentList>
</comments>
</file>

<file path=xl/sharedStrings.xml><?xml version="1.0" encoding="utf-8"?>
<sst xmlns="http://schemas.openxmlformats.org/spreadsheetml/2006/main" count="1274" uniqueCount="484">
  <si>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</si>
  <si>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</si>
  <si>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</si>
  <si>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</si>
  <si>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</si>
  <si>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</si>
  <si>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</si>
  <si>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</si>
  <si>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</si>
  <si>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</si>
  <si>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</si>
  <si>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</si>
  <si>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</si>
  <si>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</si>
  <si>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</si>
  <si>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</si>
  <si>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</si>
  <si>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</si>
  <si>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</si>
  <si>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</si>
  <si>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</si>
  <si>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</si>
  <si>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</si>
  <si>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</si>
  <si>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</si>
  <si>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</si>
  <si>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</si>
  <si>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</si>
  <si>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</si>
  <si>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</si>
  <si>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</si>
  <si>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</si>
  <si>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</si>
  <si>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</si>
  <si>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</si>
  <si>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06</t>
  </si>
  <si>
    <t>07</t>
  </si>
  <si>
    <t>6</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</si>
  <si>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</si>
  <si>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</si>
  <si>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</si>
  <si>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</si>
  <si>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</si>
  <si>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5</t>
  </si>
  <si>
    <t>ES</t>
  </si>
  <si>
    <t>Kt</t>
  </si>
  <si>
    <t>Parengtas techninis projektas, vnt.</t>
  </si>
  <si>
    <t>I</t>
  </si>
  <si>
    <t>KVJUD</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</si>
  <si>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</si>
  <si>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</si>
  <si>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</si>
  <si>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</si>
  <si>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</si>
  <si>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Patikrinta viešojo transporto priemonių, tūkst. vnt.</t>
  </si>
  <si>
    <t>Prižiūrima tiltų ir viadukų, vnt.</t>
  </si>
  <si>
    <t>1</t>
  </si>
  <si>
    <t>Viešojo transporto paslaugų organizavimas:</t>
  </si>
  <si>
    <t xml:space="preserve">Iš viso  programai:  </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</si>
  <si>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</si>
  <si>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</si>
  <si>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</si>
  <si>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</si>
  <si>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</si>
  <si>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</si>
  <si>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</si>
  <si>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</si>
  <si>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</si>
  <si>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</si>
  <si>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</si>
  <si>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</si>
  <si>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</si>
  <si>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</si>
  <si>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</si>
  <si>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</si>
  <si>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</si>
  <si>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MŪD Miesto tvarkymo skyrius</t>
  </si>
  <si>
    <t>SB(VRL)</t>
  </si>
  <si>
    <t>P2.1.2.9</t>
  </si>
  <si>
    <t>P9</t>
  </si>
  <si>
    <t>Topografinių nuotraukų, išpildomųjų geodezinių nuotraukų įsigijimas, statinių projektų ekspertizių bei kitos inžinerinės paslaugos</t>
  </si>
  <si>
    <t xml:space="preserve"> - vežėjams už lengvatas turinčių keleivių vežimą</t>
  </si>
  <si>
    <t xml:space="preserve"> - moksleiviams</t>
  </si>
  <si>
    <t xml:space="preserve"> - profesinių mokyklų moksleiviams</t>
  </si>
  <si>
    <t>Įrengta ir pakeista informacinių ženklų, tūkst. vnt.</t>
  </si>
  <si>
    <t>Suženklinta gatvių, ha</t>
  </si>
  <si>
    <t>Eksploatuojama greičio matuoklių, vnt.</t>
  </si>
  <si>
    <t>Parengtas paviljono su aikštele techninis projektas, vnt.</t>
  </si>
  <si>
    <t>Medžiagų tyrimas ir kontroliniai bandymai</t>
  </si>
  <si>
    <t>2.1.2.14</t>
  </si>
  <si>
    <t>2.1.2.11</t>
  </si>
  <si>
    <t xml:space="preserve">IED Statybos ir infrastruktūros plėtros </t>
  </si>
  <si>
    <t>2.1.2.15</t>
  </si>
  <si>
    <t>2.1.2.13</t>
  </si>
  <si>
    <t>2.1.2.2</t>
  </si>
  <si>
    <t>2.1.2.12</t>
  </si>
  <si>
    <t>P2.1.2.10</t>
  </si>
  <si>
    <t xml:space="preserve">Savivaldybės biudžetas, iš jo: </t>
  </si>
  <si>
    <t xml:space="preserve">Parengtas techninis projektas, vnt. </t>
  </si>
  <si>
    <t>Rytų ir vakarų krypties gatvių tinklo modernizavimas:</t>
  </si>
  <si>
    <t>Šiaurės ir pietų transporto koridorių gatvių tinklo modernizavimas: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</si>
  <si>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</si>
  <si>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</si>
  <si>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</si>
  <si>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</si>
  <si>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</si>
  <si>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2018-ieji metai</t>
  </si>
  <si>
    <t>MŪD Miesto tvarkymo sk.</t>
  </si>
  <si>
    <t xml:space="preserve">Ištisinio asfaltbetonio dangos remontas: </t>
  </si>
  <si>
    <t>Kiemų ir privažiuojamųjų kelių  prie biudžetinių įstaigų dangos remontas</t>
  </si>
  <si>
    <t>Asfaltbetonio dangos, žvyruotos dangos ir akmenimis grįstų miesto gatvių dangos remontas</t>
  </si>
  <si>
    <t>Ištisinio asfaltbetonio dangos įrengimas miesto gatvėse ir kiemuose:</t>
  </si>
  <si>
    <t>Eismo reguliavimo infrastruktūros eksploatacija ir įrengimas</t>
  </si>
  <si>
    <t>Mokamo automobilių stovėjimo sistemos mieste kūrimas ir išlaikymas</t>
  </si>
  <si>
    <t>Eismo srautų reguliavimo ir saugumo priemonių įgyvendinimas:</t>
  </si>
  <si>
    <t>100</t>
  </si>
  <si>
    <t>2.1.2.8</t>
  </si>
  <si>
    <t>tūkst. Eur</t>
  </si>
  <si>
    <t xml:space="preserve">Diegti eismo srautų reguliavimo ir saugumo priemones </t>
  </si>
  <si>
    <t xml:space="preserve">Eksploatuojama eismo reguliavimo priemonių, tūkst. vnt. </t>
  </si>
  <si>
    <t>P2.1.2.3</t>
  </si>
  <si>
    <t xml:space="preserve">Susisiekimo sistemos objektų pritaikymas neįgaliesiems  </t>
  </si>
  <si>
    <t>Neeksploatuojamų požeminių perėjų Šilutės pl. rekonstravimas</t>
  </si>
  <si>
    <t>Apskaitos kodas</t>
  </si>
  <si>
    <t>06.010311</t>
  </si>
  <si>
    <t>06.010131</t>
  </si>
  <si>
    <t>06.010125</t>
  </si>
  <si>
    <t>06.010504</t>
  </si>
  <si>
    <t>06.010109</t>
  </si>
  <si>
    <t>06.010139</t>
  </si>
  <si>
    <t>06.010110</t>
  </si>
  <si>
    <t xml:space="preserve">IED Statybos ir infrastruk. plėtros sk. </t>
  </si>
  <si>
    <t>06.01050100</t>
  </si>
  <si>
    <t>06.010301</t>
  </si>
  <si>
    <t>06.010313</t>
  </si>
  <si>
    <t>06.010411</t>
  </si>
  <si>
    <t>06.010413</t>
  </si>
  <si>
    <t>06.010410</t>
  </si>
  <si>
    <t>06.010312</t>
  </si>
  <si>
    <t>06.010402</t>
  </si>
  <si>
    <t>06.010403</t>
  </si>
  <si>
    <t>06.010144</t>
  </si>
  <si>
    <t>06.010140</t>
  </si>
  <si>
    <t>IED Statybos ir infrastruktūros plėtros sk.</t>
  </si>
  <si>
    <t>06.010150</t>
  </si>
  <si>
    <t>06.010148</t>
  </si>
  <si>
    <t>06.010122</t>
  </si>
  <si>
    <t>06.010506</t>
  </si>
  <si>
    <t>06.010303</t>
  </si>
  <si>
    <t>06.010406</t>
  </si>
  <si>
    <t>06.010405</t>
  </si>
  <si>
    <t>06.010401</t>
  </si>
  <si>
    <t>MŪD Transporto sk.</t>
  </si>
  <si>
    <t>Aiškinamojo rašto priedas Nr.3</t>
  </si>
  <si>
    <t>2019-ieji metai</t>
  </si>
  <si>
    <t>Atlikta gatvės (571 m) tiesimo darbų (II etapas). Užbaigtumas, proc.</t>
  </si>
  <si>
    <t>6010308</t>
  </si>
  <si>
    <t>Klaipėdos miesto viešojo transporto atnaujinimas (autobusų įsigijimas)</t>
  </si>
  <si>
    <t>Klaipėdos miesto viešojo transporto švieslenčių ir informacinių švieslenčių įrengimas ir atnaujinimas</t>
  </si>
  <si>
    <t xml:space="preserve">Įrengta švieslenčių miesto autobusų stotelėse, vnt.  </t>
  </si>
  <si>
    <t>Suorganizuota renginių, vnt.</t>
  </si>
  <si>
    <t>P2.1.2.5</t>
  </si>
  <si>
    <t>Parengtas projektinis pasiūlymas, vnt.</t>
  </si>
  <si>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</si>
  <si>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IED  Statybos ir infrastruktūros plėtros skyrius</t>
  </si>
  <si>
    <t>Kombinuotų kelionių jungčių (PARK&amp;RIDE) įrengimas (šiaurinėje miesto dalyje)</t>
  </si>
  <si>
    <t>120</t>
  </si>
  <si>
    <t>85</t>
  </si>
  <si>
    <t>Įdiegta transporto valdymo sistema. Užbaigtumas, proc.</t>
  </si>
  <si>
    <t>50</t>
  </si>
  <si>
    <r>
      <rPr>
        <b/>
        <sz val="10"/>
        <rFont val="Times New Roman"/>
        <family val="1"/>
        <charset val="186"/>
      </rPr>
      <t>Naujo tilto</t>
    </r>
    <r>
      <rPr>
        <sz val="10"/>
        <rFont val="Times New Roman"/>
        <family val="1"/>
        <charset val="186"/>
      </rPr>
      <t xml:space="preserve"> su pakeliamu mechanizmu per Danę statyba ir prieigų sutvarkymas</t>
    </r>
  </si>
  <si>
    <t>Viešojo transporto (autobusų ir maršrutinių taksi) integravimo sistemos įrangos įsigijimas ir atnaujinimas</t>
  </si>
  <si>
    <t>Baltijos pr. ir Šilutės pl. žiedinės sankryžos rekonstravimas</t>
  </si>
  <si>
    <t>- nuostolių, patirtų vežant keleivius vietinio reguliaraus susisiekimo autobusų maršrutais renginių metu, kompensavimas</t>
  </si>
  <si>
    <t>Statybininkų prospekto tęsinio tiesimas nuo Šilutės pl. per LEZ teritoriją iki 141 kelio: II etapas – Lypkių gatvės ruožo nuo Šilutės plento tiesimas</t>
  </si>
  <si>
    <t>Tilžės g. nuo Šilutės pl. iki geležinkelio pervažos rekonstravimas, pertvarkant žiedinę Mokyklos g. ir Šilutės pl. sankryžą:</t>
  </si>
  <si>
    <t>Nuostolingų maršrutų subsidijavimas priemiesčio maršrutus aptarnaujantiems vežėjams</t>
  </si>
  <si>
    <t xml:space="preserve">Atlikta Šiaurinio rago teritorijoje esančios aikštelės įrengimo darbų (70 stovėjimo vietų). Užbaigtumas, proc. </t>
  </si>
  <si>
    <t>Apšviesta pėsčiųjų perėjų, vnt</t>
  </si>
  <si>
    <t xml:space="preserve">Privažiuojamojo kelio prie pastato Debreceno g. 48  įrengimas ir pastato aplinkos sutvarkymas </t>
  </si>
  <si>
    <t>Suteikta gatvių dangų, konstruktyvo ir betoninių gaminių kontrolinių bandymų paslaugų. Užbaigtumas, proc.</t>
  </si>
  <si>
    <t>Įrengta dekoratyvinių kelio ženklų, vnt.</t>
  </si>
  <si>
    <t>Eksploatuojama bilietų automatų, vnt.</t>
  </si>
  <si>
    <t>Parengta ir patvirtinta paraiška, vnt.</t>
  </si>
  <si>
    <t>Atlikta kelio įrengimo, aplinkos sutvarkymo darbų. Užbaigtumas, proc.</t>
  </si>
  <si>
    <t>Įrengtas naujas žvejų laivams skirtas slipas (aikštelė, skirta valtims nuleisti ir ištraukti iš vandens). Užbaigtumas, proc.</t>
  </si>
  <si>
    <t xml:space="preserve">Parengtas naujo tilto su pakeliamu mechanizmu statybos techninis projektas, vnt. </t>
  </si>
  <si>
    <t>Kompensuota bilietų moksleiviams, tūkst. vnt.</t>
  </si>
  <si>
    <t>Kompensuota bilietų profesinių mokyklų moksleiviams, tūkst. vnt.</t>
  </si>
  <si>
    <t>Parengtas techninis projektas ir detaliojo plano korekcija, vnt.</t>
  </si>
  <si>
    <t xml:space="preserve">Parengtas rekonstravimo techninis projektas (ruožas nuo Atgimimo aikštės iki Laivų skersgatvio), vnt. </t>
  </si>
  <si>
    <t>Parengtas rekonstravimo techninis projektas (ruožas nuo Laivų skersgatvio iki Artojų g.), vnt.</t>
  </si>
  <si>
    <t xml:space="preserve">Atlikta rekonstravimo darbų. Užbaigtumas, proc. </t>
  </si>
  <si>
    <t>Parengtas rekonstravimo techninis projektas, vnt.</t>
  </si>
  <si>
    <t>Atlikta rekonstravimo darbų. Užbaigtumas, proc.</t>
  </si>
  <si>
    <t>Atlikta gatvės (1374 m ) rekonstravimo darbų. Užbaigtumas, proc.</t>
  </si>
  <si>
    <t>Atlikta dviejų požeminių perėjų  rekonstravimo darbų. Užbaigtumas, proc.</t>
  </si>
  <si>
    <t>Įstaigų, kurių kiemuose atlikta asfalto dangos remonto darbų, skaičius</t>
  </si>
  <si>
    <t>Kūlių Vartų g. ir Bangų g., Tiltų g., Galinio Pylimo g., Taikos pr. sankryžos rekonstravimas</t>
  </si>
  <si>
    <r>
      <rPr>
        <b/>
        <sz val="10"/>
        <rFont val="Times New Roman"/>
        <family val="1"/>
        <charset val="186"/>
      </rPr>
      <t xml:space="preserve">I etapas. </t>
    </r>
    <r>
      <rPr>
        <sz val="10"/>
        <rFont val="Times New Roman"/>
        <family val="1"/>
        <charset val="186"/>
      </rPr>
      <t>Tilžės g. nuo Šilutės pl. iki geležinkelio pervažos rekonstravimas</t>
    </r>
  </si>
  <si>
    <t xml:space="preserve">Klaipėdos miesto gatvių pėsčiųjų perėjų kryptinis apšvietimas </t>
  </si>
  <si>
    <t>Parengtas II etapo techninis projektas (Klaipėdos g., Virkučių g., Slengių g., Lietaus g., Vaivorykštės g., Griaustinio g. ir Arimų g.), vnt.</t>
  </si>
  <si>
    <t>Maršruto „Klaipėdos autobusų stotis–Palangos oro uostas“ kursavimas</t>
  </si>
  <si>
    <t>Kompensuota nuostolingų maršrutų, vnt.</t>
  </si>
  <si>
    <r>
      <t xml:space="preserve">Europos Sąjungos paramos lėšos, kurios įtrauktos į Savivaldybės biudžetą </t>
    </r>
    <r>
      <rPr>
        <b/>
        <sz val="10"/>
        <rFont val="Times New Roman"/>
        <family val="1"/>
        <charset val="186"/>
      </rPr>
      <t>SB(ES)</t>
    </r>
  </si>
  <si>
    <t xml:space="preserve">Tomo ir Pylimo gatvių rekonstravimas </t>
  </si>
  <si>
    <t>Įrengta pėsčiųjų ir dviračių takų palei Liepojos g. nuo Dragūnų kvartalo iki Savanorių g. Užbaigtumas, proc.</t>
  </si>
  <si>
    <t>Elektromobilių įkrovimo stotelių įrengimas  Klaipėdos mieste</t>
  </si>
  <si>
    <t xml:space="preserve">Nuostolių kompensacijų mokėjimas: </t>
  </si>
  <si>
    <r>
      <t xml:space="preserve">patirtų vykdant keleivinio kelių transporto viešųjų paslaugų </t>
    </r>
    <r>
      <rPr>
        <sz val="10"/>
        <rFont val="Times New Roman"/>
        <family val="1"/>
        <charset val="186"/>
      </rPr>
      <t>vežant keleivius vietinio (miesto) reguliaraus susisiekimo autobusų maršrutais</t>
    </r>
  </si>
  <si>
    <t>patirtų įgyvendinant ES Sanglaudos fondų finansuojamus ekologiškų viešojo transporto  priemonių įsigijimo projektus</t>
  </si>
  <si>
    <t>Suremontuota gatvių akmens grindinio dangos pagal poreikį senamiesčio gatvėse, ha</t>
  </si>
  <si>
    <t>Parengta galimybių studija, vnt.</t>
  </si>
  <si>
    <t>2020-ųjų metų lėšų projektas</t>
  </si>
  <si>
    <t>2020-ieji metai</t>
  </si>
  <si>
    <t>Atlikta gatvės tiesimo darbų. Užbaigtumas, proc.</t>
  </si>
  <si>
    <t>Įrengta stotelių su įvažomis (Vasaros estrados (pietų ir šiaurės kryptys), Rumpiškės, Kooperacijos, Juodkrantės,  Naikupės, Šilutės, Minijos, Aula Magna, Minijos stotelės), vnt.</t>
  </si>
  <si>
    <t>2.1.2.2.</t>
  </si>
  <si>
    <t>IED Projektų skyrius</t>
  </si>
  <si>
    <r>
      <t xml:space="preserve">Programų lėšų likučių lėšos </t>
    </r>
    <r>
      <rPr>
        <b/>
        <sz val="10"/>
        <rFont val="Times New Roman"/>
        <family val="1"/>
        <charset val="186"/>
      </rPr>
      <t xml:space="preserve">SB(L) </t>
    </r>
  </si>
  <si>
    <t xml:space="preserve"> Atlikti kasmetinius miesto susisiekimo infrastruktūros objektų priežiūros ir įrengimo darbus</t>
  </si>
  <si>
    <t>Naujų ekologiškų viešojo transporto ir  alternatyvaus judėjimo projektų įgyvendinimas:</t>
  </si>
  <si>
    <t xml:space="preserve">06.010503 </t>
  </si>
  <si>
    <t xml:space="preserve">06.010135 </t>
  </si>
  <si>
    <t>06.010151</t>
  </si>
  <si>
    <t>06.010316</t>
  </si>
  <si>
    <t>06.010152</t>
  </si>
  <si>
    <t>06.010142</t>
  </si>
  <si>
    <t>06.010154</t>
  </si>
  <si>
    <t>06.010156</t>
  </si>
  <si>
    <t xml:space="preserve">06.010146 </t>
  </si>
  <si>
    <t>06.010604</t>
  </si>
  <si>
    <t>06.010319 </t>
  </si>
  <si>
    <t>06.010304</t>
  </si>
  <si>
    <t>06.010306</t>
  </si>
  <si>
    <t>06.010404</t>
  </si>
  <si>
    <t>06.010302</t>
  </si>
  <si>
    <t>06.010317</t>
  </si>
  <si>
    <t>06.010318</t>
  </si>
  <si>
    <t>06.010320</t>
  </si>
  <si>
    <t>2018 m.</t>
  </si>
  <si>
    <t>Vingio g. nuo Smiltelės g. ir Jūrininkų pr. (darbai);</t>
  </si>
  <si>
    <t>Šturmanų g.;</t>
  </si>
  <si>
    <t>Sausio 15-osios g. - nuo Taikos pr. iki Tilžės g. (tikslinės teritorijos ribose);</t>
  </si>
  <si>
    <t xml:space="preserve">Taikos pr.  - nuo Sausio 15-osios g. iki Kauno g. (tikslinės teritorijos ribose); </t>
  </si>
  <si>
    <t>Šermukšnių g.;</t>
  </si>
  <si>
    <t>2019 m.</t>
  </si>
  <si>
    <t>2020 m.</t>
  </si>
  <si>
    <t>Joniškės g.- nuo Klaipėdos baldų iki Bangų g.;</t>
  </si>
  <si>
    <t>Gedminų g. (su šaligatviais);</t>
  </si>
  <si>
    <t>Baltijos pr. nuo Taikos pr. iki Šilutės pl. viena pusė;</t>
  </si>
  <si>
    <t>Statybininkų pr. - Nuo Taikos pr. iki Minijos g. ir žiedas (Taikos pr.);</t>
  </si>
  <si>
    <t>Smiltelės g. atkarpa nuo Taikos pr. iki Minijos g.;</t>
  </si>
  <si>
    <t>S. Šimkaus g.;</t>
  </si>
  <si>
    <t>Šilutės pl. atkarpa nuo Rimkų geležinkelio iki Smiltelės g., aikštelė;</t>
  </si>
  <si>
    <t>I. Simonaitytės g.;</t>
  </si>
  <si>
    <t>J. Zauerveino g.;</t>
  </si>
  <si>
    <t>Paryžiaus Komunos g.;</t>
  </si>
  <si>
    <t>Jurginų g.;</t>
  </si>
  <si>
    <t>Šilutės pl. labiausiai pažeistos atkarpos, įvažos;</t>
  </si>
  <si>
    <t>Herkaus Manto g. labiausiai pažeistos atkarpos, įvažos;</t>
  </si>
  <si>
    <t>Malūnininkų g.;</t>
  </si>
  <si>
    <t>S.Daukanto g. labiausiai pažeistos atkarpos;</t>
  </si>
  <si>
    <t>Pėsčiųjų ir dviračių takų, šaligatvių (su dviračių takais) bei privažiuojamųjų kelių remonto bei įrengimo darbai</t>
  </si>
  <si>
    <t>Integruotų autobusų ir maršrutinių taksi, vnt.</t>
  </si>
  <si>
    <t>Subsidijuojamų maršrutų skaičius:</t>
  </si>
  <si>
    <t>2</t>
  </si>
  <si>
    <t>Atlikta gatvės rekonstravimo darbų. Užbaigtumas, proc.</t>
  </si>
  <si>
    <t>Atliktas gatvių – Akmenų g. (405 m), Vėjo g. (1373 m), Smėlio g. (960 m) ir Debesų g. (890 m) rekonstravimas. Užbaigtumas, proc.</t>
  </si>
  <si>
    <t>Atliktas gatvių –  Klaipėdos g. (500 m) ir Virkučių g. (1004 m) rekonstravimas. Užbaigtumas, proc.</t>
  </si>
  <si>
    <t>Atliktas gatvių – Slengių g., Lietaus g., Vaivorykštės g., Griaustinio g. ,Arimų g., Vėjo g. (II dalies), Žvaigždžių g. rekonstravimas. Užbaigtumas, proc.</t>
  </si>
  <si>
    <t>Atlikta gatvės (600 m) rekonstravimo darbų.
Užbaigtumas, proc.</t>
  </si>
  <si>
    <t>Atlikta žiedinės sankryžos rekonstravimo darbų. Užbaigtumas, proc.</t>
  </si>
  <si>
    <t>Atlikta Pamario g. (4400 m) rekonstravimo darbų (II-IV etapai). Užbaigtumas, proc.</t>
  </si>
  <si>
    <t>Atlikta Savanorių g. rekonstravimo darbų. Užbaigtumas, proc.</t>
  </si>
  <si>
    <t>Atlikta prospekto atkarpos rekonstravimo darbų.  Užbaigtumas, proc.</t>
  </si>
  <si>
    <t>10</t>
  </si>
  <si>
    <t>08</t>
  </si>
  <si>
    <t>Kelio Klaipėda-Kretinga Nr. 168 (Medelyno g.) rekonstravimas</t>
  </si>
  <si>
    <t>Įrengta stotelių su įvažomis (II etapas), vnt.</t>
  </si>
  <si>
    <t>Elektra varomo viešojo transporto naujų galimybių plėtra (DEPO), ELENA</t>
  </si>
  <si>
    <t>Parengtas tramvajaus ir elektrinių autobusų pirkimo strategijos dokumentų paketas, vnt.</t>
  </si>
  <si>
    <t>Įrengta elektromobilių įkrovimo prieigų, vnt.</t>
  </si>
  <si>
    <t>MŪD  Transporto sk.</t>
  </si>
  <si>
    <t>Šilutės plento atkarpos nuo Tilžės g. iki geležinkelio pervažos (iki Kauno g.) rekonstrukcija</t>
  </si>
  <si>
    <t>Įdiegta dviračių saugojimo (angl. bike-storing) sistema, vnt.</t>
  </si>
  <si>
    <t>Eismo juostos, skirtos iš P. Lideikio g. pasukimui į Herkaus Manto gatvę, įrengimas</t>
  </si>
  <si>
    <t>Lengvųjų automobilių taksi  ženklinimo  sprendinių projekto parengimas</t>
  </si>
  <si>
    <t>Parengtas ženklinimo sprendinių projektas, vnt.</t>
  </si>
  <si>
    <t>Transporto skyrius</t>
  </si>
  <si>
    <t>Įrengta elektros įvadų švieslenčių įrengimui, vnt.</t>
  </si>
  <si>
    <t>Tauralaukio gyvenvietės gatvių rekonstravimas</t>
  </si>
  <si>
    <t xml:space="preserve">Jūrininkų prospekto atkarpos nuo Šilutės pl. iki Minijos g. rekonstrukcija </t>
  </si>
  <si>
    <r>
      <t>Danės g. rekonstravimas (siekiant racionaliai suplanuoti jungtis su Bastionų g., nauju tiltu per Danės upę ir Artojų g.)</t>
    </r>
    <r>
      <rPr>
        <sz val="10"/>
        <color rgb="FFFF0000"/>
        <rFont val="Times New Roman"/>
        <family val="1"/>
        <charset val="186"/>
      </rPr>
      <t xml:space="preserve"> </t>
    </r>
  </si>
  <si>
    <t xml:space="preserve">Naujo įvažiuojamojo kelio (Priešpilio g.) į piliavietę ir Kruizinių laivų terminalą tiesimas </t>
  </si>
  <si>
    <t xml:space="preserve">Puodžių gatvės rekonstravimas  </t>
  </si>
  <si>
    <t xml:space="preserve">Dubliuojančios gatvės nuo Šiltnamių g. iki Klaipėdos g. su pėsčiųjų ir dviračių taku ir įvažomis į Liepojos g. įrengimas                          </t>
  </si>
  <si>
    <t xml:space="preserve">Savanorių g. rekonstravimas </t>
  </si>
  <si>
    <t>MŪD Miesto tvarkymos skyrius</t>
  </si>
  <si>
    <t>Privažiavimo vietos (slipo) prie jūros kranto įrengimas</t>
  </si>
  <si>
    <t xml:space="preserve">Joniškės g. rekonstravimas (II etapas – nuo Klemiškės g. iki Liepų g., Šienpjovių g.) </t>
  </si>
  <si>
    <t xml:space="preserve">Automobilių stovėjimo aikštelės teritorijoje Pilies g. 2A, Klaipėdoje, įrengimas </t>
  </si>
  <si>
    <t>Automatinės eismo priežiūros prietaisų įsigijimas ir nuoma</t>
  </si>
  <si>
    <r>
      <t>Uostamiesčiai: darnaus judumo principų integravimas (PORT Cities: Integrating Sustainability, PORTIS)</t>
    </r>
    <r>
      <rPr>
        <sz val="10"/>
        <color rgb="FFFF0000"/>
        <rFont val="Times New Roman"/>
        <family val="1"/>
        <charset val="186"/>
      </rPr>
      <t xml:space="preserve"> </t>
    </r>
  </si>
  <si>
    <t>Automobilių stovėjimo aikštelės teritorijoje  Bangų g., Klaipėdoje, įrengimas</t>
  </si>
  <si>
    <t xml:space="preserve">Sodų bendrija „Vaiteliai“–„Rasa“ kursavimas </t>
  </si>
  <si>
    <t xml:space="preserve">Atlikta gatvės rekonstravimo darbų. Užbaigtumas, proc.
</t>
  </si>
  <si>
    <t>Švyturio gatvės rekonstravimas (I etapas – nuo Naujosios Uosto g. iki Malūnininkų g.)</t>
  </si>
  <si>
    <t>Parengtas techninis projektas (įtraukti pastato griovimo ir aikštelės įrengimo darbai), vnt.</t>
  </si>
  <si>
    <t>Atlikta eismo audito tyrimų, vnt.</t>
  </si>
  <si>
    <t>Parengiamieji darbai įgyvendinat gatvių rekonstrukcijos projektus:</t>
  </si>
  <si>
    <t>Ekologiškų viešojo transporto priemonių, kuriomis važiuojant patiriami nuostoliai, vnt.</t>
  </si>
  <si>
    <t>Keleivinio transporto stotelių su įvažomis Klaipėdos miesto gatvėse projektavimas ir įrengimas</t>
  </si>
  <si>
    <t>Parengtas  (I etapo) techninis projektas, vnt.</t>
  </si>
  <si>
    <t>Parengtas (II etapo) techninis projektas, vnt.</t>
  </si>
  <si>
    <t xml:space="preserve">Įrengtas įvažos pratęsimas, esantis autobusų stotelėje "Naujasis turgus" (kryptis į pietinę miesto dalį), vnt. </t>
  </si>
  <si>
    <t>Įrengta (I etapo) stotelių su įvažomis (Vasaros estrados (pietų ir šiaurės kryptys), Rumpiškės, Kooperacijos, Juodkrantės,  Naikupės, Šilutės, Minijos, Aula Magna, Minijos stotelės), vnt.</t>
  </si>
  <si>
    <t xml:space="preserve">Keleivinio transporto stotelių su įvažomis Klaipėdos miesto gatvėse projektavimas ir įrengimas </t>
  </si>
  <si>
    <t>Įsigyta naujų ekologiškų autobusų, vnt.</t>
  </si>
  <si>
    <t>Atlikta teritorijos buitinių nuotekų remonto darbų. Užbaigtumas, proc.</t>
  </si>
  <si>
    <t>Klaipėdos miestui priklausančių elektromobilių įkrovimo stotelių eksploatavimas ir priežiūra</t>
  </si>
  <si>
    <t>Ekslpoatuojama elektromobilių įkrovimo stotelių, vnt.</t>
  </si>
  <si>
    <t>Senamiesčio grindinio atnaujinimas ir universalaus dizaino pritaikymas</t>
  </si>
  <si>
    <t>Atlikta atnaujinimo darbų. Užbaigtumas, proc.</t>
  </si>
  <si>
    <t xml:space="preserve">Parengtas investicijų projektas ir projektinis pasiūlymas, vnt. </t>
  </si>
  <si>
    <t>Įrengta neregių vedimo dangos autobusų stotelėse, vnt</t>
  </si>
  <si>
    <t>30</t>
  </si>
  <si>
    <t>Eismo juostos, skirtos iš Prano Lideikio g. pasukti į Herkaus Manto gatvę, įrengimas</t>
  </si>
  <si>
    <t>Šilutės plento ruožo nuo Tilžės g. iki geležinkelio pervažos (iki Kauno g.) rekonstrukcija</t>
  </si>
  <si>
    <t>Atlikta Pamario g. (4400 m) rekonstravimo darbų (II–IV etapai). Užbaigtumas, proc.</t>
  </si>
  <si>
    <t>Atlikta prospekto ruožo rekonstravimo darbų.  Užbaigtumas, proc.</t>
  </si>
  <si>
    <t xml:space="preserve">Įrengtas įvažos pratęsimas, esantis Naujojo turgaus autobusų stotelėje (kryptis į pietinę miesto dalį), vnt. </t>
  </si>
  <si>
    <r>
      <t xml:space="preserve">Įdiegta dviračių saugojimo (angl. </t>
    </r>
    <r>
      <rPr>
        <i/>
        <sz val="10"/>
        <rFont val="Times New Roman"/>
        <family val="1"/>
        <charset val="186"/>
      </rPr>
      <t>bike-storing</t>
    </r>
    <r>
      <rPr>
        <sz val="10"/>
        <rFont val="Times New Roman"/>
        <family val="1"/>
        <charset val="186"/>
      </rPr>
      <t>) sistema, vnt.</t>
    </r>
  </si>
  <si>
    <r>
      <t>Uostamiesčiai: darnaus judumo principų integravimas (</t>
    </r>
    <r>
      <rPr>
        <i/>
        <sz val="10"/>
        <rFont val="Times New Roman"/>
        <family val="1"/>
        <charset val="186"/>
      </rPr>
      <t>PORT Cities: Integrating Sustainability</t>
    </r>
    <r>
      <rPr>
        <sz val="10"/>
        <rFont val="Times New Roman"/>
        <family val="1"/>
        <charset val="186"/>
      </rPr>
      <t>, PORTIS)</t>
    </r>
    <r>
      <rPr>
        <sz val="10"/>
        <color rgb="FFFF0000"/>
        <rFont val="Times New Roman"/>
        <family val="1"/>
        <charset val="186"/>
      </rPr>
      <t xml:space="preserve"> </t>
    </r>
  </si>
  <si>
    <r>
      <t>Kombinuotų kelionių jungčių (</t>
    </r>
    <r>
      <rPr>
        <i/>
        <sz val="10"/>
        <rFont val="Times New Roman"/>
        <family val="1"/>
        <charset val="186"/>
      </rPr>
      <t>PARK&amp;RIDE</t>
    </r>
    <r>
      <rPr>
        <sz val="10"/>
        <rFont val="Times New Roman"/>
        <family val="1"/>
        <charset val="186"/>
      </rPr>
      <t>) įrengimas (šiaurinėje miesto dalyje)</t>
    </r>
  </si>
  <si>
    <t>Joniškės g. nuo Klaipėdos baldų iki Bangų g.;</t>
  </si>
  <si>
    <t>Statybininkų pr. nuo Taikos pr. iki Minijos g. ir žiedas (Taikos pr.);</t>
  </si>
  <si>
    <r>
      <t xml:space="preserve">Europos Sąjungos paramos lėšos, kurios įtrauktos į savivaldybės biudžetą </t>
    </r>
    <r>
      <rPr>
        <b/>
        <sz val="10"/>
        <rFont val="Times New Roman"/>
        <family val="1"/>
        <charset val="186"/>
      </rPr>
      <t>SB(ES)</t>
    </r>
  </si>
  <si>
    <t>Rekonstruota šviesoforų (Tilžės g. ir Sausio 15-osios g. sankryžoje, Baltijos prospekte atkarpoje tarp Šilutės pl. ir Taikos pr., Šilutės pl. prie AB „Klaipėdos energija“, Taikos pr. ties Žvejų rūmais), vnt.</t>
  </si>
  <si>
    <t>Rekonstruota šviesoforų, vnt.</t>
  </si>
  <si>
    <t>Įrengta informacinių kelio ženklų, vnt.</t>
  </si>
  <si>
    <t>P2.1.2.7-8</t>
  </si>
  <si>
    <t>2018-ųjų metų asignavimų planas</t>
  </si>
  <si>
    <t xml:space="preserve">Atlikta gatvės (410 m) rekonstravimo darbų. Užbaigtumas, proc. </t>
  </si>
  <si>
    <t>Suremontuota šaligatvių su dviračių takais (2018 m.), ha</t>
  </si>
  <si>
    <t>Klemiškės g. rekonstravimas</t>
  </si>
  <si>
    <t>Naujo kelio tarp Klemiškės g. ir Tilžės g. tiesimas</t>
  </si>
  <si>
    <t>SB(ES)</t>
  </si>
  <si>
    <t xml:space="preserve">2018–2021 M. KLAIPĖDOS MIESTO SAVIVALDYBĖS     </t>
  </si>
  <si>
    <t>2021-ųjų metų lėšų projektas</t>
  </si>
  <si>
    <t>2021-ieji metai</t>
  </si>
  <si>
    <t xml:space="preserve"> Miesto tvarkymo sk.</t>
  </si>
  <si>
    <t>80</t>
  </si>
  <si>
    <t>Siūloma nauja priemonė iš Miesto plėtros ir strateginio planavimo komiteto. Protokolas 2018-06-20 Nr. TAR-56</t>
  </si>
  <si>
    <t>Danės vietinės reikšmės vidaus kelio priežiūros organizavimas</t>
  </si>
  <si>
    <t>Jūrininkų prospekto ruožo nuo Šilutės pl. iki Minijos g. kapitalinis remontas</t>
  </si>
  <si>
    <t>Neeksploatuojamų požeminių perėjų Šilutės pl. kapitalinis remontas</t>
  </si>
  <si>
    <r>
      <t xml:space="preserve">Renginių, kurių metu keleiviams bus taikomos lengvatos, vnt. (2018 m. renginiai: Diena be automobilio, Lietuvos vakarų krašto dainų šventė,  skirta Lietuvos valstybės atkūrimo 100-mečiui, tarptautinis folkloro festivalis „Parbėg laivelis“, </t>
    </r>
    <r>
      <rPr>
        <sz val="10"/>
        <color rgb="FFFF0000"/>
        <rFont val="Times New Roman"/>
        <family val="1"/>
        <charset val="186"/>
      </rPr>
      <t>Jūros šventės metu, NATO šalių tarptautinių jūrinių pratybų „Baltops‘18“ kariams birželio 1-4 d.), vnt.</t>
    </r>
  </si>
  <si>
    <t>Renginių, kurių metu keleiviams bus taikomos lengvatos, vnt. (2018 m. renginiai: Diena be automobilio, Lietuvos vakarų krašto dainų šventė,  skirta Lietuvos valstybės atkūrimo 100-mečiui, tarptautinis folkloro festivalis „Parbėg laivelis“, Jūros šventės metu, NATO šalių tarptautinių jūrinių pratybų „Baltops‘18“ kariams birželio 1-4 d.), vnt.</t>
  </si>
  <si>
    <t>Atliktas poveikio aplinkai vertinimo dokumentas, vnt.</t>
  </si>
  <si>
    <t>Atliktas poveikio aplinka vertinimo dokumentas, vnt.</t>
  </si>
  <si>
    <t>I, P7</t>
  </si>
  <si>
    <t xml:space="preserve">Kiemų, kuriuose  atlikta asfalto dangos remonto darbų, skaičius </t>
  </si>
  <si>
    <t>2019-ųjų metų asignavimų planas</t>
  </si>
  <si>
    <t xml:space="preserve">*pagal Klaipėdos miesto savivaldybės tarybos 2017-07-26 sprendimą Nr. T2-162
</t>
  </si>
  <si>
    <t>Asignavimai (Eur)</t>
  </si>
  <si>
    <t>Vertinimo kriterijaus</t>
  </si>
  <si>
    <t>Informacija apie pasiektus rezultatus, duomenys apie programai skirtų asignavimų panaudojimo tikslingumą</t>
  </si>
  <si>
    <t>Priežastys, dėl kurių planuotos rodiklių reikšmės nepasiektos</t>
  </si>
  <si>
    <t>2018 m. asignavimų patvirtintas planas*</t>
  </si>
  <si>
    <t>2018 m. panaudotos lėšos (kasinės išlaidos)</t>
  </si>
  <si>
    <t>pavadinimas</t>
  </si>
  <si>
    <t>planuotos reikšmės</t>
  </si>
  <si>
    <t>faktinės reikšmės</t>
  </si>
  <si>
    <t xml:space="preserve">STRATEGINIO VEIKLOS PLANO VYKDYMO ATASKAITA </t>
  </si>
  <si>
    <t>SUSISIEKIMO SISTEMOS PRIEŽIŪROS IR PLĖTROS PROGRAMA (NR. 06)</t>
  </si>
  <si>
    <t>ĮVYKDYMO ATASKAITA</t>
  </si>
  <si>
    <r>
      <t xml:space="preserve">Asignavimų valdytojai: </t>
    </r>
    <r>
      <rPr>
        <sz val="12"/>
        <rFont val="Times New Roman"/>
        <family val="1"/>
        <charset val="186"/>
      </rPr>
      <t>Investicijų ir ekonomikos departamentas (5), Miesto ūkio departamentas (6), Klaipėdos miesto savivaldybės administracija (1).</t>
    </r>
  </si>
  <si>
    <r>
      <rPr>
        <b/>
        <sz val="12"/>
        <rFont val="Times New Roman"/>
        <family val="1"/>
        <charset val="186"/>
      </rPr>
      <t xml:space="preserve">Programą vykdė: </t>
    </r>
    <r>
      <rPr>
        <sz val="12"/>
        <rFont val="Times New Roman"/>
        <family val="1"/>
        <charset val="186"/>
      </rPr>
      <t>Miesto ūkio departamentas (Miesto tvarkymo skyrius, Transporto skyrius), Investicijų ir ekonomikos departamentas (Statybos ir infrastruktūros plėtros ir Projektų  skyriai), Savivaldybės administracijos direktoriaus pavaduotojo pavaldumo Viešosios tvarkos skyrius.</t>
    </r>
  </si>
  <si>
    <t>faktiškai įvykdyta</t>
  </si>
  <si>
    <t>–</t>
  </si>
  <si>
    <t>(pagal planą arba geriau);</t>
  </si>
  <si>
    <t>iš dalies įvykdyta</t>
  </si>
  <si>
    <t>(blogiau, nei planuota);</t>
  </si>
  <si>
    <t>neįvykdyta</t>
  </si>
  <si>
    <r>
      <rPr>
        <b/>
        <sz val="12"/>
        <rFont val="Times New Roman"/>
        <family val="1"/>
        <charset val="186"/>
      </rPr>
      <t>Pastaba</t>
    </r>
    <r>
      <rPr>
        <sz val="12"/>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</si>
  <si>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</si>
  <si>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</si>
  <si>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</si>
  <si>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 xml:space="preserve">2018 M. KLAIPĖDOS MIESTO SAVIVALDYBĖS </t>
  </si>
  <si>
    <t>2018 m. SVP programos Nr. 06 įvykdymas</t>
  </si>
  <si>
    <t>Gatvių su asfalto danga ilgis, palyginti su bendru gatvių ilgiu proc.</t>
  </si>
  <si>
    <t>Gatvių tankis km/kv. km</t>
  </si>
  <si>
    <t>Autobusų, kurių amžius neviršija 15 metų, dalis miesto viešajame transporte proc.</t>
  </si>
  <si>
    <t>Gatvių, kuriomis važinėja viešasis transportas, ilgis km</t>
  </si>
  <si>
    <t>P2</t>
  </si>
  <si>
    <t>I, P2</t>
  </si>
  <si>
    <t>Parengta ekspertizė, vnt.</t>
  </si>
  <si>
    <t>Atlikta sankryžos rekonstravimo darbų. Užbaigtumas, proc.</t>
  </si>
  <si>
    <t>STR3-13</t>
  </si>
  <si>
    <t>pakeista įsakymu STR3-10</t>
  </si>
  <si>
    <t>įsakymas</t>
  </si>
  <si>
    <t>Stebėjimo kamerų tinklo diegimas autobusų ir geležinkelių stotyse bei intermodaliniuose centruose (Darnaus judumo planas)</t>
  </si>
  <si>
    <t xml:space="preserve">darnaus judumo </t>
  </si>
  <si>
    <r>
      <t xml:space="preserve">P2.1.2.10, </t>
    </r>
    <r>
      <rPr>
        <b/>
        <sz val="10"/>
        <rFont val="Times New Roman"/>
        <family val="1"/>
        <charset val="186"/>
      </rPr>
      <t>P2</t>
    </r>
  </si>
  <si>
    <r>
      <t xml:space="preserve">P2.1.2.5,  </t>
    </r>
    <r>
      <rPr>
        <b/>
        <sz val="10"/>
        <rFont val="Times New Roman"/>
        <family val="1"/>
        <charset val="186"/>
      </rPr>
      <t>P2</t>
    </r>
  </si>
  <si>
    <r>
      <t xml:space="preserve">P2.1.2.7-8, </t>
    </r>
    <r>
      <rPr>
        <b/>
        <sz val="9"/>
        <rFont val="Times New Roman"/>
        <family val="1"/>
        <charset val="186"/>
      </rPr>
      <t>P2</t>
    </r>
  </si>
  <si>
    <t>2018 m. asignavimų patikslintas planas**</t>
  </si>
  <si>
    <t>2018 m. asignavimų patikslintas planas*</t>
  </si>
  <si>
    <t>6,8</t>
  </si>
  <si>
    <t>Sausio 15–osios g. nuo Taikos pr. iki Tilžės g. (tikslinės teritorijos ribose);</t>
  </si>
  <si>
    <t>Vingio g. nuo Smiltelės g. ir Jūrininkų pr.;</t>
  </si>
  <si>
    <t xml:space="preserve">nuo Sausio 15-osios g. iki Kauno g. (tikslinės teritorijos ribose); </t>
  </si>
  <si>
    <t xml:space="preserve">Buvo parengta techninė specifikacija Šermukšnių g. ir Gedminų g. remonto darbams. Darbai ir lėšos suplanuoti 2019 m. </t>
  </si>
  <si>
    <t>Baltijos pr. nuo Taikos pr. iki Šilutės pl. viena pusė</t>
  </si>
  <si>
    <t>0</t>
  </si>
  <si>
    <t>Techninis darbo projektas suskirstytas į du etapus: I etapo 4 dalys – Bastionų gatvės nuo Danės g. iki Danės upės tiesimas. Judančio (pakeliamo arba pasukamo) tilto per Danės upę įrengimas. Bastionų gatvės nuo Danės upės iki Gluosnių gatvės tiesimas. Danės upės krantinių rekonstrukcija. II etapas – Bastionų gatvės nuo Gluosnių g. iki Bangų g. tiesimas.</t>
  </si>
  <si>
    <t>Užsitęsė poveikio aplinkai vertinimo programos parengimas. Darbų pabaiga suplanuota 2019 m.</t>
  </si>
  <si>
    <t>0,5</t>
  </si>
  <si>
    <t xml:space="preserve">Pagal planą techninio projekto parengimas numatytas 2019 m. </t>
  </si>
  <si>
    <r>
      <t xml:space="preserve">Tilžės g. nuo Šilutės pl. iki geležinkelio pervažos rekonstravimas, pertvarkant žiedinę Mokyklos g. ir Šilutės pl. sankryžą: </t>
    </r>
    <r>
      <rPr>
        <b/>
        <sz val="10"/>
        <rFont val="Times New Roman"/>
        <family val="1"/>
        <charset val="186"/>
      </rPr>
      <t xml:space="preserve">I etapas. </t>
    </r>
    <r>
      <rPr>
        <sz val="10"/>
        <rFont val="Times New Roman"/>
        <family val="1"/>
        <charset val="186"/>
      </rPr>
      <t>Tilžės g. nuo Šilutės pl. iki geležinkelio pervažos rekonstravimas</t>
    </r>
  </si>
  <si>
    <t>Planuota kriterijaus reikšmė įvykdyta iš dalies. Vyko techninio projekto korektūra, todėl rangos darbai nebuvo pradėti. Techninio projekto parengimo pabaiga yra suplanuota 2019 m.</t>
  </si>
  <si>
    <t>Techninis projektas parengtas, atlikta bendroji ekspertizės paslauga, vykdomas rangos darbų pirkimas. Rangos darbai planuojami 2019 m.</t>
  </si>
  <si>
    <t>Planuota kriterijaus reikšmė įvykdyta iš dalies. Parengtas techninis projektas. Atlikta bendroji ekspertizė, gautas statybą leidžiantis dokumentas. Įvyko rangos darbų pirkimo procedūros, parinktas rangovas. Darbų pabaiga suplanuota 2019 m.</t>
  </si>
  <si>
    <r>
      <rPr>
        <b/>
        <sz val="12"/>
        <rFont val="Times New Roman"/>
        <family val="1"/>
        <charset val="186"/>
      </rPr>
      <t xml:space="preserve">Iš 2018 m. </t>
    </r>
    <r>
      <rPr>
        <sz val="12"/>
        <rFont val="Times New Roman"/>
        <family val="1"/>
        <charset val="186"/>
      </rPr>
      <t xml:space="preserve">planuotų įvykdyti 45 priemonių ir papriemonių (kurioms patvirtinti /skirti asignavimai): </t>
    </r>
  </si>
  <si>
    <t>Lietuvos statistikos departamento duomenys</t>
  </si>
  <si>
    <t>Planuota kriterijaus reikšmė įvykdyta iš dalies, nes buvo įrengtos tik 2 įvažos – Juodkrantės ir  Naikupės stotelėse. Tolimesni darbai suplanuoti 2019 m.</t>
  </si>
  <si>
    <t>Įrengta ir pakeista informacinių kelio ženklų, tūkst. vnt.</t>
  </si>
  <si>
    <t>1,5</t>
  </si>
  <si>
    <t>4,7</t>
  </si>
  <si>
    <t>151</t>
  </si>
  <si>
    <t>Lengvųjų automobilių taksi ženklinimo  sprendinių projekto parengimas</t>
  </si>
  <si>
    <t xml:space="preserve">Ženklinimo sprendinių projektas bus pradėtas rengti pasikeitus teisės aktams, reglamentuojantiems lengvųjų automobilių taksi spalvinius sprendinius. Sprendinių projekto parengimo pabaiga yra suplanuota 2019 m. </t>
  </si>
  <si>
    <t>Atlikta miesto gyventojų apklausa, atsižvelgiant į rezulatus planuojamos dviračių saugyklų vietos. Darbai suplanuoti 2019 m.</t>
  </si>
  <si>
    <t>nevykdytina</t>
  </si>
  <si>
    <t>(nepasiekta planuota reikšmė);</t>
  </si>
  <si>
    <t xml:space="preserve">(praradusi aktualumą dėl pasikeitusių teisės aktų ar kitų aplinkybių). </t>
  </si>
  <si>
    <t>SB*</t>
  </si>
  <si>
    <t>SB(ŽPL)*</t>
  </si>
  <si>
    <t>SB(KPP)*</t>
  </si>
  <si>
    <t>SB(L)*</t>
  </si>
  <si>
    <t>SB(ES)*</t>
  </si>
  <si>
    <t>KVJUD*</t>
  </si>
  <si>
    <t>Kt*</t>
  </si>
  <si>
    <t>SB(VR)*</t>
  </si>
  <si>
    <t>SB(VRL)*</t>
  </si>
  <si>
    <t>ES*</t>
  </si>
  <si>
    <t>Planuota kriterijaus reikšmė įvykdyta iš dalies. Projektuotojas vėluoja parengti techninį projektą, nes Saugaus eismo komisija papildomai pareikalavo atlikti saugaus eismo auditą, papildomai reikėjo atlkti specialiąją paveldosauginę ekspertizę, nes dalis sankryžų patenka į kultūros paveldo teritoriją, taip pat reikėjo gauti Nacionalinės žemės tarnybos sutikimą tose vietose, kuriose požeminiai tinklai išeina iš projekto ribų. 2019 m. I ketvirtį bus pradėtas rangos darbų pirkimas.</t>
  </si>
  <si>
    <t xml:space="preserve">Planuota kriterijaus reikšmė įvykdyta iš dalies. 2018-05 pateiktas „Naujo tilto su pakeliamu mechanizmu per Danę statyba ir prieigų sutvarkymas Danės pakrantėje“ projektinis pasiūlymas. 
2018-10 patikslintas „Bastionų g. tiesimas (I etapas: nuo Danės g. iki Danės upės ir nuo Danės upės iki Gluosnių g., II etapas: nuo Gluosnių g. iki Bangų g.)“ paraiškos teikimo terminas 
2018 m. kovo mėn. gauta Aplinkos apsaugos agentūros galutinė atrankos išvada (2018-03-02 raštas Nr. (28.3)-A4-2023), kad planuojamai ūkinei veiklai – Bastionų gatvės su nauju tiltu per Danės upę, Klaipėdos mieste statybai – poveikio aplinkai vertinimas privalomas. Projektuotojai rengia poveikio aplinkai vertinimo ataskaitą. PAV programos išvados gali turėti įtakos I ir II etapų techninių darbo projektų sprendiniams, todėl projektavimo darbai pristabdyti.
</t>
  </si>
  <si>
    <t>Planuota kriterijaus reikšmė įvykdyta iš dalies, kadangi per metus paaiškėjo, jog privaloma atlikti specialiąją paveldosaugos ekspertizę, kuri gali turėti įtakos techninio projekto sprendiniams. Paveldosaugos ekspertizės atlikimas ir techninio projekto parengimo darbai yra suplanuoti 2019 m.</t>
  </si>
  <si>
    <t>Priemonės vykdymas buvo atidėtas tarybos 2018-10-25 sprendimu Nr. T2-221. Kadangi užsitęsė Klaipėdos miesto bendrojo plano rengimas, nebuvo pradėtas projektavimo paslaugų pirkimas.</t>
  </si>
  <si>
    <t>Darbai vyksta pagal planą.</t>
  </si>
  <si>
    <t>Dėl bankrutavusio vieno iš jungtinės veiklos partnerių techninio projekto parengimas yra užsitęsęs. Projekto pabaiga suplanuota 2019 m.</t>
  </si>
  <si>
    <t>Dėl vėluojančio techninio projekto parengimo  darbų pradžia suplanuota 2019 metais.</t>
  </si>
  <si>
    <t xml:space="preserve">Priemonės vykdymas buvo atidėtas tarybos 2018-10-25 sprendimu Nr. T2-221. Projektas vykdomas kartu su Kelių direkcija. Dėl užtrukusio bendradarbiavimo sutarties suderinimo ir vykdomos projekto korektūros, rangos darbų pirkimas atidėtas 2019 m. </t>
  </si>
  <si>
    <t>Techninis projektas ir bendroji ekspertizė parengta. Darbai suplanuoti 2020 m.</t>
  </si>
  <si>
    <t>Darbai vyksta pagal rangovo pateiktą kalendorinį darbų atlikimo grafiką.</t>
  </si>
  <si>
    <t xml:space="preserve">Planuota kriterijaus reikšmė įvykdyta iš dalies. Techninis projektas yra parengtas. Projektinių pasiūlymų pristatymo metu buvo pateikta pastaba numatyti triukšmo slopinimo priemones ties daugiabučiu Šilutės pl. 24. Dėl šios priežasties reikia atlikti triukšmo matavimo tyrimus. Taip pat buvo gautas prašymas sinchronizuoti geležinkelio ir sankryžos šviesoforus, rekonstruoti pėsčiųjų perėjos šviesoforą. Šie projektavimo darbai nebuvo numatyti projektavimo užduotyje ir jų negali atlikti kitas paslaugų teikėjas, dėl to 2018-12-14 pasirašytas papildomas susitarimas. Techninio projekto parengimo pabaiga yra suplanuota 2019 m. </t>
  </si>
  <si>
    <t>Techninis projektas parengtas, bendroji ekspertizė atlikta, gautas teigiamas ekspertizės aktas ir statybą leidžiantis dokumentas. Rangos darbų konkurso sąlygos parengtos. Rangos darbų pradžia planuojama 2022 metais.</t>
  </si>
  <si>
    <t>Pagal planą ir paslaugų rengimo sutartį techninis projektas turi būti parengtas 2019-03-20.</t>
  </si>
  <si>
    <t>Atsisakyta pradėti projektinių pasiūlymų pirkimą, kadangi užsitęsė Klaipėdos miesto bendrojo plano rengimas.</t>
  </si>
  <si>
    <t>Vertinimo kriterijaus reikšmės įvykdytos pagal faktą.</t>
  </si>
  <si>
    <t>Parengta 13 viešojo transporto stotelių elektros įvadų švieslenčių įrengimo techninių projektų. Elektros įvadai įrengti penkiose stotelėse. Tolimesni darbai suplanuoti 2019‒2020 m.</t>
  </si>
  <si>
    <t>Pagal planą naujus autobusus planuojama įsigyti 2019 m. Vyko autobusų viešojo pirkimo procedūros.</t>
  </si>
  <si>
    <t>Pagal projektą pakeista 805 vnt. kelio ženklų, įrengta 713 vnt.  kelio ženklų.</t>
  </si>
  <si>
    <t>Informaciniai kelio ženklai įrengti kartu su atramomis.</t>
  </si>
  <si>
    <t xml:space="preserve">Parengti techniniai projektai šviesoforinėms sankryžoms (Baltijos prospekto ruože tarp Šilutės pl. ir Taikos pr., Šilutės pl. prie AB „Klaipėdos energija“, Taikos pr. ties Žvejų rūmais). Rekonstravimo darbai suplanuoti 2019 m. </t>
  </si>
  <si>
    <t>Autobusų stotelės, kuriose įrengta 169 kv. m įspėjamosios dangos (Naujojo turgaus, Baltijos, Arenos, Budelkiemio  –  2 vnt., Mogiliovo, Alksnynės, Sausio 15-osios, Šiltnamių, Rumpiškės – 2 vnt., Mokyklos – 2 vnt., Verpėjų – 2 vnt.)</t>
  </si>
  <si>
    <t>Planuota kriterijaus reikšmė įvykdyta iš dalies. Galimybių studijos ir viešųjų pirkimų  dokumentų parengimo viešasis pirkimas baigtas 2018 m. gruodžio mėnesį. Sutartis  pasirašyta 2019-01-16, sutarties įvykdymo terminas ‒ 8 mėn. Darbai nukelti į 2019 m. Avansas sumokėtas.</t>
  </si>
  <si>
    <t xml:space="preserve">Dėl daug kartų keisto projekto finansavimo sąlygų aprašo, projekto sutartis pasirašyta tik 2018-10-16.  Užtruko Automobilių kelių direkcijos pagal įgaliojimą vykdytas stotelių viešasis pirkimas. Sutartis su tiekėju pasirašyta 2018-11-12. Parengti elektromobilių įkrovimo stotelių projektai, apmokėta už AB „Energijos skirstymo operatorius“ paslaugas, rangos darbai bus vykdomi 2019 m. </t>
  </si>
  <si>
    <t xml:space="preserve">Techninis projektas parengtas. Šiuo metu projektas derinamas sistemoje„Infostatyba“. </t>
  </si>
  <si>
    <t>Planuota kriterijaus reikšmė buvo vykdoma pagal planą. Ištisinio asfaltbetonio danga buvo paklota 4 gatvėse: Vingio g., Sausio 15-osios g., Taikos pr., Statybininkų pr.</t>
  </si>
  <si>
    <t>Joniškės g. remonto darbai  laikinai sustabdyti dėl planuojamų vykdyti AB „Energijos skirstymo operatorius“ darbų.</t>
  </si>
  <si>
    <t>Per metus  buvo atsisakyta remontuoti Baltijos pr. vienos pusė gatvės dangos dėl pakankamai geros būklės.</t>
  </si>
  <si>
    <t>Teikiamas prioritetas toms gatvėms, kuriomis važinėja viešasis transportas.</t>
  </si>
  <si>
    <t>Nuolat greideriuojamos ir papildomos skalda visos žvyruotos Klaipėdos miesto gatvės pagal poreikį.</t>
  </si>
  <si>
    <t>Vykdomas duobių remontas kiemuose ir įvažiavimų į juos keliuose.</t>
  </si>
  <si>
    <t>Atlikta įrengimo darbų – Bijūnų g., Baltijos pr. dubliuojančios g., Taikos pr., Birutės g., Statybininkų pr., Verpėjų g., Panevėžio g., J. Zembrickio g.,Veterinarijos g., Valstiečių g. ir Kretingos g.</t>
  </si>
  <si>
    <t>Asfalto danga paklota 7 mokyklų ir 12 darželių teritorijose.</t>
  </si>
  <si>
    <t>Vykdoma miesto tiltų ir viadukų kasmėnesinė priežiūra, profilaktinis Pilies tilto kilnojimas, Pilies tilto techninių patalpų priežiūra. Atlikta Biržos tilto gelžbetoninių konstrukcijų kontrasvorių ekspertizė. Rengiamas tilto kontrasvorių remonto projektas.</t>
  </si>
  <si>
    <t>*Pagal Klaipėdos miesto savivaldybės tarybos 2018 m. sausio 25 d. sprendimą Nr. T2-6.</t>
  </si>
  <si>
    <t>**Pagal Klaipėdos miesto savivaldybės tarybos 2018 m. gruodžio 20 d. sprendimą Nr. T2-266.</t>
  </si>
  <si>
    <t>______________________________________________________</t>
  </si>
  <si>
    <t xml:space="preserve">Planuota kriterijaus reikšmė įvykdyta iš dalies. Autobusų ir maršrutinių taksi įranga yra įsigyta ir integruota (miesto viešajame transporte vieninga bilietų sistema veikia), tačiau nėra  įvykdyta mokėjimo sutartis, kuri buvo sustabdyta dėl atsiskaitymo modelio pakeitimo. Buvo reikalinga pakeisti sutarties priedą įtraukiant PVM lėšas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</si>
</sst>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t_-;\-* #,##0.00\ _L_t_-;_-* &quot;-&quot;??\ _L_t_-;_-@_-"/>
    <numFmt numFmtId="165" formatCode="0.0"/>
    <numFmt numFmtId="166" formatCode="#,##0.0"/>
    <numFmt numFmtId="167" formatCode="[$-10427]#,##0.00;\-#,##0.00;&quot;&quot;"/>
  </numFmts>
  <fonts count="47" x14ac:knownFonts="1">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9"/>
      <name val="Arial"/>
      <family val="2"/>
      <charset val="186"/>
    </font>
    <font>
      <sz val="10"/>
      <color rgb="FFFF0000"/>
      <name val="Times New Roman"/>
      <family val="1"/>
      <charset val="186"/>
    </font>
    <font>
      <sz val="7"/>
      <name val="Times New Roman"/>
      <family val="1"/>
      <charset val="186"/>
    </font>
    <font>
      <sz val="7"/>
      <name val="Arial"/>
      <family val="2"/>
      <charset val="186"/>
    </font>
    <font>
      <b/>
      <sz val="10"/>
      <color indexed="81"/>
      <name val="Tahoma"/>
      <family val="2"/>
      <charset val="186"/>
    </font>
    <font>
      <sz val="10"/>
      <color indexed="81"/>
      <name val="Tahoma"/>
      <family val="2"/>
      <charset val="186"/>
    </font>
    <font>
      <i/>
      <sz val="10"/>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sz val="10"/>
      <color theme="3"/>
      <name val="Times New Roman"/>
      <family val="1"/>
      <charset val="186"/>
    </font>
    <font>
      <sz val="10"/>
      <color theme="1"/>
      <name val="Times New Roman"/>
      <family val="1"/>
      <charset val="186"/>
    </font>
    <font>
      <i/>
      <sz val="8"/>
      <name val="Times New Roman"/>
      <family val="1"/>
      <charset val="186"/>
    </font>
    <font>
      <b/>
      <i/>
      <sz val="10"/>
      <name val="Times New Roman"/>
      <family val="1"/>
      <charset val="186"/>
    </font>
    <font>
      <i/>
      <sz val="10"/>
      <color theme="1"/>
      <name val="Times New Roman"/>
      <family val="1"/>
      <charset val="186"/>
    </font>
    <font>
      <sz val="10"/>
      <color rgb="FF1F497D"/>
      <name val="Times New Roman"/>
      <family val="1"/>
      <charset val="186"/>
    </font>
    <font>
      <sz val="10"/>
      <color theme="1"/>
      <name val="Arial"/>
      <family val="2"/>
      <charset val="186"/>
    </font>
    <font>
      <sz val="10"/>
      <color theme="1"/>
      <name val="Times New Roman"/>
      <family val="1"/>
    </font>
    <font>
      <sz val="9"/>
      <color theme="1"/>
      <name val="Times New Roman"/>
      <family val="1"/>
      <charset val="186"/>
    </font>
    <font>
      <b/>
      <sz val="10"/>
      <color rgb="FFFF0000"/>
      <name val="Times New Roman"/>
      <family val="1"/>
      <charset val="186"/>
    </font>
    <font>
      <b/>
      <sz val="12"/>
      <name val="Times New Roman"/>
      <family val="1"/>
      <charset val="186"/>
    </font>
    <font>
      <sz val="12"/>
      <name val="Times New Roman"/>
      <family val="1"/>
      <charset val="186"/>
    </font>
    <font>
      <sz val="10"/>
      <color rgb="FFFF0000"/>
      <name val="Arial"/>
      <family val="2"/>
      <charset val="186"/>
    </font>
    <font>
      <sz val="7"/>
      <color rgb="FFFF0000"/>
      <name val="Arial"/>
      <family val="2"/>
      <charset val="186"/>
    </font>
    <font>
      <b/>
      <sz val="10"/>
      <color theme="1"/>
      <name val="Times New Roman"/>
      <family val="1"/>
      <charset val="186"/>
    </font>
    <font>
      <b/>
      <sz val="8"/>
      <color rgb="FFFF0000"/>
      <name val="Times New Roman"/>
      <family val="1"/>
      <charset val="186"/>
    </font>
    <font>
      <sz val="9"/>
      <color rgb="FFFF0000"/>
      <name val="Times New Roman"/>
      <family val="1"/>
      <charset val="186"/>
    </font>
    <font>
      <b/>
      <sz val="10"/>
      <name val="Times New Roman"/>
      <family val="1"/>
    </font>
    <font>
      <sz val="10"/>
      <name val="Times New Roman"/>
      <family val="1"/>
    </font>
    <font>
      <sz val="11"/>
      <name val="Times New Roman"/>
      <family val="1"/>
    </font>
    <font>
      <sz val="8"/>
      <color indexed="81"/>
      <name val="Tahoma"/>
      <family val="2"/>
      <charset val="186"/>
    </font>
    <font>
      <sz val="10"/>
      <color theme="0"/>
      <name val="Times New Roman"/>
      <family val="1"/>
      <charset val="186"/>
    </font>
    <font>
      <sz val="10"/>
      <color rgb="FF000000"/>
      <name val="Times New Roman"/>
      <family val="1"/>
      <charset val="186"/>
    </font>
    <font>
      <i/>
      <sz val="10"/>
      <color theme="0"/>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4" tint="0.7999816888943144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thin">
        <color indexed="64"/>
      </top>
      <bottom/>
      <diagonal/>
    </border>
    <border>
      <left style="thin">
        <color rgb="FF000000"/>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rgb="FF000000"/>
      </left>
      <right style="thin">
        <color rgb="FF000000"/>
      </right>
      <top style="thin">
        <color rgb="FF000000"/>
      </top>
      <bottom/>
      <diagonal/>
    </border>
    <border>
      <left style="thin">
        <color rgb="FF000000"/>
      </left>
      <right style="medium">
        <color indexed="64"/>
      </right>
      <top/>
      <bottom/>
      <diagonal/>
    </border>
    <border>
      <left style="medium">
        <color indexed="64"/>
      </left>
      <right style="medium">
        <color indexed="64"/>
      </right>
      <top style="thin">
        <color rgb="FF000000"/>
      </top>
      <bottom/>
      <diagonal/>
    </border>
    <border>
      <left style="medium">
        <color indexed="64"/>
      </left>
      <right style="thin">
        <color rgb="FF000000"/>
      </right>
      <top/>
      <bottom/>
      <diagonal/>
    </border>
    <border>
      <left style="thin">
        <color indexed="64"/>
      </left>
      <right style="thin">
        <color rgb="FF000000"/>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rgb="FF000000"/>
      </left>
      <right style="medium">
        <color indexed="64"/>
      </right>
      <top style="thin">
        <color indexed="64"/>
      </top>
      <bottom/>
      <diagonal/>
    </border>
  </borders>
  <cellStyleXfs count="3">
    <xf numFmtId="0" fontId="0" fillId="0" borderId="0"/>
    <xf numFmtId="164" fontId="9" fillId="0" borderId="0" applyFont="0" applyFill="0" applyBorder="0" applyAlignment="0" applyProtection="0"/>
    <xf numFmtId="0" fontId="9" fillId="0" borderId="0"/>
  </cellStyleXfs>
  <cellXfs count="1942">
    <xf numFmtId="0" fontId="0" fillId="0" borderId="0" xfId="0"/>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6" fontId="3" fillId="0" borderId="24" xfId="0" applyNumberFormat="1" applyFont="1" applyFill="1" applyBorder="1" applyAlignment="1">
      <alignment horizontal="center" vertical="top"/>
    </xf>
    <xf numFmtId="3" fontId="3" fillId="0" borderId="27" xfId="0" applyNumberFormat="1" applyFont="1" applyFill="1" applyBorder="1" applyAlignment="1">
      <alignment horizontal="center" vertical="top" wrapText="1"/>
    </xf>
    <xf numFmtId="0" fontId="3" fillId="0" borderId="0" xfId="0" applyFont="1" applyAlignment="1">
      <alignment vertical="center"/>
    </xf>
    <xf numFmtId="164" fontId="3" fillId="0" borderId="0" xfId="1" applyFont="1" applyBorder="1" applyAlignment="1">
      <alignment vertical="top"/>
    </xf>
    <xf numFmtId="0" fontId="9" fillId="0" borderId="0" xfId="0" applyFont="1"/>
    <xf numFmtId="0" fontId="4" fillId="0" borderId="0" xfId="0" applyNumberFormat="1" applyFont="1" applyAlignment="1">
      <alignment vertical="top"/>
    </xf>
    <xf numFmtId="0" fontId="3" fillId="0" borderId="27" xfId="0" applyFont="1" applyBorder="1" applyAlignment="1">
      <alignment vertical="top"/>
    </xf>
    <xf numFmtId="49" fontId="4" fillId="2" borderId="34" xfId="0" applyNumberFormat="1" applyFont="1" applyFill="1" applyBorder="1" applyAlignment="1">
      <alignment horizontal="center" vertical="top"/>
    </xf>
    <xf numFmtId="166" fontId="3" fillId="0" borderId="0" xfId="0" applyNumberFormat="1" applyFont="1" applyAlignment="1">
      <alignment vertical="top"/>
    </xf>
    <xf numFmtId="0" fontId="3" fillId="0" borderId="31" xfId="0" applyFont="1" applyBorder="1" applyAlignment="1">
      <alignment vertical="top"/>
    </xf>
    <xf numFmtId="0" fontId="3" fillId="0" borderId="31" xfId="0" applyFont="1" applyBorder="1" applyAlignment="1">
      <alignment vertical="center"/>
    </xf>
    <xf numFmtId="0" fontId="4" fillId="0" borderId="31" xfId="0" applyNumberFormat="1" applyFont="1" applyBorder="1" applyAlignment="1">
      <alignment vertical="top"/>
    </xf>
    <xf numFmtId="49" fontId="4" fillId="9" borderId="15" xfId="0" applyNumberFormat="1" applyFont="1" applyFill="1" applyBorder="1" applyAlignment="1">
      <alignment horizontal="center" vertical="top" wrapText="1"/>
    </xf>
    <xf numFmtId="0" fontId="3" fillId="7" borderId="28" xfId="0" applyFont="1" applyFill="1" applyBorder="1" applyAlignment="1">
      <alignment vertical="top" wrapText="1"/>
    </xf>
    <xf numFmtId="3" fontId="3" fillId="7" borderId="27" xfId="0" applyNumberFormat="1" applyFont="1" applyFill="1" applyBorder="1" applyAlignment="1">
      <alignment horizontal="center" vertical="top"/>
    </xf>
    <xf numFmtId="3" fontId="3" fillId="7" borderId="26" xfId="0" applyNumberFormat="1" applyFont="1" applyFill="1" applyBorder="1" applyAlignment="1">
      <alignment horizontal="center" vertical="top"/>
    </xf>
    <xf numFmtId="0" fontId="3" fillId="0" borderId="62" xfId="0" applyFont="1" applyBorder="1" applyAlignment="1">
      <alignment vertical="top"/>
    </xf>
    <xf numFmtId="3" fontId="3" fillId="0" borderId="1" xfId="0" applyNumberFormat="1" applyFont="1" applyFill="1" applyBorder="1" applyAlignment="1">
      <alignment horizontal="center" vertical="top"/>
    </xf>
    <xf numFmtId="3" fontId="3" fillId="7" borderId="83" xfId="0" applyNumberFormat="1" applyFont="1" applyFill="1" applyBorder="1" applyAlignment="1">
      <alignment horizontal="center" vertical="top"/>
    </xf>
    <xf numFmtId="3" fontId="3" fillId="7" borderId="84" xfId="0" applyNumberFormat="1" applyFont="1" applyFill="1" applyBorder="1" applyAlignment="1">
      <alignment horizontal="center" vertical="top"/>
    </xf>
    <xf numFmtId="3" fontId="3" fillId="7" borderId="76" xfId="0" applyNumberFormat="1" applyFont="1" applyFill="1" applyBorder="1" applyAlignment="1">
      <alignment horizontal="center" vertical="top"/>
    </xf>
    <xf numFmtId="3" fontId="3" fillId="0" borderId="12" xfId="0" applyNumberFormat="1" applyFont="1" applyFill="1" applyBorder="1" applyAlignment="1">
      <alignment horizontal="center" vertical="top"/>
    </xf>
    <xf numFmtId="3" fontId="3" fillId="0" borderId="12" xfId="0" applyNumberFormat="1" applyFont="1" applyFill="1" applyBorder="1" applyAlignment="1">
      <alignment horizontal="center" vertical="top" wrapText="1"/>
    </xf>
    <xf numFmtId="0" fontId="3" fillId="7" borderId="82" xfId="0" applyFont="1" applyFill="1" applyBorder="1" applyAlignment="1">
      <alignment horizontal="left" vertical="top" wrapText="1"/>
    </xf>
    <xf numFmtId="3" fontId="3" fillId="7" borderId="26"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xf>
    <xf numFmtId="3" fontId="3" fillId="0" borderId="84" xfId="0" applyNumberFormat="1" applyFont="1" applyFill="1" applyBorder="1" applyAlignment="1">
      <alignment horizontal="center" vertical="top"/>
    </xf>
    <xf numFmtId="166" fontId="3" fillId="0" borderId="10" xfId="0" applyNumberFormat="1" applyFont="1" applyFill="1" applyBorder="1" applyAlignment="1">
      <alignment horizontal="center" vertical="top"/>
    </xf>
    <xf numFmtId="166" fontId="3" fillId="0" borderId="17" xfId="0" applyNumberFormat="1" applyFont="1" applyFill="1" applyBorder="1" applyAlignment="1">
      <alignment horizontal="center" vertical="top"/>
    </xf>
    <xf numFmtId="0" fontId="3" fillId="7" borderId="5" xfId="0" applyFont="1" applyFill="1" applyBorder="1" applyAlignment="1">
      <alignment horizontal="center" vertical="top"/>
    </xf>
    <xf numFmtId="49" fontId="3" fillId="7" borderId="10" xfId="0" applyNumberFormat="1" applyFont="1" applyFill="1" applyBorder="1" applyAlignment="1">
      <alignment horizontal="center" vertical="top"/>
    </xf>
    <xf numFmtId="3" fontId="3" fillId="0" borderId="0" xfId="0" applyNumberFormat="1" applyFont="1" applyBorder="1" applyAlignment="1">
      <alignment vertical="top"/>
    </xf>
    <xf numFmtId="166" fontId="3" fillId="7" borderId="47" xfId="0" applyNumberFormat="1" applyFont="1" applyFill="1" applyBorder="1" applyAlignment="1">
      <alignment horizontal="center" vertical="top"/>
    </xf>
    <xf numFmtId="166" fontId="3" fillId="7" borderId="17" xfId="0" applyNumberFormat="1" applyFont="1" applyFill="1" applyBorder="1" applyAlignment="1">
      <alignment horizontal="center" vertical="top"/>
    </xf>
    <xf numFmtId="166" fontId="3" fillId="7" borderId="34" xfId="0" applyNumberFormat="1" applyFont="1" applyFill="1" applyBorder="1" applyAlignment="1">
      <alignment horizontal="center" vertical="top"/>
    </xf>
    <xf numFmtId="166" fontId="3" fillId="7" borderId="27" xfId="0" applyNumberFormat="1" applyFont="1" applyFill="1" applyBorder="1" applyAlignment="1">
      <alignment horizontal="center" vertical="top"/>
    </xf>
    <xf numFmtId="166" fontId="3" fillId="7" borderId="26" xfId="0" applyNumberFormat="1" applyFont="1" applyFill="1" applyBorder="1" applyAlignment="1">
      <alignment horizontal="center" vertical="top"/>
    </xf>
    <xf numFmtId="0" fontId="3" fillId="7" borderId="77" xfId="0" applyFont="1" applyFill="1" applyBorder="1" applyAlignment="1">
      <alignment horizontal="left" vertical="top" wrapText="1"/>
    </xf>
    <xf numFmtId="0" fontId="3" fillId="7" borderId="62" xfId="0" applyFont="1" applyFill="1" applyBorder="1" applyAlignment="1">
      <alignment horizontal="center" vertical="top"/>
    </xf>
    <xf numFmtId="0" fontId="3" fillId="7" borderId="33" xfId="0" applyFont="1" applyFill="1" applyBorder="1" applyAlignment="1">
      <alignment horizontal="center" vertical="top"/>
    </xf>
    <xf numFmtId="3" fontId="3" fillId="7" borderId="34" xfId="0" applyNumberFormat="1" applyFont="1" applyFill="1" applyBorder="1" applyAlignment="1">
      <alignment horizontal="center" vertical="top"/>
    </xf>
    <xf numFmtId="3" fontId="3" fillId="7" borderId="83" xfId="0" applyNumberFormat="1" applyFont="1" applyFill="1" applyBorder="1" applyAlignment="1">
      <alignment horizontal="center" vertical="top" wrapText="1"/>
    </xf>
    <xf numFmtId="166" fontId="3" fillId="7" borderId="19" xfId="0" applyNumberFormat="1" applyFont="1" applyFill="1" applyBorder="1" applyAlignment="1">
      <alignment horizontal="center" vertical="top"/>
    </xf>
    <xf numFmtId="166" fontId="3" fillId="0" borderId="0" xfId="0" applyNumberFormat="1" applyFont="1" applyBorder="1" applyAlignment="1">
      <alignment vertical="top"/>
    </xf>
    <xf numFmtId="166" fontId="3" fillId="7" borderId="22" xfId="0" applyNumberFormat="1" applyFont="1" applyFill="1" applyBorder="1" applyAlignment="1">
      <alignment vertical="top"/>
    </xf>
    <xf numFmtId="49" fontId="4" fillId="7" borderId="31" xfId="0" applyNumberFormat="1" applyFont="1" applyFill="1" applyBorder="1" applyAlignment="1">
      <alignment horizontal="center" vertical="top"/>
    </xf>
    <xf numFmtId="3" fontId="3" fillId="0" borderId="34" xfId="0" applyNumberFormat="1" applyFont="1" applyFill="1" applyBorder="1" applyAlignment="1">
      <alignment horizontal="center" vertical="top" wrapText="1"/>
    </xf>
    <xf numFmtId="0" fontId="8" fillId="7" borderId="47" xfId="0" applyFont="1" applyFill="1" applyBorder="1" applyAlignment="1">
      <alignment vertical="top" wrapText="1"/>
    </xf>
    <xf numFmtId="166" fontId="3" fillId="7" borderId="7" xfId="0" applyNumberFormat="1" applyFont="1" applyFill="1" applyBorder="1" applyAlignment="1">
      <alignment horizontal="center" vertical="top"/>
    </xf>
    <xf numFmtId="166" fontId="3" fillId="0" borderId="22" xfId="0" applyNumberFormat="1" applyFont="1" applyBorder="1" applyAlignment="1">
      <alignment horizontal="center" vertical="top"/>
    </xf>
    <xf numFmtId="166" fontId="3" fillId="0" borderId="22" xfId="0" applyNumberFormat="1" applyFont="1" applyFill="1" applyBorder="1" applyAlignment="1">
      <alignment horizontal="center" vertical="top"/>
    </xf>
    <xf numFmtId="166" fontId="3" fillId="7" borderId="22" xfId="0" applyNumberFormat="1" applyFont="1" applyFill="1" applyBorder="1" applyAlignment="1">
      <alignment horizontal="center" vertical="top" wrapText="1"/>
    </xf>
    <xf numFmtId="166" fontId="3" fillId="0" borderId="5" xfId="0" applyNumberFormat="1" applyFont="1" applyFill="1" applyBorder="1" applyAlignment="1">
      <alignment horizontal="center" vertical="top"/>
    </xf>
    <xf numFmtId="166" fontId="3" fillId="7" borderId="89" xfId="0" applyNumberFormat="1" applyFont="1" applyFill="1" applyBorder="1" applyAlignment="1">
      <alignment horizontal="center" vertical="top"/>
    </xf>
    <xf numFmtId="166" fontId="3" fillId="7" borderId="42" xfId="0" applyNumberFormat="1" applyFont="1" applyFill="1" applyBorder="1" applyAlignment="1">
      <alignment horizontal="center" vertical="top"/>
    </xf>
    <xf numFmtId="166" fontId="3" fillId="7" borderId="22" xfId="0" applyNumberFormat="1" applyFont="1" applyFill="1" applyBorder="1" applyAlignment="1">
      <alignment horizontal="center" vertical="top"/>
    </xf>
    <xf numFmtId="166" fontId="3" fillId="7" borderId="5" xfId="0" applyNumberFormat="1" applyFont="1" applyFill="1" applyBorder="1" applyAlignment="1">
      <alignment horizontal="center" vertical="top"/>
    </xf>
    <xf numFmtId="166" fontId="3" fillId="0" borderId="28" xfId="0" applyNumberFormat="1" applyFont="1" applyFill="1" applyBorder="1" applyAlignment="1">
      <alignment vertical="top" wrapText="1"/>
    </xf>
    <xf numFmtId="166" fontId="3" fillId="7" borderId="5" xfId="0" applyNumberFormat="1" applyFont="1" applyFill="1" applyBorder="1" applyAlignment="1">
      <alignment horizontal="center" vertical="top" wrapText="1"/>
    </xf>
    <xf numFmtId="166" fontId="3" fillId="0" borderId="11" xfId="0" applyNumberFormat="1" applyFont="1" applyFill="1" applyBorder="1" applyAlignment="1">
      <alignment horizontal="left" vertical="top" wrapText="1"/>
    </xf>
    <xf numFmtId="166" fontId="3" fillId="7" borderId="94" xfId="0" applyNumberFormat="1" applyFont="1" applyFill="1" applyBorder="1" applyAlignment="1">
      <alignment horizontal="center" vertical="top"/>
    </xf>
    <xf numFmtId="166" fontId="3" fillId="0" borderId="22" xfId="0" applyNumberFormat="1" applyFont="1" applyFill="1" applyBorder="1" applyAlignment="1">
      <alignment horizontal="center" vertical="top" wrapText="1"/>
    </xf>
    <xf numFmtId="166" fontId="4" fillId="9" borderId="70" xfId="0" applyNumberFormat="1" applyFont="1" applyFill="1" applyBorder="1" applyAlignment="1">
      <alignment horizontal="center" vertical="top"/>
    </xf>
    <xf numFmtId="166" fontId="4" fillId="3" borderId="9" xfId="0" applyNumberFormat="1" applyFont="1" applyFill="1" applyBorder="1" applyAlignment="1">
      <alignment horizontal="center" vertical="top"/>
    </xf>
    <xf numFmtId="166" fontId="3" fillId="0" borderId="15" xfId="0" applyNumberFormat="1" applyFont="1" applyFill="1" applyBorder="1" applyAlignment="1">
      <alignment horizontal="left" vertical="top" wrapText="1"/>
    </xf>
    <xf numFmtId="166" fontId="3" fillId="3" borderId="66" xfId="0" applyNumberFormat="1" applyFont="1" applyFill="1" applyBorder="1" applyAlignment="1">
      <alignment horizontal="center" vertical="top"/>
    </xf>
    <xf numFmtId="166" fontId="3" fillId="3" borderId="11" xfId="0" applyNumberFormat="1" applyFont="1" applyFill="1" applyBorder="1" applyAlignment="1">
      <alignment vertical="top" wrapText="1"/>
    </xf>
    <xf numFmtId="166" fontId="3" fillId="3" borderId="22" xfId="0" applyNumberFormat="1" applyFont="1" applyFill="1" applyBorder="1" applyAlignment="1">
      <alignment horizontal="center" vertical="top"/>
    </xf>
    <xf numFmtId="166" fontId="8" fillId="3" borderId="40" xfId="0" applyNumberFormat="1" applyFont="1" applyFill="1" applyBorder="1" applyAlignment="1">
      <alignment horizontal="left" vertical="top" wrapText="1"/>
    </xf>
    <xf numFmtId="166" fontId="3" fillId="7" borderId="101" xfId="0" applyNumberFormat="1" applyFont="1" applyFill="1" applyBorder="1" applyAlignment="1">
      <alignment horizontal="center" vertical="top"/>
    </xf>
    <xf numFmtId="166" fontId="4" fillId="3" borderId="22" xfId="0" applyNumberFormat="1" applyFont="1" applyFill="1" applyBorder="1" applyAlignment="1">
      <alignment horizontal="center" vertical="top"/>
    </xf>
    <xf numFmtId="166" fontId="3" fillId="7" borderId="9" xfId="0" applyNumberFormat="1" applyFont="1" applyFill="1" applyBorder="1" applyAlignment="1">
      <alignment horizontal="right" vertical="top"/>
    </xf>
    <xf numFmtId="166" fontId="4" fillId="9" borderId="53" xfId="0" applyNumberFormat="1" applyFont="1" applyFill="1" applyBorder="1" applyAlignment="1">
      <alignment horizontal="center" vertical="top"/>
    </xf>
    <xf numFmtId="166" fontId="4" fillId="2" borderId="3" xfId="0" applyNumberFormat="1" applyFont="1" applyFill="1" applyBorder="1" applyAlignment="1">
      <alignment horizontal="center" vertical="top"/>
    </xf>
    <xf numFmtId="166" fontId="3" fillId="2" borderId="54" xfId="0" applyNumberFormat="1" applyFont="1" applyFill="1" applyBorder="1" applyAlignment="1">
      <alignment horizontal="center" vertical="top" wrapText="1"/>
    </xf>
    <xf numFmtId="166" fontId="3" fillId="2" borderId="32" xfId="0" applyNumberFormat="1" applyFont="1" applyFill="1" applyBorder="1" applyAlignment="1">
      <alignment horizontal="center" vertical="top" wrapText="1"/>
    </xf>
    <xf numFmtId="166" fontId="3" fillId="7" borderId="66" xfId="0" applyNumberFormat="1" applyFont="1" applyFill="1" applyBorder="1" applyAlignment="1">
      <alignment horizontal="center" vertical="top"/>
    </xf>
    <xf numFmtId="166" fontId="3" fillId="0" borderId="66" xfId="0" applyNumberFormat="1" applyFont="1" applyBorder="1" applyAlignment="1">
      <alignment vertical="top"/>
    </xf>
    <xf numFmtId="166" fontId="3" fillId="0" borderId="33" xfId="0" applyNumberFormat="1" applyFont="1" applyFill="1" applyBorder="1" applyAlignment="1">
      <alignment horizontal="center" vertical="top"/>
    </xf>
    <xf numFmtId="166" fontId="3" fillId="7" borderId="33" xfId="0" applyNumberFormat="1" applyFont="1" applyFill="1" applyBorder="1" applyAlignment="1">
      <alignment horizontal="center" vertical="top"/>
    </xf>
    <xf numFmtId="166" fontId="3" fillId="0" borderId="97" xfId="0" applyNumberFormat="1" applyFont="1" applyFill="1" applyBorder="1" applyAlignment="1">
      <alignment horizontal="center" vertical="top"/>
    </xf>
    <xf numFmtId="166" fontId="3" fillId="7" borderId="82" xfId="0" applyNumberFormat="1" applyFont="1" applyFill="1" applyBorder="1" applyAlignment="1">
      <alignment horizontal="left" vertical="top" wrapText="1"/>
    </xf>
    <xf numFmtId="166" fontId="3" fillId="7" borderId="62" xfId="0" applyNumberFormat="1" applyFont="1" applyFill="1" applyBorder="1" applyAlignment="1">
      <alignment horizontal="center" vertical="top"/>
    </xf>
    <xf numFmtId="166" fontId="3" fillId="7" borderId="48" xfId="0" applyNumberFormat="1" applyFont="1" applyFill="1" applyBorder="1" applyAlignment="1">
      <alignment horizontal="center" vertical="top"/>
    </xf>
    <xf numFmtId="166" fontId="4" fillId="7" borderId="0" xfId="0" applyNumberFormat="1" applyFont="1" applyFill="1" applyBorder="1" applyAlignment="1">
      <alignment horizontal="center" vertical="top"/>
    </xf>
    <xf numFmtId="166" fontId="4" fillId="8" borderId="56" xfId="0" applyNumberFormat="1" applyFont="1" applyFill="1" applyBorder="1" applyAlignment="1">
      <alignment horizontal="center" vertical="top"/>
    </xf>
    <xf numFmtId="166" fontId="4" fillId="9" borderId="54" xfId="0" applyNumberFormat="1" applyFont="1" applyFill="1" applyBorder="1" applyAlignment="1">
      <alignment horizontal="center" vertical="top"/>
    </xf>
    <xf numFmtId="166" fontId="3" fillId="7" borderId="9" xfId="0" applyNumberFormat="1" applyFont="1" applyFill="1" applyBorder="1" applyAlignment="1">
      <alignment horizontal="center" vertical="top"/>
    </xf>
    <xf numFmtId="166" fontId="3" fillId="7" borderId="11" xfId="0" applyNumberFormat="1" applyFont="1" applyFill="1" applyBorder="1" applyAlignment="1">
      <alignment horizontal="left" vertical="top" wrapText="1"/>
    </xf>
    <xf numFmtId="166" fontId="4" fillId="7" borderId="10" xfId="0" applyNumberFormat="1" applyFont="1" applyFill="1" applyBorder="1" applyAlignment="1">
      <alignment vertical="top"/>
    </xf>
    <xf numFmtId="166" fontId="4" fillId="7" borderId="27" xfId="0" applyNumberFormat="1" applyFont="1" applyFill="1" applyBorder="1" applyAlignment="1">
      <alignment vertical="top"/>
    </xf>
    <xf numFmtId="166" fontId="4" fillId="7" borderId="31" xfId="0" applyNumberFormat="1" applyFont="1" applyFill="1" applyBorder="1" applyAlignment="1">
      <alignment horizontal="center" vertical="top"/>
    </xf>
    <xf numFmtId="166" fontId="3" fillId="0" borderId="38" xfId="0" applyNumberFormat="1" applyFont="1" applyFill="1" applyBorder="1" applyAlignment="1">
      <alignment horizontal="center" vertical="top"/>
    </xf>
    <xf numFmtId="166" fontId="4" fillId="7" borderId="12" xfId="0" applyNumberFormat="1" applyFont="1" applyFill="1" applyBorder="1" applyAlignment="1">
      <alignment horizontal="center" vertical="top"/>
    </xf>
    <xf numFmtId="166" fontId="3" fillId="0" borderId="39" xfId="0" applyNumberFormat="1" applyFont="1" applyFill="1" applyBorder="1" applyAlignment="1">
      <alignment horizontal="left" vertical="top" wrapText="1"/>
    </xf>
    <xf numFmtId="166" fontId="3" fillId="7" borderId="0" xfId="0" applyNumberFormat="1" applyFont="1" applyFill="1" applyBorder="1" applyAlignment="1">
      <alignment horizontal="center" vertical="top"/>
    </xf>
    <xf numFmtId="166" fontId="4" fillId="7" borderId="29" xfId="0" applyNumberFormat="1" applyFont="1" applyFill="1" applyBorder="1" applyAlignment="1">
      <alignment vertical="top"/>
    </xf>
    <xf numFmtId="166" fontId="4" fillId="5" borderId="53" xfId="0" applyNumberFormat="1" applyFont="1" applyFill="1" applyBorder="1" applyAlignment="1">
      <alignment horizontal="center" vertical="top"/>
    </xf>
    <xf numFmtId="166" fontId="3" fillId="0" borderId="0" xfId="0" applyNumberFormat="1" applyFont="1" applyFill="1" applyBorder="1" applyAlignment="1">
      <alignment horizontal="center" vertical="top"/>
    </xf>
    <xf numFmtId="166" fontId="5" fillId="0" borderId="50" xfId="0" applyNumberFormat="1" applyFont="1" applyFill="1" applyBorder="1" applyAlignment="1">
      <alignment horizontal="center" vertical="center" textRotation="90" shrinkToFit="1"/>
    </xf>
    <xf numFmtId="166" fontId="5" fillId="3" borderId="0" xfId="0" applyNumberFormat="1" applyFont="1" applyFill="1" applyBorder="1" applyAlignment="1">
      <alignment horizontal="center" vertical="center" textRotation="90" wrapText="1"/>
    </xf>
    <xf numFmtId="166" fontId="5" fillId="3" borderId="50" xfId="0" applyNumberFormat="1" applyFont="1" applyFill="1" applyBorder="1" applyAlignment="1">
      <alignment horizontal="center" vertical="center" textRotation="90" wrapText="1"/>
    </xf>
    <xf numFmtId="166" fontId="3" fillId="7" borderId="50" xfId="0" applyNumberFormat="1" applyFont="1" applyFill="1" applyBorder="1" applyAlignment="1">
      <alignment horizontal="center" vertical="center" textRotation="90" wrapText="1"/>
    </xf>
    <xf numFmtId="166" fontId="12" fillId="7" borderId="50" xfId="0" applyNumberFormat="1" applyFont="1" applyFill="1" applyBorder="1" applyAlignment="1">
      <alignment horizontal="center" vertical="center" wrapText="1"/>
    </xf>
    <xf numFmtId="3" fontId="3" fillId="7" borderId="84" xfId="0" applyNumberFormat="1" applyFont="1" applyFill="1" applyBorder="1" applyAlignment="1">
      <alignment horizontal="center" vertical="top" wrapText="1"/>
    </xf>
    <xf numFmtId="3" fontId="7" fillId="7" borderId="84" xfId="0" applyNumberFormat="1" applyFont="1" applyFill="1" applyBorder="1" applyAlignment="1">
      <alignment horizontal="center" vertical="center" wrapText="1"/>
    </xf>
    <xf numFmtId="166" fontId="8" fillId="3" borderId="13" xfId="0" applyNumberFormat="1" applyFont="1" applyFill="1" applyBorder="1" applyAlignment="1">
      <alignment horizontal="left" vertical="top" wrapText="1"/>
    </xf>
    <xf numFmtId="166" fontId="4" fillId="7" borderId="19" xfId="0" applyNumberFormat="1" applyFont="1" applyFill="1" applyBorder="1" applyAlignment="1">
      <alignment horizontal="center" vertical="center"/>
    </xf>
    <xf numFmtId="166" fontId="4" fillId="7" borderId="10" xfId="0" applyNumberFormat="1" applyFont="1" applyFill="1" applyBorder="1" applyAlignment="1">
      <alignment horizontal="center" vertical="center"/>
    </xf>
    <xf numFmtId="166" fontId="5" fillId="0" borderId="12" xfId="0" applyNumberFormat="1" applyFont="1" applyFill="1" applyBorder="1" applyAlignment="1">
      <alignment horizontal="center" vertical="center" textRotation="90" shrinkToFit="1"/>
    </xf>
    <xf numFmtId="166" fontId="5" fillId="3" borderId="12" xfId="0" applyNumberFormat="1" applyFont="1" applyFill="1" applyBorder="1" applyAlignment="1">
      <alignment horizontal="center" vertical="center" textRotation="90" wrapText="1"/>
    </xf>
    <xf numFmtId="166" fontId="4" fillId="7" borderId="19" xfId="0" applyNumberFormat="1" applyFont="1" applyFill="1" applyBorder="1" applyAlignment="1">
      <alignment horizontal="center" vertical="center" wrapText="1"/>
    </xf>
    <xf numFmtId="166" fontId="3" fillId="7" borderId="10" xfId="0" applyNumberFormat="1" applyFont="1" applyFill="1" applyBorder="1" applyAlignment="1">
      <alignment horizontal="left" vertical="center" textRotation="90" wrapText="1"/>
    </xf>
    <xf numFmtId="166" fontId="4" fillId="3" borderId="13" xfId="0" applyNumberFormat="1" applyFont="1" applyFill="1" applyBorder="1" applyAlignment="1">
      <alignment vertical="top" wrapText="1"/>
    </xf>
    <xf numFmtId="166" fontId="7" fillId="7" borderId="12" xfId="0" applyNumberFormat="1" applyFont="1" applyFill="1" applyBorder="1" applyAlignment="1">
      <alignment horizontal="center" vertical="center" textRotation="90" wrapText="1"/>
    </xf>
    <xf numFmtId="166" fontId="7" fillId="7" borderId="13" xfId="0" applyNumberFormat="1" applyFont="1" applyFill="1" applyBorder="1" applyAlignment="1">
      <alignment horizontal="center" vertical="center" textRotation="90" wrapText="1"/>
    </xf>
    <xf numFmtId="166" fontId="12" fillId="7" borderId="24" xfId="0" applyNumberFormat="1" applyFont="1" applyFill="1" applyBorder="1" applyAlignment="1">
      <alignment horizontal="center" vertical="center" wrapText="1"/>
    </xf>
    <xf numFmtId="166" fontId="9" fillId="7" borderId="27" xfId="0" applyNumberFormat="1" applyFont="1" applyFill="1" applyBorder="1" applyAlignment="1">
      <alignment horizontal="center" vertical="center" textRotation="90" wrapText="1"/>
    </xf>
    <xf numFmtId="166" fontId="3" fillId="3" borderId="27" xfId="0" applyNumberFormat="1" applyFont="1" applyFill="1" applyBorder="1" applyAlignment="1">
      <alignment horizontal="center" vertical="top" wrapText="1"/>
    </xf>
    <xf numFmtId="166" fontId="4" fillId="7" borderId="13" xfId="0" applyNumberFormat="1" applyFont="1" applyFill="1" applyBorder="1" applyAlignment="1">
      <alignment vertical="top" wrapText="1"/>
    </xf>
    <xf numFmtId="166" fontId="4" fillId="0" borderId="40" xfId="0" applyNumberFormat="1" applyFont="1" applyBorder="1" applyAlignment="1">
      <alignment horizontal="center" vertical="top"/>
    </xf>
    <xf numFmtId="166" fontId="4" fillId="3" borderId="40" xfId="0" applyNumberFormat="1" applyFont="1" applyFill="1" applyBorder="1" applyAlignment="1">
      <alignment horizontal="center" vertical="top"/>
    </xf>
    <xf numFmtId="166" fontId="4" fillId="0" borderId="14" xfId="0" applyNumberFormat="1" applyFont="1" applyFill="1" applyBorder="1" applyAlignment="1">
      <alignment horizontal="center" vertical="top" wrapText="1"/>
    </xf>
    <xf numFmtId="166" fontId="3" fillId="7" borderId="47" xfId="0" applyNumberFormat="1" applyFont="1" applyFill="1" applyBorder="1" applyAlignment="1">
      <alignment horizontal="center" vertical="top" wrapText="1"/>
    </xf>
    <xf numFmtId="166" fontId="3" fillId="7" borderId="46" xfId="0" applyNumberFormat="1" applyFont="1" applyFill="1" applyBorder="1" applyAlignment="1">
      <alignment horizontal="center" vertical="top"/>
    </xf>
    <xf numFmtId="166" fontId="3" fillId="7" borderId="18" xfId="0" applyNumberFormat="1" applyFont="1" applyFill="1" applyBorder="1" applyAlignment="1">
      <alignment horizontal="center" vertical="top"/>
    </xf>
    <xf numFmtId="166" fontId="3" fillId="7" borderId="44" xfId="0" applyNumberFormat="1" applyFont="1" applyFill="1" applyBorder="1" applyAlignment="1">
      <alignment horizontal="center" vertical="top"/>
    </xf>
    <xf numFmtId="166" fontId="3" fillId="7" borderId="58" xfId="0" applyNumberFormat="1" applyFont="1" applyFill="1" applyBorder="1" applyAlignment="1">
      <alignment horizontal="center" vertical="top"/>
    </xf>
    <xf numFmtId="166" fontId="3" fillId="7" borderId="102" xfId="0" applyNumberFormat="1" applyFont="1" applyFill="1" applyBorder="1" applyAlignment="1">
      <alignment horizontal="center" vertical="top"/>
    </xf>
    <xf numFmtId="166" fontId="3" fillId="0" borderId="73" xfId="0" applyNumberFormat="1" applyFont="1" applyBorder="1" applyAlignment="1">
      <alignment horizontal="center" vertical="top"/>
    </xf>
    <xf numFmtId="166" fontId="3" fillId="7" borderId="62" xfId="0" applyNumberFormat="1" applyFont="1" applyFill="1" applyBorder="1" applyAlignment="1">
      <alignment horizontal="center" vertical="top" wrapText="1"/>
    </xf>
    <xf numFmtId="166" fontId="3" fillId="7" borderId="12" xfId="0" applyNumberFormat="1" applyFont="1" applyFill="1" applyBorder="1" applyAlignment="1">
      <alignment horizontal="center" vertical="center" textRotation="90" wrapText="1"/>
    </xf>
    <xf numFmtId="166" fontId="3" fillId="7" borderId="35" xfId="0" applyNumberFormat="1" applyFont="1" applyFill="1" applyBorder="1" applyAlignment="1">
      <alignment horizontal="center" vertical="top"/>
    </xf>
    <xf numFmtId="166" fontId="3" fillId="7" borderId="6" xfId="0" applyNumberFormat="1" applyFont="1" applyFill="1" applyBorder="1" applyAlignment="1">
      <alignment horizontal="center" vertical="top"/>
    </xf>
    <xf numFmtId="166" fontId="3" fillId="7" borderId="28" xfId="0" applyNumberFormat="1" applyFont="1" applyFill="1" applyBorder="1" applyAlignment="1">
      <alignment horizontal="center" vertical="top"/>
    </xf>
    <xf numFmtId="49" fontId="7" fillId="7" borderId="73" xfId="0" applyNumberFormat="1" applyFont="1" applyFill="1" applyBorder="1" applyAlignment="1">
      <alignment horizontal="center" vertical="center" textRotation="90" wrapText="1"/>
    </xf>
    <xf numFmtId="166" fontId="3" fillId="7" borderId="82" xfId="0" applyNumberFormat="1" applyFont="1" applyFill="1" applyBorder="1" applyAlignment="1">
      <alignment horizontal="center" vertical="top"/>
    </xf>
    <xf numFmtId="166" fontId="3" fillId="7" borderId="11" xfId="0" applyNumberFormat="1" applyFont="1" applyFill="1" applyBorder="1" applyAlignment="1">
      <alignment horizontal="center" vertical="top"/>
    </xf>
    <xf numFmtId="166" fontId="3" fillId="7" borderId="77" xfId="0" applyNumberFormat="1" applyFont="1" applyFill="1" applyBorder="1" applyAlignment="1">
      <alignment horizontal="center" vertical="top"/>
    </xf>
    <xf numFmtId="166" fontId="3" fillId="7" borderId="97" xfId="0" applyNumberFormat="1" applyFont="1" applyFill="1" applyBorder="1" applyAlignment="1">
      <alignment horizontal="center" vertical="top"/>
    </xf>
    <xf numFmtId="166" fontId="4" fillId="8" borderId="64" xfId="0" applyNumberFormat="1" applyFont="1" applyFill="1" applyBorder="1" applyAlignment="1">
      <alignment horizontal="center" vertical="top"/>
    </xf>
    <xf numFmtId="166" fontId="9" fillId="7" borderId="18" xfId="0" applyNumberFormat="1" applyFont="1" applyFill="1" applyBorder="1" applyAlignment="1">
      <alignment horizontal="center" vertical="center" textRotation="90" wrapText="1"/>
    </xf>
    <xf numFmtId="166" fontId="3" fillId="7" borderId="46" xfId="0" applyNumberFormat="1" applyFont="1" applyFill="1" applyBorder="1" applyAlignment="1">
      <alignment horizontal="center" vertical="center" textRotation="90" wrapText="1"/>
    </xf>
    <xf numFmtId="166" fontId="4" fillId="2" borderId="23" xfId="0" applyNumberFormat="1" applyFont="1" applyFill="1" applyBorder="1" applyAlignment="1">
      <alignment horizontal="center" vertical="top"/>
    </xf>
    <xf numFmtId="166" fontId="4" fillId="9" borderId="64" xfId="0" applyNumberFormat="1" applyFont="1" applyFill="1" applyBorder="1" applyAlignment="1">
      <alignment horizontal="center" vertical="top"/>
    </xf>
    <xf numFmtId="166" fontId="4" fillId="5" borderId="23" xfId="0" applyNumberFormat="1" applyFont="1" applyFill="1" applyBorder="1" applyAlignment="1">
      <alignment horizontal="center" vertical="top"/>
    </xf>
    <xf numFmtId="166" fontId="3" fillId="7" borderId="48" xfId="0" applyNumberFormat="1" applyFont="1" applyFill="1" applyBorder="1" applyAlignment="1">
      <alignment vertical="top"/>
    </xf>
    <xf numFmtId="166" fontId="3" fillId="7" borderId="98" xfId="0" applyNumberFormat="1" applyFont="1" applyFill="1" applyBorder="1" applyAlignment="1">
      <alignment horizontal="center" vertical="top"/>
    </xf>
    <xf numFmtId="166" fontId="3" fillId="3" borderId="34" xfId="0" applyNumberFormat="1" applyFont="1" applyFill="1" applyBorder="1" applyAlignment="1">
      <alignment vertical="top" wrapText="1"/>
    </xf>
    <xf numFmtId="166" fontId="3" fillId="0" borderId="62" xfId="0" applyNumberFormat="1" applyFont="1" applyBorder="1" applyAlignment="1">
      <alignment horizontal="center" vertical="top"/>
    </xf>
    <xf numFmtId="166" fontId="3" fillId="7" borderId="66" xfId="0" applyNumberFormat="1" applyFont="1" applyFill="1" applyBorder="1" applyAlignment="1">
      <alignment vertical="top"/>
    </xf>
    <xf numFmtId="166" fontId="3" fillId="0" borderId="48" xfId="0" applyNumberFormat="1" applyFont="1" applyFill="1" applyBorder="1" applyAlignment="1">
      <alignment horizontal="center" vertical="top"/>
    </xf>
    <xf numFmtId="166" fontId="4" fillId="8" borderId="8" xfId="0" applyNumberFormat="1" applyFont="1" applyFill="1" applyBorder="1" applyAlignment="1">
      <alignment horizontal="center" vertical="top"/>
    </xf>
    <xf numFmtId="166" fontId="3" fillId="7" borderId="73" xfId="0" applyNumberFormat="1" applyFont="1" applyFill="1" applyBorder="1" applyAlignment="1">
      <alignment horizontal="center" vertical="top"/>
    </xf>
    <xf numFmtId="166" fontId="4" fillId="0" borderId="0" xfId="0" applyNumberFormat="1" applyFont="1" applyFill="1" applyBorder="1" applyAlignment="1">
      <alignment horizontal="center" vertical="top" wrapText="1"/>
    </xf>
    <xf numFmtId="0" fontId="22" fillId="0" borderId="0" xfId="0" applyFont="1"/>
    <xf numFmtId="0" fontId="3" fillId="0" borderId="61" xfId="0" applyFont="1" applyBorder="1" applyAlignment="1">
      <alignment horizontal="center" vertical="center" textRotation="90"/>
    </xf>
    <xf numFmtId="0" fontId="3" fillId="0" borderId="2" xfId="0" applyFont="1" applyBorder="1" applyAlignment="1">
      <alignment horizontal="center" vertical="center" textRotation="90"/>
    </xf>
    <xf numFmtId="166" fontId="3" fillId="3" borderId="73" xfId="0" applyNumberFormat="1" applyFont="1" applyFill="1" applyBorder="1" applyAlignment="1">
      <alignment horizontal="center" vertical="top"/>
    </xf>
    <xf numFmtId="166" fontId="3" fillId="7" borderId="78" xfId="0" applyNumberFormat="1" applyFont="1" applyFill="1" applyBorder="1" applyAlignment="1">
      <alignment horizontal="center" vertical="top"/>
    </xf>
    <xf numFmtId="3" fontId="3" fillId="7" borderId="34"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7" borderId="52" xfId="0" applyNumberFormat="1" applyFont="1" applyFill="1" applyBorder="1" applyAlignment="1">
      <alignment horizontal="center" vertical="top"/>
    </xf>
    <xf numFmtId="3" fontId="3" fillId="7" borderId="42" xfId="0" applyNumberFormat="1" applyFont="1" applyFill="1" applyBorder="1" applyAlignment="1">
      <alignment horizontal="center" vertical="top"/>
    </xf>
    <xf numFmtId="3" fontId="3" fillId="7" borderId="42" xfId="0" applyNumberFormat="1" applyFont="1" applyFill="1" applyBorder="1" applyAlignment="1">
      <alignment horizontal="center" vertical="top" wrapText="1"/>
    </xf>
    <xf numFmtId="3" fontId="7" fillId="7" borderId="27" xfId="0" applyNumberFormat="1" applyFont="1" applyFill="1" applyBorder="1" applyAlignment="1">
      <alignment horizontal="center" vertical="center" wrapText="1"/>
    </xf>
    <xf numFmtId="0" fontId="3" fillId="0" borderId="62" xfId="0" applyFont="1" applyBorder="1" applyAlignment="1">
      <alignment horizontal="center" vertical="top"/>
    </xf>
    <xf numFmtId="3" fontId="3" fillId="7" borderId="90" xfId="0" applyNumberFormat="1" applyFont="1" applyFill="1" applyBorder="1" applyAlignment="1">
      <alignment horizontal="center" vertical="top"/>
    </xf>
    <xf numFmtId="166" fontId="3" fillId="7" borderId="19" xfId="0" applyNumberFormat="1" applyFont="1" applyFill="1" applyBorder="1" applyAlignment="1">
      <alignment vertical="top"/>
    </xf>
    <xf numFmtId="166" fontId="3" fillId="7" borderId="45" xfId="0" applyNumberFormat="1" applyFont="1" applyFill="1" applyBorder="1" applyAlignment="1">
      <alignment vertical="top"/>
    </xf>
    <xf numFmtId="166" fontId="3" fillId="7" borderId="5" xfId="0" applyNumberFormat="1" applyFont="1" applyFill="1" applyBorder="1" applyAlignment="1">
      <alignment vertical="top"/>
    </xf>
    <xf numFmtId="166" fontId="3" fillId="7" borderId="10" xfId="0" applyNumberFormat="1" applyFont="1" applyFill="1" applyBorder="1" applyAlignment="1">
      <alignment vertical="top"/>
    </xf>
    <xf numFmtId="166" fontId="3" fillId="0" borderId="11" xfId="0" applyNumberFormat="1" applyFont="1" applyFill="1" applyBorder="1" applyAlignment="1">
      <alignment vertical="top" wrapText="1"/>
    </xf>
    <xf numFmtId="166" fontId="3" fillId="7" borderId="33" xfId="0" applyNumberFormat="1" applyFont="1" applyFill="1" applyBorder="1" applyAlignment="1">
      <alignment vertical="top"/>
    </xf>
    <xf numFmtId="166" fontId="3" fillId="7" borderId="33" xfId="0" applyNumberFormat="1" applyFont="1" applyFill="1" applyBorder="1" applyAlignment="1">
      <alignment vertical="top" wrapText="1"/>
    </xf>
    <xf numFmtId="166" fontId="3" fillId="7" borderId="52" xfId="0" applyNumberFormat="1" applyFont="1" applyFill="1" applyBorder="1" applyAlignment="1">
      <alignment horizontal="center" vertical="top"/>
    </xf>
    <xf numFmtId="166" fontId="3" fillId="0" borderId="22" xfId="1" applyNumberFormat="1" applyFont="1" applyFill="1" applyBorder="1" applyAlignment="1">
      <alignment horizontal="center" vertical="top" wrapText="1"/>
    </xf>
    <xf numFmtId="166" fontId="3" fillId="0" borderId="48" xfId="0" applyNumberFormat="1" applyFont="1" applyBorder="1" applyAlignment="1">
      <alignment vertical="top"/>
    </xf>
    <xf numFmtId="166" fontId="3" fillId="0" borderId="12" xfId="0" applyNumberFormat="1" applyFont="1" applyBorder="1" applyAlignment="1">
      <alignment vertical="top"/>
    </xf>
    <xf numFmtId="166" fontId="3" fillId="3" borderId="52" xfId="0" applyNumberFormat="1" applyFont="1" applyFill="1" applyBorder="1" applyAlignment="1">
      <alignment horizontal="center" vertical="top"/>
    </xf>
    <xf numFmtId="166" fontId="3" fillId="7" borderId="92" xfId="0" applyNumberFormat="1" applyFont="1" applyFill="1" applyBorder="1" applyAlignment="1">
      <alignment horizontal="center" vertical="top"/>
    </xf>
    <xf numFmtId="166" fontId="3" fillId="7" borderId="91" xfId="0" applyNumberFormat="1" applyFont="1" applyFill="1" applyBorder="1" applyAlignment="1">
      <alignment horizontal="center" vertical="top"/>
    </xf>
    <xf numFmtId="166" fontId="4" fillId="8" borderId="63" xfId="0" applyNumberFormat="1" applyFont="1" applyFill="1" applyBorder="1" applyAlignment="1">
      <alignment horizontal="center" vertical="top"/>
    </xf>
    <xf numFmtId="166" fontId="3" fillId="7" borderId="24" xfId="0" applyNumberFormat="1" applyFont="1" applyFill="1" applyBorder="1" applyAlignment="1">
      <alignment horizontal="center" vertical="top"/>
    </xf>
    <xf numFmtId="166" fontId="4" fillId="8" borderId="31" xfId="0" applyNumberFormat="1" applyFont="1" applyFill="1" applyBorder="1" applyAlignment="1">
      <alignment horizontal="center" vertical="top"/>
    </xf>
    <xf numFmtId="166" fontId="3" fillId="7" borderId="38" xfId="0" applyNumberFormat="1" applyFont="1" applyFill="1" applyBorder="1" applyAlignment="1">
      <alignment horizontal="center" vertical="top"/>
    </xf>
    <xf numFmtId="166" fontId="3" fillId="7" borderId="55" xfId="0" applyNumberFormat="1" applyFont="1" applyFill="1" applyBorder="1" applyAlignment="1">
      <alignment horizontal="center" vertical="top"/>
    </xf>
    <xf numFmtId="3" fontId="3" fillId="0" borderId="49" xfId="0" applyNumberFormat="1" applyFont="1" applyFill="1" applyBorder="1" applyAlignment="1">
      <alignment horizontal="center" vertical="top"/>
    </xf>
    <xf numFmtId="166" fontId="3" fillId="7" borderId="32" xfId="0" applyNumberFormat="1" applyFont="1" applyFill="1" applyBorder="1" applyAlignment="1">
      <alignment horizontal="center" vertical="top"/>
    </xf>
    <xf numFmtId="166" fontId="3" fillId="7" borderId="29" xfId="0" applyNumberFormat="1" applyFont="1" applyFill="1" applyBorder="1" applyAlignment="1">
      <alignment horizontal="center" vertical="top"/>
    </xf>
    <xf numFmtId="166" fontId="3" fillId="7" borderId="13" xfId="0" applyNumberFormat="1" applyFont="1" applyFill="1" applyBorder="1" applyAlignment="1">
      <alignment horizontal="center" vertical="top"/>
    </xf>
    <xf numFmtId="3" fontId="7" fillId="7" borderId="90" xfId="0" applyNumberFormat="1" applyFont="1" applyFill="1" applyBorder="1" applyAlignment="1">
      <alignment horizontal="center" vertical="center" wrapText="1"/>
    </xf>
    <xf numFmtId="166" fontId="3" fillId="7" borderId="12" xfId="0" applyNumberFormat="1" applyFont="1" applyFill="1" applyBorder="1" applyAlignment="1">
      <alignment horizontal="center" vertical="top"/>
    </xf>
    <xf numFmtId="166" fontId="3" fillId="7" borderId="93" xfId="0" applyNumberFormat="1" applyFont="1" applyFill="1" applyBorder="1" applyAlignment="1">
      <alignment horizontal="center" vertical="top"/>
    </xf>
    <xf numFmtId="166" fontId="3" fillId="0" borderId="83" xfId="0" applyNumberFormat="1" applyFont="1" applyFill="1" applyBorder="1" applyAlignment="1">
      <alignment horizontal="center" vertical="top"/>
    </xf>
    <xf numFmtId="49" fontId="3" fillId="7" borderId="83" xfId="0" applyNumberFormat="1" applyFont="1" applyFill="1" applyBorder="1" applyAlignment="1">
      <alignment horizontal="center" vertical="top"/>
    </xf>
    <xf numFmtId="3" fontId="7" fillId="7" borderId="47" xfId="0" applyNumberFormat="1" applyFont="1" applyFill="1" applyBorder="1" applyAlignment="1">
      <alignment horizontal="center" vertical="top" wrapText="1"/>
    </xf>
    <xf numFmtId="166" fontId="9" fillId="7" borderId="19" xfId="0" applyNumberFormat="1" applyFont="1" applyFill="1" applyBorder="1" applyAlignment="1">
      <alignment horizontal="center" vertical="center" textRotation="90" wrapText="1"/>
    </xf>
    <xf numFmtId="166" fontId="3" fillId="0" borderId="7" xfId="0" applyNumberFormat="1" applyFont="1" applyFill="1" applyBorder="1" applyAlignment="1">
      <alignment horizontal="center" vertical="top"/>
    </xf>
    <xf numFmtId="0" fontId="3" fillId="7" borderId="82" xfId="0" applyFont="1" applyFill="1" applyBorder="1" applyAlignment="1">
      <alignment vertical="top" wrapText="1"/>
    </xf>
    <xf numFmtId="166" fontId="3" fillId="7" borderId="37" xfId="0" applyNumberFormat="1" applyFont="1" applyFill="1" applyBorder="1" applyAlignment="1">
      <alignment horizontal="center" vertical="top"/>
    </xf>
    <xf numFmtId="49" fontId="3" fillId="7" borderId="47" xfId="0" applyNumberFormat="1" applyFont="1" applyFill="1" applyBorder="1" applyAlignment="1">
      <alignment horizontal="center" vertical="top"/>
    </xf>
    <xf numFmtId="166" fontId="3" fillId="0" borderId="49" xfId="0" applyNumberFormat="1" applyFont="1" applyFill="1" applyBorder="1" applyAlignment="1">
      <alignment horizontal="center" vertical="top"/>
    </xf>
    <xf numFmtId="49" fontId="3" fillId="7" borderId="42" xfId="0" applyNumberFormat="1" applyFont="1" applyFill="1" applyBorder="1" applyAlignment="1">
      <alignment horizontal="center" vertical="top"/>
    </xf>
    <xf numFmtId="166" fontId="7" fillId="7" borderId="32" xfId="0" applyNumberFormat="1" applyFont="1" applyFill="1" applyBorder="1" applyAlignment="1">
      <alignment horizontal="center" vertical="top" wrapText="1"/>
    </xf>
    <xf numFmtId="166" fontId="7" fillId="7" borderId="29" xfId="0" applyNumberFormat="1" applyFont="1" applyFill="1" applyBorder="1" applyAlignment="1">
      <alignment horizontal="center" vertical="top" wrapText="1"/>
    </xf>
    <xf numFmtId="3" fontId="3" fillId="7" borderId="81" xfId="0" applyNumberFormat="1" applyFont="1" applyFill="1" applyBorder="1" applyAlignment="1">
      <alignment horizontal="center" vertical="top"/>
    </xf>
    <xf numFmtId="166" fontId="3" fillId="7" borderId="27" xfId="0" applyNumberFormat="1" applyFont="1" applyFill="1" applyBorder="1" applyAlignment="1">
      <alignment vertical="top"/>
    </xf>
    <xf numFmtId="166" fontId="3" fillId="7" borderId="62" xfId="0" applyNumberFormat="1" applyFont="1" applyFill="1" applyBorder="1" applyAlignment="1">
      <alignment vertical="top"/>
    </xf>
    <xf numFmtId="166" fontId="3" fillId="7" borderId="52" xfId="0" applyNumberFormat="1" applyFont="1" applyFill="1" applyBorder="1" applyAlignment="1">
      <alignment vertical="top"/>
    </xf>
    <xf numFmtId="0" fontId="5" fillId="0" borderId="46" xfId="0" applyFont="1" applyFill="1" applyBorder="1" applyAlignment="1">
      <alignment horizontal="center" vertical="center" textRotation="90" wrapText="1"/>
    </xf>
    <xf numFmtId="3" fontId="3" fillId="7" borderId="103" xfId="0" applyNumberFormat="1" applyFont="1" applyFill="1" applyBorder="1" applyAlignment="1">
      <alignment horizontal="center" vertical="top"/>
    </xf>
    <xf numFmtId="166" fontId="4" fillId="8" borderId="70" xfId="0" applyNumberFormat="1" applyFont="1" applyFill="1" applyBorder="1" applyAlignment="1">
      <alignment horizontal="center" vertical="top"/>
    </xf>
    <xf numFmtId="166" fontId="3" fillId="0" borderId="4" xfId="0" applyNumberFormat="1" applyFont="1" applyFill="1" applyBorder="1" applyAlignment="1">
      <alignment vertical="top" wrapText="1"/>
    </xf>
    <xf numFmtId="3" fontId="7" fillId="7" borderId="17" xfId="0" applyNumberFormat="1" applyFont="1" applyFill="1" applyBorder="1" applyAlignment="1">
      <alignment horizontal="center" vertical="top" wrapText="1"/>
    </xf>
    <xf numFmtId="166" fontId="3" fillId="0" borderId="25" xfId="0" applyNumberFormat="1" applyFont="1" applyBorder="1" applyAlignment="1">
      <alignment horizontal="center" vertical="center" wrapText="1"/>
    </xf>
    <xf numFmtId="166" fontId="8" fillId="3" borderId="34" xfId="0" applyNumberFormat="1" applyFont="1" applyFill="1" applyBorder="1" applyAlignment="1">
      <alignment horizontal="left" vertical="top" wrapText="1"/>
    </xf>
    <xf numFmtId="166" fontId="3" fillId="7" borderId="28" xfId="0" applyNumberFormat="1" applyFont="1" applyFill="1" applyBorder="1" applyAlignment="1">
      <alignment vertical="top" wrapText="1"/>
    </xf>
    <xf numFmtId="166" fontId="4" fillId="2" borderId="8" xfId="0" applyNumberFormat="1" applyFont="1" applyFill="1" applyBorder="1" applyAlignment="1">
      <alignment horizontal="center" vertical="top"/>
    </xf>
    <xf numFmtId="166" fontId="4" fillId="8" borderId="22" xfId="0" applyNumberFormat="1" applyFont="1" applyFill="1" applyBorder="1" applyAlignment="1">
      <alignment horizontal="center" vertical="top"/>
    </xf>
    <xf numFmtId="166" fontId="3" fillId="7" borderId="42" xfId="0" applyNumberFormat="1" applyFont="1" applyFill="1" applyBorder="1" applyAlignment="1">
      <alignment vertical="top"/>
    </xf>
    <xf numFmtId="3" fontId="14" fillId="7" borderId="78" xfId="0" applyNumberFormat="1" applyFont="1" applyFill="1" applyBorder="1" applyAlignment="1">
      <alignment horizontal="center" vertical="top"/>
    </xf>
    <xf numFmtId="166" fontId="4" fillId="8" borderId="59" xfId="0" applyNumberFormat="1" applyFont="1" applyFill="1" applyBorder="1" applyAlignment="1">
      <alignment horizontal="center" vertical="top"/>
    </xf>
    <xf numFmtId="166" fontId="3" fillId="7" borderId="82" xfId="0" applyNumberFormat="1" applyFont="1" applyFill="1" applyBorder="1" applyAlignment="1">
      <alignment vertical="top" wrapText="1"/>
    </xf>
    <xf numFmtId="166" fontId="3" fillId="7" borderId="43" xfId="0" applyNumberFormat="1" applyFont="1" applyFill="1" applyBorder="1" applyAlignment="1">
      <alignment horizontal="center" vertical="top"/>
    </xf>
    <xf numFmtId="166" fontId="3" fillId="7" borderId="50" xfId="0" applyNumberFormat="1" applyFont="1" applyFill="1" applyBorder="1" applyAlignment="1">
      <alignment horizontal="center" vertical="top"/>
    </xf>
    <xf numFmtId="49" fontId="4" fillId="7" borderId="10" xfId="0" applyNumberFormat="1" applyFont="1" applyFill="1" applyBorder="1" applyAlignment="1">
      <alignment vertical="top"/>
    </xf>
    <xf numFmtId="166" fontId="4" fillId="7" borderId="47" xfId="0" applyNumberFormat="1" applyFont="1" applyFill="1" applyBorder="1" applyAlignment="1">
      <alignment vertical="top"/>
    </xf>
    <xf numFmtId="166" fontId="4" fillId="7" borderId="40" xfId="0" applyNumberFormat="1" applyFont="1" applyFill="1" applyBorder="1" applyAlignment="1">
      <alignment vertical="top" wrapText="1"/>
    </xf>
    <xf numFmtId="166" fontId="4" fillId="7" borderId="19" xfId="0" applyNumberFormat="1" applyFont="1" applyFill="1" applyBorder="1" applyAlignment="1">
      <alignment vertical="top"/>
    </xf>
    <xf numFmtId="166" fontId="3" fillId="7" borderId="90" xfId="0" applyNumberFormat="1" applyFont="1" applyFill="1" applyBorder="1" applyAlignment="1">
      <alignment vertical="top" wrapText="1"/>
    </xf>
    <xf numFmtId="166" fontId="3" fillId="7" borderId="40" xfId="0" applyNumberFormat="1" applyFont="1" applyFill="1" applyBorder="1" applyAlignment="1">
      <alignment horizontal="center" vertical="top"/>
    </xf>
    <xf numFmtId="166" fontId="3" fillId="7" borderId="25" xfId="0" applyNumberFormat="1" applyFont="1" applyFill="1" applyBorder="1" applyAlignment="1">
      <alignment horizontal="center" vertical="top"/>
    </xf>
    <xf numFmtId="166" fontId="3" fillId="7" borderId="10" xfId="0" applyNumberFormat="1" applyFont="1" applyFill="1" applyBorder="1" applyAlignment="1">
      <alignment horizontal="center" vertical="top"/>
    </xf>
    <xf numFmtId="166" fontId="4" fillId="7" borderId="73" xfId="0" applyNumberFormat="1" applyFont="1" applyFill="1" applyBorder="1" applyAlignment="1">
      <alignment horizontal="center" vertical="top"/>
    </xf>
    <xf numFmtId="166" fontId="8" fillId="0" borderId="47" xfId="0" applyNumberFormat="1" applyFont="1" applyFill="1" applyBorder="1" applyAlignment="1">
      <alignment horizontal="left" vertical="top" wrapText="1"/>
    </xf>
    <xf numFmtId="166" fontId="3" fillId="7" borderId="26" xfId="0" applyNumberFormat="1" applyFont="1" applyFill="1" applyBorder="1" applyAlignment="1">
      <alignment horizontal="center" vertical="center" wrapText="1"/>
    </xf>
    <xf numFmtId="166" fontId="3" fillId="3" borderId="14" xfId="0" applyNumberFormat="1" applyFont="1" applyFill="1" applyBorder="1" applyAlignment="1">
      <alignment horizontal="center" vertical="center" wrapText="1"/>
    </xf>
    <xf numFmtId="166" fontId="3" fillId="7" borderId="77" xfId="0" applyNumberFormat="1" applyFont="1" applyFill="1" applyBorder="1" applyAlignment="1">
      <alignment vertical="top" wrapText="1"/>
    </xf>
    <xf numFmtId="166" fontId="3" fillId="0" borderId="14" xfId="0" applyNumberFormat="1" applyFont="1" applyBorder="1" applyAlignment="1">
      <alignment horizontal="center" vertical="top" wrapText="1"/>
    </xf>
    <xf numFmtId="166" fontId="3" fillId="7" borderId="83" xfId="0" applyNumberFormat="1" applyFont="1" applyFill="1" applyBorder="1" applyAlignment="1">
      <alignment vertical="top" wrapText="1"/>
    </xf>
    <xf numFmtId="166" fontId="3" fillId="7" borderId="8" xfId="0" applyNumberFormat="1" applyFont="1" applyFill="1" applyBorder="1" applyAlignment="1">
      <alignment vertical="top" wrapText="1"/>
    </xf>
    <xf numFmtId="166" fontId="3" fillId="7" borderId="29" xfId="0" applyNumberFormat="1" applyFont="1" applyFill="1" applyBorder="1" applyAlignment="1">
      <alignment vertical="top" wrapText="1"/>
    </xf>
    <xf numFmtId="166" fontId="3" fillId="3" borderId="5" xfId="0" applyNumberFormat="1" applyFont="1" applyFill="1" applyBorder="1" applyAlignment="1">
      <alignment horizontal="center" vertical="top"/>
    </xf>
    <xf numFmtId="166" fontId="3" fillId="7" borderId="4" xfId="0" applyNumberFormat="1" applyFont="1" applyFill="1" applyBorder="1" applyAlignment="1">
      <alignment vertical="top" wrapText="1"/>
    </xf>
    <xf numFmtId="166" fontId="3" fillId="7" borderId="75" xfId="0" applyNumberFormat="1" applyFont="1" applyFill="1" applyBorder="1" applyAlignment="1">
      <alignment horizontal="left" vertical="top" wrapText="1"/>
    </xf>
    <xf numFmtId="166" fontId="3" fillId="3" borderId="0" xfId="0" applyNumberFormat="1" applyFont="1" applyFill="1" applyBorder="1" applyAlignment="1">
      <alignment horizontal="center" vertical="top"/>
    </xf>
    <xf numFmtId="49" fontId="4" fillId="9" borderId="15" xfId="0" applyNumberFormat="1" applyFont="1" applyFill="1" applyBorder="1" applyAlignment="1">
      <alignment horizontal="center" vertical="top"/>
    </xf>
    <xf numFmtId="0" fontId="3" fillId="0" borderId="31" xfId="0" applyFont="1" applyBorder="1" applyAlignment="1">
      <alignment horizontal="center" vertical="top"/>
    </xf>
    <xf numFmtId="166" fontId="3" fillId="3" borderId="10" xfId="0" applyNumberFormat="1" applyFont="1" applyFill="1" applyBorder="1" applyAlignment="1">
      <alignment horizontal="center" vertical="center" textRotation="90" wrapText="1"/>
    </xf>
    <xf numFmtId="166" fontId="4" fillId="7" borderId="24" xfId="0" applyNumberFormat="1" applyFont="1" applyFill="1" applyBorder="1" applyAlignment="1">
      <alignment vertical="top"/>
    </xf>
    <xf numFmtId="166" fontId="3" fillId="0" borderId="87" xfId="0" applyNumberFormat="1" applyFont="1" applyFill="1" applyBorder="1" applyAlignment="1">
      <alignment horizontal="center" vertical="top"/>
    </xf>
    <xf numFmtId="0" fontId="0" fillId="7" borderId="47" xfId="0" applyFont="1" applyFill="1" applyBorder="1" applyAlignment="1">
      <alignment horizontal="center" wrapText="1"/>
    </xf>
    <xf numFmtId="0" fontId="0" fillId="7" borderId="34" xfId="0" applyFont="1" applyFill="1" applyBorder="1" applyAlignment="1">
      <alignment horizontal="center" wrapText="1"/>
    </xf>
    <xf numFmtId="166" fontId="19" fillId="7" borderId="28" xfId="0" applyNumberFormat="1" applyFont="1" applyFill="1" applyBorder="1" applyAlignment="1">
      <alignment vertical="top" wrapText="1"/>
    </xf>
    <xf numFmtId="166" fontId="19" fillId="7" borderId="5"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166" fontId="4" fillId="0" borderId="34" xfId="0" applyNumberFormat="1" applyFont="1" applyFill="1" applyBorder="1" applyAlignment="1">
      <alignment horizontal="center" vertical="top" wrapText="1"/>
    </xf>
    <xf numFmtId="166" fontId="3" fillId="7" borderId="7" xfId="0" applyNumberFormat="1" applyFont="1" applyFill="1" applyBorder="1" applyAlignment="1">
      <alignment horizontal="center" vertical="top" wrapText="1"/>
    </xf>
    <xf numFmtId="3" fontId="3" fillId="0" borderId="24" xfId="0" applyNumberFormat="1" applyFont="1" applyFill="1" applyBorder="1" applyAlignment="1">
      <alignment horizontal="center" vertical="top"/>
    </xf>
    <xf numFmtId="166" fontId="4" fillId="2" borderId="55" xfId="0" applyNumberFormat="1" applyFont="1" applyFill="1" applyBorder="1" applyAlignment="1">
      <alignment horizontal="center" vertical="top"/>
    </xf>
    <xf numFmtId="166" fontId="4" fillId="2" borderId="40" xfId="0" applyNumberFormat="1" applyFont="1" applyFill="1" applyBorder="1" applyAlignment="1">
      <alignment horizontal="center" vertical="top"/>
    </xf>
    <xf numFmtId="166" fontId="4" fillId="2" borderId="72" xfId="0" applyNumberFormat="1" applyFont="1" applyFill="1" applyBorder="1" applyAlignment="1">
      <alignment horizontal="center" vertical="top"/>
    </xf>
    <xf numFmtId="3" fontId="3" fillId="7" borderId="24" xfId="0" applyNumberFormat="1" applyFont="1" applyFill="1" applyBorder="1" applyAlignment="1">
      <alignment horizontal="center" vertical="top"/>
    </xf>
    <xf numFmtId="166" fontId="4" fillId="8" borderId="57" xfId="0" applyNumberFormat="1" applyFont="1" applyFill="1" applyBorder="1" applyAlignment="1">
      <alignment horizontal="center" vertical="top"/>
    </xf>
    <xf numFmtId="166" fontId="4" fillId="5" borderId="9" xfId="0" applyNumberFormat="1" applyFont="1" applyFill="1" applyBorder="1" applyAlignment="1">
      <alignment horizontal="center" vertical="top"/>
    </xf>
    <xf numFmtId="166" fontId="3" fillId="8" borderId="22" xfId="0" applyNumberFormat="1" applyFont="1" applyFill="1" applyBorder="1" applyAlignment="1">
      <alignment horizontal="center" vertical="top"/>
    </xf>
    <xf numFmtId="166" fontId="4" fillId="5" borderId="22" xfId="0" applyNumberFormat="1" applyFont="1" applyFill="1" applyBorder="1" applyAlignment="1">
      <alignment horizontal="center" vertical="top"/>
    </xf>
    <xf numFmtId="166" fontId="4" fillId="4" borderId="64" xfId="0" applyNumberFormat="1" applyFont="1" applyFill="1" applyBorder="1" applyAlignment="1">
      <alignment horizontal="center" vertical="top"/>
    </xf>
    <xf numFmtId="166" fontId="3" fillId="3" borderId="42" xfId="0" applyNumberFormat="1" applyFont="1" applyFill="1" applyBorder="1" applyAlignment="1">
      <alignment horizontal="center" vertical="top"/>
    </xf>
    <xf numFmtId="166" fontId="3" fillId="0" borderId="82" xfId="0" applyNumberFormat="1" applyFont="1" applyFill="1" applyBorder="1" applyAlignment="1">
      <alignment horizontal="left" vertical="top" wrapText="1"/>
    </xf>
    <xf numFmtId="49" fontId="3" fillId="0" borderId="83" xfId="0" applyNumberFormat="1" applyFont="1" applyFill="1" applyBorder="1" applyAlignment="1">
      <alignment horizontal="center" vertical="top"/>
    </xf>
    <xf numFmtId="49" fontId="3" fillId="7" borderId="19" xfId="0" applyNumberFormat="1" applyFont="1" applyFill="1" applyBorder="1" applyAlignment="1">
      <alignment horizontal="left" vertical="top" wrapText="1"/>
    </xf>
    <xf numFmtId="0" fontId="3" fillId="7" borderId="83" xfId="0" applyNumberFormat="1" applyFont="1" applyFill="1" applyBorder="1" applyAlignment="1">
      <alignment horizontal="left" vertical="top" wrapText="1"/>
    </xf>
    <xf numFmtId="0" fontId="3" fillId="7" borderId="86" xfId="0" applyFont="1" applyFill="1" applyBorder="1" applyAlignment="1">
      <alignment horizontal="left" vertical="top" wrapText="1"/>
    </xf>
    <xf numFmtId="0" fontId="3" fillId="7" borderId="6" xfId="0" applyFont="1" applyFill="1" applyBorder="1" applyAlignment="1">
      <alignment vertical="top" wrapText="1"/>
    </xf>
    <xf numFmtId="166" fontId="3" fillId="7" borderId="95" xfId="0" applyNumberFormat="1" applyFont="1" applyFill="1" applyBorder="1" applyAlignment="1">
      <alignment horizontal="left" vertical="top" wrapText="1"/>
    </xf>
    <xf numFmtId="166" fontId="9" fillId="7" borderId="26" xfId="0" applyNumberFormat="1" applyFont="1" applyFill="1" applyBorder="1" applyAlignment="1">
      <alignment horizontal="center" vertical="top" wrapText="1"/>
    </xf>
    <xf numFmtId="166" fontId="4" fillId="7" borderId="1" xfId="0" applyNumberFormat="1" applyFont="1" applyFill="1" applyBorder="1" applyAlignment="1">
      <alignment horizontal="center" vertical="top" wrapText="1"/>
    </xf>
    <xf numFmtId="166" fontId="9" fillId="7" borderId="26" xfId="0" applyNumberFormat="1" applyFont="1" applyFill="1" applyBorder="1" applyAlignment="1">
      <alignment horizontal="center" vertical="center" wrapText="1"/>
    </xf>
    <xf numFmtId="166" fontId="9" fillId="7" borderId="17" xfId="0" applyNumberFormat="1" applyFont="1" applyFill="1" applyBorder="1" applyAlignment="1">
      <alignment horizontal="center" wrapText="1"/>
    </xf>
    <xf numFmtId="0" fontId="3" fillId="7" borderId="48" xfId="0" applyFont="1" applyFill="1" applyBorder="1" applyAlignment="1">
      <alignment horizontal="center" vertical="top"/>
    </xf>
    <xf numFmtId="3" fontId="7" fillId="7" borderId="73" xfId="0" applyNumberFormat="1" applyFont="1" applyFill="1" applyBorder="1" applyAlignment="1">
      <alignment horizontal="center" vertical="center" wrapText="1"/>
    </xf>
    <xf numFmtId="3" fontId="3" fillId="7" borderId="96" xfId="0" applyNumberFormat="1" applyFont="1" applyFill="1" applyBorder="1" applyAlignment="1">
      <alignment horizontal="center" vertical="top" wrapText="1"/>
    </xf>
    <xf numFmtId="3" fontId="7" fillId="7" borderId="26"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xf>
    <xf numFmtId="166" fontId="19" fillId="7" borderId="62" xfId="0" applyNumberFormat="1" applyFont="1" applyFill="1" applyBorder="1" applyAlignment="1">
      <alignment horizontal="left" vertical="top" wrapText="1"/>
    </xf>
    <xf numFmtId="3" fontId="3" fillId="7" borderId="73" xfId="0" applyNumberFormat="1" applyFont="1" applyFill="1" applyBorder="1" applyAlignment="1">
      <alignment horizontal="center" vertical="top"/>
    </xf>
    <xf numFmtId="49" fontId="7" fillId="3" borderId="0" xfId="0" applyNumberFormat="1" applyFont="1" applyFill="1" applyBorder="1" applyAlignment="1">
      <alignment horizontal="center" vertical="center" textRotation="90" wrapText="1"/>
    </xf>
    <xf numFmtId="166" fontId="7" fillId="0" borderId="17" xfId="0" applyNumberFormat="1" applyFont="1" applyFill="1" applyBorder="1" applyAlignment="1">
      <alignment horizontal="center" vertical="top" wrapText="1"/>
    </xf>
    <xf numFmtId="166" fontId="3" fillId="7" borderId="35" xfId="0" applyNumberFormat="1" applyFont="1" applyFill="1" applyBorder="1" applyAlignment="1">
      <alignment vertical="top"/>
    </xf>
    <xf numFmtId="49" fontId="3" fillId="7" borderId="27" xfId="0" applyNumberFormat="1" applyFont="1" applyFill="1" applyBorder="1" applyAlignment="1">
      <alignment horizontal="center" vertical="top"/>
    </xf>
    <xf numFmtId="49" fontId="3" fillId="7" borderId="34" xfId="0" applyNumberFormat="1" applyFont="1" applyFill="1" applyBorder="1" applyAlignment="1">
      <alignment horizontal="center" vertical="top"/>
    </xf>
    <xf numFmtId="166" fontId="3" fillId="7" borderId="20" xfId="0" applyNumberFormat="1" applyFont="1" applyFill="1" applyBorder="1" applyAlignment="1">
      <alignment vertical="top"/>
    </xf>
    <xf numFmtId="0" fontId="3" fillId="7" borderId="47" xfId="0" applyNumberFormat="1" applyFont="1" applyFill="1" applyBorder="1" applyAlignment="1">
      <alignment horizontal="center" vertical="top" wrapText="1"/>
    </xf>
    <xf numFmtId="0" fontId="3" fillId="7" borderId="95" xfId="0" applyNumberFormat="1" applyFont="1" applyFill="1" applyBorder="1" applyAlignment="1">
      <alignment horizontal="center" vertical="top" wrapText="1"/>
    </xf>
    <xf numFmtId="3" fontId="3" fillId="7" borderId="93" xfId="0" applyNumberFormat="1" applyFont="1" applyFill="1" applyBorder="1" applyAlignment="1">
      <alignment horizontal="center" vertical="top"/>
    </xf>
    <xf numFmtId="3" fontId="3" fillId="7" borderId="102" xfId="0" applyNumberFormat="1" applyFont="1" applyFill="1" applyBorder="1" applyAlignment="1">
      <alignment horizontal="center" vertical="top"/>
    </xf>
    <xf numFmtId="3" fontId="3" fillId="7" borderId="109" xfId="0" applyNumberFormat="1" applyFont="1" applyFill="1" applyBorder="1" applyAlignment="1">
      <alignment horizontal="center" vertical="top"/>
    </xf>
    <xf numFmtId="3" fontId="3" fillId="7" borderId="108" xfId="0" applyNumberFormat="1" applyFont="1" applyFill="1" applyBorder="1" applyAlignment="1">
      <alignment horizontal="center" vertical="top"/>
    </xf>
    <xf numFmtId="166" fontId="3" fillId="7" borderId="85" xfId="0" applyNumberFormat="1" applyFont="1" applyFill="1" applyBorder="1" applyAlignment="1">
      <alignment horizontal="center" vertical="top"/>
    </xf>
    <xf numFmtId="166" fontId="3" fillId="7" borderId="110" xfId="0" applyNumberFormat="1" applyFont="1" applyFill="1" applyBorder="1" applyAlignment="1">
      <alignment horizontal="center" vertical="top"/>
    </xf>
    <xf numFmtId="166" fontId="3" fillId="7" borderId="75" xfId="0" applyNumberFormat="1" applyFont="1" applyFill="1" applyBorder="1" applyAlignment="1">
      <alignment horizontal="center" vertical="top"/>
    </xf>
    <xf numFmtId="166" fontId="3" fillId="7" borderId="14" xfId="0" applyNumberFormat="1" applyFont="1" applyFill="1" applyBorder="1" applyAlignment="1">
      <alignment horizontal="center" vertical="top"/>
    </xf>
    <xf numFmtId="166" fontId="9" fillId="7" borderId="44" xfId="0" applyNumberFormat="1" applyFont="1" applyFill="1" applyBorder="1" applyAlignment="1">
      <alignment horizontal="center" vertical="center" textRotation="90" wrapText="1"/>
    </xf>
    <xf numFmtId="166" fontId="3" fillId="0" borderId="19" xfId="0" applyNumberFormat="1" applyFont="1" applyFill="1" applyBorder="1" applyAlignment="1">
      <alignment horizontal="center" vertical="top"/>
    </xf>
    <xf numFmtId="3" fontId="3" fillId="7" borderId="46" xfId="0" applyNumberFormat="1" applyFont="1" applyFill="1" applyBorder="1" applyAlignment="1">
      <alignment horizontal="center" vertical="top"/>
    </xf>
    <xf numFmtId="49" fontId="4" fillId="9" borderId="33" xfId="0" applyNumberFormat="1" applyFont="1" applyFill="1" applyBorder="1" applyAlignment="1">
      <alignment horizontal="center" vertical="top"/>
    </xf>
    <xf numFmtId="3" fontId="3" fillId="3" borderId="0" xfId="0" applyNumberFormat="1" applyFont="1" applyFill="1" applyBorder="1" applyAlignment="1">
      <alignment horizontal="left" vertical="top" wrapText="1"/>
    </xf>
    <xf numFmtId="3" fontId="3" fillId="7" borderId="17" xfId="0" applyNumberFormat="1" applyFont="1" applyFill="1" applyBorder="1" applyAlignment="1">
      <alignment horizontal="center" vertical="top" wrapText="1"/>
    </xf>
    <xf numFmtId="0" fontId="3" fillId="7" borderId="33" xfId="0" applyFont="1" applyFill="1" applyBorder="1" applyAlignment="1">
      <alignment vertical="top"/>
    </xf>
    <xf numFmtId="0" fontId="3" fillId="7" borderId="10" xfId="0" applyFont="1" applyFill="1" applyBorder="1" applyAlignment="1">
      <alignment vertical="top"/>
    </xf>
    <xf numFmtId="0" fontId="3" fillId="7" borderId="47" xfId="0" applyFont="1" applyFill="1" applyBorder="1" applyAlignment="1">
      <alignment vertical="top"/>
    </xf>
    <xf numFmtId="0" fontId="3" fillId="7" borderId="17" xfId="0" applyFont="1" applyFill="1" applyBorder="1" applyAlignment="1">
      <alignment vertical="top"/>
    </xf>
    <xf numFmtId="0" fontId="3" fillId="7" borderId="62" xfId="0" applyFont="1" applyFill="1" applyBorder="1" applyAlignment="1">
      <alignment vertical="top"/>
    </xf>
    <xf numFmtId="0" fontId="3" fillId="7" borderId="27" xfId="0" applyFont="1" applyFill="1" applyBorder="1" applyAlignment="1">
      <alignment vertical="top"/>
    </xf>
    <xf numFmtId="0" fontId="3" fillId="7" borderId="34" xfId="0" applyFont="1" applyFill="1" applyBorder="1" applyAlignment="1">
      <alignment vertical="top"/>
    </xf>
    <xf numFmtId="166" fontId="3" fillId="3" borderId="38" xfId="0" applyNumberFormat="1" applyFont="1" applyFill="1" applyBorder="1" applyAlignment="1">
      <alignment horizontal="center" vertical="top"/>
    </xf>
    <xf numFmtId="166" fontId="3" fillId="7" borderId="4" xfId="0" applyNumberFormat="1" applyFont="1" applyFill="1" applyBorder="1" applyAlignment="1">
      <alignment horizontal="left" vertical="top" wrapText="1"/>
    </xf>
    <xf numFmtId="166" fontId="3" fillId="7" borderId="0" xfId="0" applyNumberFormat="1" applyFont="1" applyFill="1" applyBorder="1" applyAlignment="1">
      <alignment horizontal="center" vertical="top" wrapText="1"/>
    </xf>
    <xf numFmtId="166" fontId="3" fillId="3" borderId="49" xfId="0" applyNumberFormat="1" applyFont="1" applyFill="1" applyBorder="1" applyAlignment="1">
      <alignment horizontal="center" vertical="top"/>
    </xf>
    <xf numFmtId="3" fontId="3" fillId="7" borderId="24" xfId="0" applyNumberFormat="1" applyFont="1" applyFill="1" applyBorder="1" applyAlignment="1">
      <alignment horizontal="center" vertical="top" wrapText="1"/>
    </xf>
    <xf numFmtId="3" fontId="3" fillId="7" borderId="49" xfId="0" applyNumberFormat="1" applyFont="1" applyFill="1" applyBorder="1" applyAlignment="1">
      <alignment horizontal="center" vertical="top" wrapText="1"/>
    </xf>
    <xf numFmtId="3" fontId="3" fillId="0" borderId="76" xfId="0" applyNumberFormat="1" applyFont="1" applyFill="1" applyBorder="1" applyAlignment="1">
      <alignment horizontal="center" vertical="top"/>
    </xf>
    <xf numFmtId="166" fontId="3" fillId="7" borderId="73" xfId="1" applyNumberFormat="1" applyFont="1" applyFill="1" applyBorder="1" applyAlignment="1">
      <alignment horizontal="center" vertical="top"/>
    </xf>
    <xf numFmtId="166" fontId="3" fillId="7" borderId="22" xfId="1" applyNumberFormat="1" applyFont="1" applyFill="1" applyBorder="1" applyAlignment="1">
      <alignment horizontal="center" vertical="top"/>
    </xf>
    <xf numFmtId="166" fontId="4" fillId="2" borderId="54" xfId="0" applyNumberFormat="1" applyFont="1" applyFill="1" applyBorder="1" applyAlignment="1">
      <alignment horizontal="center" vertical="top"/>
    </xf>
    <xf numFmtId="49" fontId="3" fillId="7" borderId="17" xfId="0" applyNumberFormat="1" applyFont="1" applyFill="1" applyBorder="1" applyAlignment="1">
      <alignment horizontal="center" vertical="top"/>
    </xf>
    <xf numFmtId="0" fontId="3" fillId="7" borderId="0" xfId="0" applyFont="1" applyFill="1" applyBorder="1" applyAlignment="1">
      <alignment vertical="top"/>
    </xf>
    <xf numFmtId="166" fontId="3" fillId="7" borderId="80" xfId="0" applyNumberFormat="1" applyFont="1" applyFill="1" applyBorder="1" applyAlignment="1">
      <alignment vertical="top" wrapText="1"/>
    </xf>
    <xf numFmtId="166" fontId="3" fillId="7" borderId="49" xfId="0" applyNumberFormat="1" applyFont="1" applyFill="1" applyBorder="1" applyAlignment="1">
      <alignment horizontal="center" vertical="top"/>
    </xf>
    <xf numFmtId="166" fontId="4" fillId="8" borderId="32" xfId="0" applyNumberFormat="1" applyFont="1" applyFill="1" applyBorder="1" applyAlignment="1">
      <alignment horizontal="center" vertical="top"/>
    </xf>
    <xf numFmtId="3" fontId="3" fillId="7" borderId="95" xfId="0" applyNumberFormat="1" applyFont="1" applyFill="1" applyBorder="1" applyAlignment="1">
      <alignment horizontal="center" vertical="top"/>
    </xf>
    <xf numFmtId="166" fontId="3" fillId="7" borderId="24" xfId="0" applyNumberFormat="1" applyFont="1" applyFill="1" applyBorder="1" applyAlignment="1">
      <alignment horizontal="center" vertical="center" textRotation="90" wrapText="1"/>
    </xf>
    <xf numFmtId="166" fontId="4" fillId="7" borderId="47" xfId="0" applyNumberFormat="1" applyFont="1" applyFill="1" applyBorder="1" applyAlignment="1">
      <alignment vertical="top" wrapText="1"/>
    </xf>
    <xf numFmtId="166" fontId="4" fillId="7" borderId="34" xfId="0" applyNumberFormat="1" applyFont="1" applyFill="1" applyBorder="1" applyAlignment="1">
      <alignment vertical="top" wrapText="1"/>
    </xf>
    <xf numFmtId="49" fontId="3" fillId="7" borderId="19" xfId="0" applyNumberFormat="1" applyFont="1" applyFill="1" applyBorder="1" applyAlignment="1">
      <alignment horizontal="center" vertical="top"/>
    </xf>
    <xf numFmtId="166" fontId="3" fillId="0" borderId="78" xfId="0" applyNumberFormat="1" applyFont="1" applyFill="1" applyBorder="1" applyAlignment="1">
      <alignment horizontal="center" vertical="top"/>
    </xf>
    <xf numFmtId="166" fontId="3" fillId="3" borderId="27" xfId="0" applyNumberFormat="1" applyFont="1" applyFill="1" applyBorder="1" applyAlignment="1">
      <alignment vertical="top" wrapText="1"/>
    </xf>
    <xf numFmtId="166" fontId="4" fillId="8" borderId="55" xfId="0" applyNumberFormat="1" applyFont="1" applyFill="1" applyBorder="1" applyAlignment="1">
      <alignment horizontal="center" vertical="top"/>
    </xf>
    <xf numFmtId="166" fontId="9" fillId="8" borderId="57" xfId="0" applyNumberFormat="1" applyFont="1" applyFill="1" applyBorder="1" applyAlignment="1">
      <alignment vertical="top" wrapText="1"/>
    </xf>
    <xf numFmtId="166" fontId="12" fillId="8" borderId="57" xfId="0" applyNumberFormat="1" applyFont="1" applyFill="1" applyBorder="1" applyAlignment="1">
      <alignment horizontal="center" vertical="center" textRotation="90" wrapText="1"/>
    </xf>
    <xf numFmtId="166" fontId="2" fillId="8" borderId="57" xfId="0" applyNumberFormat="1" applyFont="1" applyFill="1" applyBorder="1" applyAlignment="1">
      <alignment horizontal="center" vertical="center" textRotation="90" wrapText="1"/>
    </xf>
    <xf numFmtId="166" fontId="4" fillId="8" borderId="24" xfId="0" applyNumberFormat="1" applyFont="1" applyFill="1" applyBorder="1" applyAlignment="1">
      <alignment horizontal="center" vertical="top"/>
    </xf>
    <xf numFmtId="166" fontId="19" fillId="8" borderId="63" xfId="0" applyNumberFormat="1" applyFont="1" applyFill="1" applyBorder="1" applyAlignment="1">
      <alignment horizontal="left" vertical="top" wrapText="1"/>
    </xf>
    <xf numFmtId="3" fontId="3" fillId="8" borderId="57" xfId="0" applyNumberFormat="1" applyFont="1" applyFill="1" applyBorder="1" applyAlignment="1">
      <alignment horizontal="center" vertical="top"/>
    </xf>
    <xf numFmtId="3" fontId="7" fillId="8" borderId="57" xfId="0" applyNumberFormat="1" applyFont="1" applyFill="1" applyBorder="1" applyAlignment="1">
      <alignment horizontal="center" vertical="top" wrapText="1"/>
    </xf>
    <xf numFmtId="3" fontId="7" fillId="8" borderId="59" xfId="0" applyNumberFormat="1" applyFont="1" applyFill="1" applyBorder="1" applyAlignment="1">
      <alignment horizontal="center" vertical="top" wrapText="1"/>
    </xf>
    <xf numFmtId="166" fontId="4" fillId="8" borderId="10" xfId="0" applyNumberFormat="1" applyFont="1" applyFill="1" applyBorder="1" applyAlignment="1">
      <alignment vertical="top"/>
    </xf>
    <xf numFmtId="166" fontId="4" fillId="8" borderId="47" xfId="0" applyNumberFormat="1" applyFont="1" applyFill="1" applyBorder="1" applyAlignment="1">
      <alignment vertical="top"/>
    </xf>
    <xf numFmtId="49" fontId="4" fillId="7" borderId="10" xfId="0" applyNumberFormat="1" applyFont="1" applyFill="1" applyBorder="1" applyAlignment="1">
      <alignment horizontal="center" vertical="top" wrapText="1"/>
    </xf>
    <xf numFmtId="49" fontId="4" fillId="7" borderId="27" xfId="0" applyNumberFormat="1" applyFont="1" applyFill="1" applyBorder="1" applyAlignment="1">
      <alignment horizontal="center" vertical="top" wrapText="1"/>
    </xf>
    <xf numFmtId="166" fontId="4" fillId="8" borderId="0" xfId="0" applyNumberFormat="1" applyFont="1" applyFill="1" applyBorder="1" applyAlignment="1">
      <alignment horizontal="center" vertical="top"/>
    </xf>
    <xf numFmtId="166" fontId="4" fillId="8" borderId="24" xfId="0" applyNumberFormat="1" applyFont="1" applyFill="1" applyBorder="1" applyAlignment="1">
      <alignment vertical="top"/>
    </xf>
    <xf numFmtId="166" fontId="9" fillId="8" borderId="31" xfId="0" applyNumberFormat="1" applyFont="1" applyFill="1" applyBorder="1" applyAlignment="1">
      <alignment vertical="top" wrapText="1"/>
    </xf>
    <xf numFmtId="166" fontId="12" fillId="8" borderId="31" xfId="0" applyNumberFormat="1" applyFont="1" applyFill="1" applyBorder="1" applyAlignment="1">
      <alignment horizontal="center" vertical="center" textRotation="90" wrapText="1"/>
    </xf>
    <xf numFmtId="166" fontId="2" fillId="8" borderId="31" xfId="0" applyNumberFormat="1" applyFont="1" applyFill="1" applyBorder="1" applyAlignment="1">
      <alignment horizontal="center" vertical="center" textRotation="90" wrapText="1"/>
    </xf>
    <xf numFmtId="166" fontId="19" fillId="8" borderId="70" xfId="0" applyNumberFormat="1" applyFont="1" applyFill="1" applyBorder="1" applyAlignment="1">
      <alignment horizontal="left" vertical="top" wrapText="1"/>
    </xf>
    <xf numFmtId="49" fontId="3" fillId="7" borderId="100" xfId="0" applyNumberFormat="1" applyFont="1" applyFill="1" applyBorder="1" applyAlignment="1">
      <alignment horizontal="center" vertical="top"/>
    </xf>
    <xf numFmtId="166" fontId="3" fillId="7" borderId="45" xfId="0" applyNumberFormat="1" applyFont="1" applyFill="1" applyBorder="1" applyAlignment="1">
      <alignment horizontal="center" vertical="top"/>
    </xf>
    <xf numFmtId="166" fontId="4" fillId="3" borderId="73" xfId="0" applyNumberFormat="1" applyFont="1" applyFill="1" applyBorder="1" applyAlignment="1">
      <alignment horizontal="center" vertical="top"/>
    </xf>
    <xf numFmtId="166" fontId="4" fillId="3" borderId="66" xfId="0" applyNumberFormat="1" applyFont="1" applyFill="1" applyBorder="1" applyAlignment="1">
      <alignment horizontal="center" vertical="top"/>
    </xf>
    <xf numFmtId="166" fontId="3" fillId="0" borderId="9" xfId="0" applyNumberFormat="1" applyFont="1" applyBorder="1" applyAlignment="1">
      <alignment horizontal="center" vertical="top"/>
    </xf>
    <xf numFmtId="3" fontId="3" fillId="7" borderId="47" xfId="0" applyNumberFormat="1" applyFont="1" applyFill="1" applyBorder="1" applyAlignment="1">
      <alignment horizontal="center" vertical="top" wrapText="1"/>
    </xf>
    <xf numFmtId="49" fontId="4" fillId="8" borderId="0" xfId="0" applyNumberFormat="1" applyFont="1" applyFill="1" applyBorder="1" applyAlignment="1">
      <alignment horizontal="center" vertical="top"/>
    </xf>
    <xf numFmtId="49" fontId="4" fillId="8" borderId="31" xfId="0" applyNumberFormat="1" applyFont="1" applyFill="1" applyBorder="1" applyAlignment="1">
      <alignment horizontal="center" vertical="top"/>
    </xf>
    <xf numFmtId="0" fontId="0" fillId="8" borderId="31" xfId="0" applyFill="1" applyBorder="1" applyAlignment="1">
      <alignment vertical="top" wrapText="1"/>
    </xf>
    <xf numFmtId="0" fontId="0" fillId="8" borderId="31" xfId="0" applyFill="1" applyBorder="1" applyAlignment="1">
      <alignment horizontal="center" textRotation="90" wrapText="1"/>
    </xf>
    <xf numFmtId="0" fontId="0" fillId="8" borderId="31" xfId="0" applyFont="1" applyFill="1" applyBorder="1" applyAlignment="1">
      <alignment horizontal="center" vertical="top"/>
    </xf>
    <xf numFmtId="166" fontId="9" fillId="8" borderId="70" xfId="0" applyNumberFormat="1" applyFont="1" applyFill="1" applyBorder="1" applyAlignment="1">
      <alignment vertical="top" wrapText="1"/>
    </xf>
    <xf numFmtId="166" fontId="3" fillId="8" borderId="57" xfId="0" applyNumberFormat="1" applyFont="1" applyFill="1" applyBorder="1" applyAlignment="1">
      <alignment horizontal="center" vertical="top"/>
    </xf>
    <xf numFmtId="0" fontId="3" fillId="7" borderId="35" xfId="0" applyFont="1" applyFill="1" applyBorder="1" applyAlignment="1">
      <alignment vertical="top" wrapText="1"/>
    </xf>
    <xf numFmtId="166" fontId="19" fillId="7" borderId="6" xfId="0" applyNumberFormat="1" applyFont="1" applyFill="1" applyBorder="1" applyAlignment="1">
      <alignment horizontal="center" vertical="top"/>
    </xf>
    <xf numFmtId="166" fontId="19" fillId="7" borderId="33" xfId="0" applyNumberFormat="1" applyFont="1" applyFill="1" applyBorder="1" applyAlignment="1">
      <alignment horizontal="center" vertical="top"/>
    </xf>
    <xf numFmtId="166" fontId="5" fillId="3" borderId="34" xfId="0" applyNumberFormat="1" applyFont="1" applyFill="1" applyBorder="1" applyAlignment="1">
      <alignment horizontal="center" vertical="center" textRotation="90" wrapText="1"/>
    </xf>
    <xf numFmtId="166" fontId="7" fillId="7" borderId="71" xfId="0" applyNumberFormat="1" applyFont="1" applyFill="1" applyBorder="1" applyAlignment="1">
      <alignment horizontal="center" vertical="center" textRotation="90" wrapText="1"/>
    </xf>
    <xf numFmtId="49" fontId="7" fillId="7" borderId="10" xfId="0" applyNumberFormat="1" applyFont="1" applyFill="1" applyBorder="1" applyAlignment="1">
      <alignment vertical="center" textRotation="90" wrapText="1"/>
    </xf>
    <xf numFmtId="3" fontId="7" fillId="7" borderId="10" xfId="0" applyNumberFormat="1" applyFont="1" applyFill="1" applyBorder="1" applyAlignment="1">
      <alignment textRotation="90" wrapText="1"/>
    </xf>
    <xf numFmtId="166" fontId="3" fillId="7" borderId="58" xfId="0" applyNumberFormat="1" applyFont="1" applyFill="1" applyBorder="1" applyAlignment="1">
      <alignment vertical="top"/>
    </xf>
    <xf numFmtId="166" fontId="4" fillId="8" borderId="47" xfId="0" applyNumberFormat="1" applyFont="1" applyFill="1" applyBorder="1" applyAlignment="1">
      <alignment horizontal="center" vertical="top"/>
    </xf>
    <xf numFmtId="166" fontId="3" fillId="3" borderId="47" xfId="0" applyNumberFormat="1" applyFont="1" applyFill="1" applyBorder="1" applyAlignment="1">
      <alignment vertical="top" wrapText="1"/>
    </xf>
    <xf numFmtId="166" fontId="4" fillId="7" borderId="45" xfId="0" applyNumberFormat="1" applyFont="1" applyFill="1" applyBorder="1" applyAlignment="1">
      <alignment horizontal="center" vertical="top"/>
    </xf>
    <xf numFmtId="3" fontId="3" fillId="0" borderId="93" xfId="0" applyNumberFormat="1" applyFont="1" applyFill="1" applyBorder="1" applyAlignment="1">
      <alignment horizontal="center" vertical="top"/>
    </xf>
    <xf numFmtId="166" fontId="19" fillId="7" borderId="28" xfId="0" applyNumberFormat="1" applyFont="1" applyFill="1" applyBorder="1" applyAlignment="1">
      <alignment horizontal="left" vertical="top" wrapText="1"/>
    </xf>
    <xf numFmtId="166" fontId="3" fillId="7" borderId="99" xfId="0" applyNumberFormat="1" applyFont="1" applyFill="1" applyBorder="1" applyAlignment="1">
      <alignment horizontal="center" vertical="top"/>
    </xf>
    <xf numFmtId="166" fontId="4" fillId="0" borderId="13" xfId="0" applyNumberFormat="1" applyFont="1" applyBorder="1" applyAlignment="1">
      <alignment horizontal="center" vertical="top"/>
    </xf>
    <xf numFmtId="166" fontId="3" fillId="7" borderId="14" xfId="0" applyNumberFormat="1" applyFont="1" applyFill="1" applyBorder="1" applyAlignment="1">
      <alignment horizontal="center" vertical="top" wrapText="1"/>
    </xf>
    <xf numFmtId="0" fontId="1" fillId="0" borderId="0" xfId="0" applyFont="1" applyBorder="1" applyAlignment="1">
      <alignment horizontal="center" vertical="center" textRotation="90" wrapText="1"/>
    </xf>
    <xf numFmtId="166" fontId="7" fillId="7" borderId="78" xfId="0" applyNumberFormat="1" applyFont="1" applyFill="1" applyBorder="1" applyAlignment="1">
      <alignment horizontal="center" vertical="top"/>
    </xf>
    <xf numFmtId="166" fontId="7" fillId="7" borderId="102" xfId="0" applyNumberFormat="1" applyFont="1" applyFill="1" applyBorder="1" applyAlignment="1">
      <alignment horizontal="center" vertical="top"/>
    </xf>
    <xf numFmtId="166" fontId="3" fillId="7" borderId="79" xfId="0" applyNumberFormat="1" applyFont="1" applyFill="1" applyBorder="1" applyAlignment="1">
      <alignment horizontal="center" vertical="top"/>
    </xf>
    <xf numFmtId="3" fontId="7" fillId="0" borderId="84" xfId="0" applyNumberFormat="1" applyFont="1" applyFill="1" applyBorder="1" applyAlignment="1">
      <alignment horizontal="center" vertical="top"/>
    </xf>
    <xf numFmtId="3" fontId="3" fillId="7" borderId="104" xfId="0" applyNumberFormat="1" applyFont="1" applyFill="1" applyBorder="1" applyAlignment="1">
      <alignment horizontal="center" vertical="top"/>
    </xf>
    <xf numFmtId="3" fontId="7" fillId="0" borderId="103" xfId="0" applyNumberFormat="1" applyFont="1" applyFill="1" applyBorder="1" applyAlignment="1">
      <alignment horizontal="center" vertical="top"/>
    </xf>
    <xf numFmtId="166" fontId="3" fillId="0" borderId="93" xfId="0" applyNumberFormat="1" applyFont="1" applyFill="1" applyBorder="1" applyAlignment="1">
      <alignment horizontal="center" vertical="top"/>
    </xf>
    <xf numFmtId="166" fontId="3" fillId="0" borderId="27" xfId="0" applyNumberFormat="1" applyFont="1" applyFill="1" applyBorder="1" applyAlignment="1">
      <alignment vertical="top" wrapText="1"/>
    </xf>
    <xf numFmtId="166" fontId="3" fillId="7" borderId="1" xfId="0" applyNumberFormat="1" applyFont="1" applyFill="1" applyBorder="1" applyAlignment="1">
      <alignment vertical="top" wrapText="1"/>
    </xf>
    <xf numFmtId="0" fontId="3" fillId="0" borderId="83" xfId="0" applyFont="1" applyBorder="1" applyAlignment="1">
      <alignment vertical="top" wrapText="1"/>
    </xf>
    <xf numFmtId="166" fontId="3" fillId="7" borderId="76" xfId="0" applyNumberFormat="1" applyFont="1" applyFill="1" applyBorder="1" applyAlignment="1">
      <alignment vertical="top" wrapText="1"/>
    </xf>
    <xf numFmtId="0" fontId="3" fillId="0" borderId="83" xfId="0" applyFont="1" applyBorder="1" applyAlignment="1">
      <alignment vertical="top"/>
    </xf>
    <xf numFmtId="49" fontId="2" fillId="7" borderId="19" xfId="0" applyNumberFormat="1" applyFont="1" applyFill="1" applyBorder="1" applyAlignment="1">
      <alignment horizontal="center" vertical="center" textRotation="90" wrapText="1"/>
    </xf>
    <xf numFmtId="49" fontId="2" fillId="7" borderId="27" xfId="0" applyNumberFormat="1" applyFont="1" applyFill="1" applyBorder="1" applyAlignment="1">
      <alignment horizontal="center" vertical="center" textRotation="90" wrapText="1"/>
    </xf>
    <xf numFmtId="166" fontId="3" fillId="7" borderId="66" xfId="0" applyNumberFormat="1" applyFont="1" applyFill="1" applyBorder="1" applyAlignment="1">
      <alignment horizontal="right" vertical="top"/>
    </xf>
    <xf numFmtId="166" fontId="9" fillId="7" borderId="20" xfId="0" applyNumberFormat="1" applyFont="1" applyFill="1" applyBorder="1" applyAlignment="1">
      <alignment horizontal="center" vertical="top" wrapText="1"/>
    </xf>
    <xf numFmtId="166" fontId="3" fillId="7" borderId="20"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90" xfId="0" applyNumberFormat="1" applyFont="1" applyFill="1" applyBorder="1" applyAlignment="1">
      <alignment horizontal="center" vertical="top"/>
    </xf>
    <xf numFmtId="3" fontId="24" fillId="7" borderId="19" xfId="0" applyNumberFormat="1" applyFont="1" applyFill="1" applyBorder="1" applyAlignment="1">
      <alignment horizontal="center" vertical="top"/>
    </xf>
    <xf numFmtId="3" fontId="24" fillId="7" borderId="10" xfId="1" applyNumberFormat="1" applyFont="1" applyFill="1" applyBorder="1" applyAlignment="1">
      <alignment horizontal="center" vertical="top" wrapText="1"/>
    </xf>
    <xf numFmtId="3" fontId="24" fillId="7" borderId="42" xfId="1" applyNumberFormat="1" applyFont="1" applyFill="1" applyBorder="1" applyAlignment="1">
      <alignment horizontal="center" vertical="top" wrapText="1"/>
    </xf>
    <xf numFmtId="0" fontId="0" fillId="7" borderId="17" xfId="0" applyFont="1" applyFill="1" applyBorder="1" applyAlignment="1">
      <alignment horizontal="center" wrapText="1"/>
    </xf>
    <xf numFmtId="49" fontId="3" fillId="7" borderId="45"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49" fontId="3" fillId="7" borderId="105" xfId="0" applyNumberFormat="1" applyFont="1" applyFill="1" applyBorder="1" applyAlignment="1">
      <alignment horizontal="center" vertical="top"/>
    </xf>
    <xf numFmtId="49" fontId="3" fillId="7" borderId="103" xfId="0" applyNumberFormat="1" applyFont="1" applyFill="1" applyBorder="1" applyAlignment="1">
      <alignment horizontal="center" vertical="top"/>
    </xf>
    <xf numFmtId="49" fontId="3" fillId="7" borderId="26" xfId="0" applyNumberFormat="1" applyFont="1" applyFill="1" applyBorder="1" applyAlignment="1">
      <alignment horizontal="center" vertical="top"/>
    </xf>
    <xf numFmtId="0" fontId="30" fillId="7" borderId="10" xfId="0" applyFont="1" applyFill="1" applyBorder="1" applyAlignment="1">
      <alignment horizontal="center" vertical="top" wrapText="1"/>
    </xf>
    <xf numFmtId="166" fontId="24" fillId="7" borderId="82" xfId="0" applyNumberFormat="1" applyFont="1" applyFill="1" applyBorder="1" applyAlignment="1">
      <alignment horizontal="left" vertical="top" wrapText="1"/>
    </xf>
    <xf numFmtId="3" fontId="31" fillId="7" borderId="83" xfId="0" applyNumberFormat="1" applyFont="1" applyFill="1" applyBorder="1" applyAlignment="1">
      <alignment horizontal="center" vertical="center" wrapText="1"/>
    </xf>
    <xf numFmtId="3" fontId="24" fillId="7" borderId="10" xfId="0" applyNumberFormat="1" applyFont="1" applyFill="1" applyBorder="1" applyAlignment="1">
      <alignment horizontal="center" vertical="top"/>
    </xf>
    <xf numFmtId="3" fontId="24" fillId="7" borderId="47" xfId="0" applyNumberFormat="1" applyFont="1" applyFill="1" applyBorder="1" applyAlignment="1">
      <alignment horizontal="center" vertical="top"/>
    </xf>
    <xf numFmtId="3" fontId="24" fillId="7" borderId="19" xfId="0" applyNumberFormat="1" applyFont="1" applyFill="1" applyBorder="1" applyAlignment="1">
      <alignment horizontal="center" vertical="top" wrapText="1"/>
    </xf>
    <xf numFmtId="3" fontId="24" fillId="7" borderId="10" xfId="0" applyNumberFormat="1" applyFont="1" applyFill="1" applyBorder="1" applyAlignment="1">
      <alignment horizontal="center" vertical="top" wrapText="1"/>
    </xf>
    <xf numFmtId="3" fontId="24" fillId="7" borderId="27" xfId="0" applyNumberFormat="1" applyFont="1" applyFill="1" applyBorder="1" applyAlignment="1">
      <alignment horizontal="center" vertical="top" wrapText="1"/>
    </xf>
    <xf numFmtId="166" fontId="27" fillId="7" borderId="28" xfId="0" applyNumberFormat="1" applyFont="1" applyFill="1" applyBorder="1" applyAlignment="1">
      <alignment horizontal="left" vertical="top" wrapText="1"/>
    </xf>
    <xf numFmtId="0" fontId="30" fillId="7" borderId="35" xfId="0" applyFont="1" applyFill="1" applyBorder="1" applyAlignment="1">
      <alignment vertical="top" wrapText="1"/>
    </xf>
    <xf numFmtId="0" fontId="30" fillId="7" borderId="19" xfId="0" applyFont="1" applyFill="1" applyBorder="1" applyAlignment="1">
      <alignment horizontal="center" vertical="top" wrapText="1"/>
    </xf>
    <xf numFmtId="3" fontId="24" fillId="7" borderId="42" xfId="0" applyNumberFormat="1" applyFont="1" applyFill="1" applyBorder="1" applyAlignment="1">
      <alignment horizontal="center" vertical="top"/>
    </xf>
    <xf numFmtId="3" fontId="24" fillId="7" borderId="27" xfId="0" applyNumberFormat="1" applyFont="1" applyFill="1" applyBorder="1" applyAlignment="1">
      <alignment horizontal="center" vertical="top"/>
    </xf>
    <xf numFmtId="3" fontId="24" fillId="7" borderId="0" xfId="0" applyNumberFormat="1" applyFont="1" applyFill="1" applyBorder="1" applyAlignment="1">
      <alignment horizontal="center" vertical="top"/>
    </xf>
    <xf numFmtId="166" fontId="19" fillId="3" borderId="28" xfId="0" applyNumberFormat="1" applyFont="1" applyFill="1" applyBorder="1" applyAlignment="1">
      <alignment horizontal="left" vertical="top" wrapText="1"/>
    </xf>
    <xf numFmtId="165" fontId="3" fillId="0" borderId="22" xfId="0" applyNumberFormat="1" applyFont="1" applyBorder="1" applyAlignment="1">
      <alignment horizontal="center"/>
    </xf>
    <xf numFmtId="165" fontId="3" fillId="0" borderId="73" xfId="0" applyNumberFormat="1" applyFont="1" applyBorder="1" applyAlignment="1">
      <alignment horizontal="center"/>
    </xf>
    <xf numFmtId="166" fontId="3" fillId="7" borderId="5" xfId="0" applyNumberFormat="1" applyFont="1" applyFill="1" applyBorder="1" applyAlignment="1">
      <alignment horizontal="center"/>
    </xf>
    <xf numFmtId="166" fontId="3" fillId="7" borderId="0" xfId="0" applyNumberFormat="1" applyFont="1" applyFill="1" applyBorder="1" applyAlignment="1">
      <alignment horizontal="center"/>
    </xf>
    <xf numFmtId="166" fontId="3" fillId="7" borderId="22" xfId="0" applyNumberFormat="1" applyFont="1" applyFill="1" applyBorder="1" applyAlignment="1">
      <alignment horizontal="center"/>
    </xf>
    <xf numFmtId="166" fontId="3" fillId="7" borderId="73" xfId="0" applyNumberFormat="1" applyFont="1" applyFill="1" applyBorder="1" applyAlignment="1">
      <alignment horizontal="center"/>
    </xf>
    <xf numFmtId="166" fontId="4" fillId="7" borderId="71" xfId="0" applyNumberFormat="1" applyFont="1" applyFill="1" applyBorder="1" applyAlignment="1">
      <alignment horizontal="center"/>
    </xf>
    <xf numFmtId="166" fontId="4" fillId="7" borderId="9" xfId="0" applyNumberFormat="1" applyFont="1" applyFill="1" applyBorder="1" applyAlignment="1">
      <alignment horizontal="center"/>
    </xf>
    <xf numFmtId="166" fontId="26" fillId="7" borderId="47" xfId="0" applyNumberFormat="1" applyFont="1" applyFill="1" applyBorder="1" applyAlignment="1">
      <alignment horizontal="center" vertical="top"/>
    </xf>
    <xf numFmtId="166" fontId="24" fillId="7" borderId="6" xfId="0" applyNumberFormat="1" applyFont="1" applyFill="1" applyBorder="1" applyAlignment="1">
      <alignment vertical="top" wrapText="1"/>
    </xf>
    <xf numFmtId="166" fontId="24" fillId="7" borderId="35" xfId="0" applyNumberFormat="1" applyFont="1" applyFill="1" applyBorder="1" applyAlignment="1">
      <alignment vertical="top" wrapText="1"/>
    </xf>
    <xf numFmtId="3" fontId="14" fillId="7" borderId="58" xfId="0" applyNumberFormat="1" applyFont="1" applyFill="1" applyBorder="1" applyAlignment="1">
      <alignment horizontal="center" vertical="top"/>
    </xf>
    <xf numFmtId="3" fontId="14" fillId="7" borderId="20" xfId="0" applyNumberFormat="1" applyFont="1" applyFill="1" applyBorder="1" applyAlignment="1">
      <alignment horizontal="center" vertical="top"/>
    </xf>
    <xf numFmtId="3" fontId="14" fillId="7" borderId="17" xfId="0" applyNumberFormat="1" applyFont="1" applyFill="1" applyBorder="1" applyAlignment="1">
      <alignment horizontal="center" vertical="top"/>
    </xf>
    <xf numFmtId="166" fontId="24" fillId="7" borderId="28" xfId="0" applyNumberFormat="1" applyFont="1" applyFill="1" applyBorder="1" applyAlignment="1">
      <alignment vertical="top" wrapText="1"/>
    </xf>
    <xf numFmtId="3" fontId="24" fillId="7" borderId="26" xfId="0" applyNumberFormat="1" applyFont="1" applyFill="1" applyBorder="1" applyAlignment="1">
      <alignment horizontal="center" vertical="top"/>
    </xf>
    <xf numFmtId="3" fontId="7" fillId="7" borderId="10" xfId="0" applyNumberFormat="1" applyFont="1" applyFill="1" applyBorder="1" applyAlignment="1">
      <alignment horizontal="center" vertical="top" wrapText="1"/>
    </xf>
    <xf numFmtId="3" fontId="7" fillId="7" borderId="27" xfId="0" applyNumberFormat="1" applyFont="1" applyFill="1" applyBorder="1" applyAlignment="1">
      <alignment horizontal="center" vertical="top" wrapText="1"/>
    </xf>
    <xf numFmtId="3" fontId="3" fillId="7" borderId="112" xfId="0" applyNumberFormat="1" applyFont="1" applyFill="1" applyBorder="1" applyAlignment="1">
      <alignment horizontal="center" vertical="top"/>
    </xf>
    <xf numFmtId="3" fontId="3" fillId="7" borderId="107" xfId="0" applyNumberFormat="1" applyFont="1" applyFill="1" applyBorder="1" applyAlignment="1">
      <alignment horizontal="center" vertical="top"/>
    </xf>
    <xf numFmtId="0" fontId="24" fillId="7" borderId="19" xfId="0" applyFont="1" applyFill="1" applyBorder="1" applyAlignment="1">
      <alignment horizontal="center" vertical="top" wrapText="1"/>
    </xf>
    <xf numFmtId="0" fontId="24" fillId="7" borderId="28" xfId="0" applyFont="1" applyFill="1" applyBorder="1" applyAlignment="1">
      <alignment vertical="top" wrapText="1"/>
    </xf>
    <xf numFmtId="0" fontId="24" fillId="7" borderId="27" xfId="0" applyFont="1" applyFill="1" applyBorder="1" applyAlignment="1">
      <alignment horizontal="center" vertical="top" wrapText="1"/>
    </xf>
    <xf numFmtId="3" fontId="7" fillId="7" borderId="0" xfId="0" applyNumberFormat="1" applyFont="1" applyFill="1" applyBorder="1" applyAlignment="1">
      <alignment horizontal="center" vertical="top" wrapText="1"/>
    </xf>
    <xf numFmtId="3" fontId="7" fillId="7" borderId="20" xfId="0" applyNumberFormat="1" applyFont="1" applyFill="1" applyBorder="1" applyAlignment="1">
      <alignment horizontal="center" vertical="top" wrapText="1"/>
    </xf>
    <xf numFmtId="166" fontId="3" fillId="7" borderId="83" xfId="0" applyNumberFormat="1" applyFont="1" applyFill="1" applyBorder="1" applyAlignment="1">
      <alignment horizontal="left" vertical="top" wrapText="1"/>
    </xf>
    <xf numFmtId="0" fontId="3" fillId="7" borderId="28" xfId="0" applyFont="1" applyFill="1" applyBorder="1" applyAlignment="1">
      <alignment horizontal="left" vertical="top" wrapText="1"/>
    </xf>
    <xf numFmtId="49" fontId="7" fillId="7" borderId="0" xfId="0" applyNumberFormat="1" applyFont="1" applyFill="1" applyBorder="1" applyAlignment="1">
      <alignment horizontal="center" vertical="center" textRotation="90" wrapText="1"/>
    </xf>
    <xf numFmtId="166" fontId="3" fillId="3" borderId="10" xfId="0" applyNumberFormat="1" applyFont="1" applyFill="1" applyBorder="1" applyAlignment="1">
      <alignment horizontal="left" vertical="top" wrapText="1"/>
    </xf>
    <xf numFmtId="49" fontId="3" fillId="0" borderId="47" xfId="0" applyNumberFormat="1" applyFont="1" applyFill="1" applyBorder="1" applyAlignment="1">
      <alignment horizontal="center" vertical="top"/>
    </xf>
    <xf numFmtId="166" fontId="4" fillId="7" borderId="22" xfId="0" applyNumberFormat="1" applyFont="1" applyFill="1" applyBorder="1" applyAlignment="1">
      <alignment horizontal="center" vertical="top"/>
    </xf>
    <xf numFmtId="166" fontId="4" fillId="7" borderId="62" xfId="0" applyNumberFormat="1" applyFont="1" applyFill="1" applyBorder="1" applyAlignment="1">
      <alignment horizontal="center" vertical="top"/>
    </xf>
    <xf numFmtId="49" fontId="7" fillId="7" borderId="27" xfId="0" applyNumberFormat="1" applyFont="1" applyFill="1" applyBorder="1" applyAlignment="1">
      <alignment horizontal="center" vertical="center" textRotation="90" wrapText="1"/>
    </xf>
    <xf numFmtId="0" fontId="0" fillId="7" borderId="26" xfId="0" applyFont="1" applyFill="1" applyBorder="1" applyAlignment="1">
      <alignment horizontal="center" vertical="top"/>
    </xf>
    <xf numFmtId="166" fontId="3" fillId="7" borderId="114" xfId="0" applyNumberFormat="1" applyFont="1" applyFill="1" applyBorder="1" applyAlignment="1">
      <alignment horizontal="center" vertical="top"/>
    </xf>
    <xf numFmtId="166" fontId="4" fillId="7" borderId="76" xfId="0" applyNumberFormat="1" applyFont="1" applyFill="1" applyBorder="1" applyAlignment="1">
      <alignment horizontal="center" vertical="top"/>
    </xf>
    <xf numFmtId="166" fontId="12" fillId="7" borderId="10" xfId="0" applyNumberFormat="1" applyFont="1" applyFill="1" applyBorder="1" applyAlignment="1">
      <alignment horizontal="center" vertical="center" wrapText="1"/>
    </xf>
    <xf numFmtId="3" fontId="3" fillId="0" borderId="46" xfId="0" applyNumberFormat="1" applyFont="1" applyFill="1" applyBorder="1" applyAlignment="1">
      <alignment horizontal="center" vertical="top"/>
    </xf>
    <xf numFmtId="166" fontId="3" fillId="7" borderId="75" xfId="0" applyNumberFormat="1" applyFont="1" applyFill="1" applyBorder="1" applyAlignment="1">
      <alignment vertical="top" wrapText="1"/>
    </xf>
    <xf numFmtId="49" fontId="32" fillId="7" borderId="27" xfId="0" applyNumberFormat="1" applyFont="1" applyFill="1" applyBorder="1" applyAlignment="1">
      <alignment horizontal="center" vertical="top"/>
    </xf>
    <xf numFmtId="166" fontId="14" fillId="7" borderId="5" xfId="0" applyNumberFormat="1" applyFont="1" applyFill="1" applyBorder="1" applyAlignment="1">
      <alignment horizontal="center" vertical="top"/>
    </xf>
    <xf numFmtId="0" fontId="3" fillId="7" borderId="35" xfId="0" applyFont="1" applyFill="1" applyBorder="1" applyAlignment="1">
      <alignment horizontal="left" vertical="top" wrapText="1"/>
    </xf>
    <xf numFmtId="0" fontId="24" fillId="7" borderId="28" xfId="0" applyFont="1" applyFill="1" applyBorder="1" applyAlignment="1">
      <alignment horizontal="left" vertical="top" wrapText="1"/>
    </xf>
    <xf numFmtId="166" fontId="4" fillId="7" borderId="73" xfId="0" applyNumberFormat="1" applyFont="1" applyFill="1" applyBorder="1" applyAlignment="1">
      <alignment horizontal="center" vertical="top" textRotation="90" wrapText="1"/>
    </xf>
    <xf numFmtId="166" fontId="3" fillId="7" borderId="0" xfId="0" applyNumberFormat="1" applyFont="1" applyFill="1" applyBorder="1" applyAlignment="1">
      <alignment horizontal="right" vertical="top" wrapText="1"/>
    </xf>
    <xf numFmtId="166" fontId="3" fillId="7" borderId="5" xfId="0" applyNumberFormat="1" applyFont="1" applyFill="1" applyBorder="1" applyAlignment="1">
      <alignment horizontal="right" vertical="top" wrapText="1"/>
    </xf>
    <xf numFmtId="166" fontId="3" fillId="7" borderId="80" xfId="0" applyNumberFormat="1" applyFont="1" applyFill="1" applyBorder="1" applyAlignment="1">
      <alignment horizontal="left" vertical="top" wrapText="1"/>
    </xf>
    <xf numFmtId="166" fontId="4" fillId="7" borderId="0" xfId="0" applyNumberFormat="1" applyFont="1" applyFill="1" applyBorder="1" applyAlignment="1">
      <alignment horizontal="center" vertical="top" wrapText="1"/>
    </xf>
    <xf numFmtId="0" fontId="3" fillId="7" borderId="35" xfId="0" applyFont="1" applyFill="1" applyBorder="1" applyAlignment="1">
      <alignment vertical="center" wrapText="1"/>
    </xf>
    <xf numFmtId="0" fontId="3" fillId="7" borderId="19" xfId="0" applyFont="1" applyFill="1" applyBorder="1" applyAlignment="1">
      <alignment horizontal="center" vertical="center"/>
    </xf>
    <xf numFmtId="0" fontId="3" fillId="7" borderId="19" xfId="0" applyFont="1" applyFill="1" applyBorder="1" applyAlignment="1">
      <alignment horizontal="right" vertical="center"/>
    </xf>
    <xf numFmtId="0" fontId="3" fillId="7" borderId="27" xfId="0" applyFont="1" applyFill="1" applyBorder="1" applyAlignment="1">
      <alignment horizontal="center" vertical="center"/>
    </xf>
    <xf numFmtId="0" fontId="3" fillId="7" borderId="27" xfId="0" applyFont="1" applyFill="1" applyBorder="1" applyAlignment="1">
      <alignment horizontal="right" vertical="center"/>
    </xf>
    <xf numFmtId="49" fontId="4" fillId="8" borderId="47" xfId="0" applyNumberFormat="1" applyFont="1" applyFill="1" applyBorder="1" applyAlignment="1">
      <alignment horizontal="center" vertical="top"/>
    </xf>
    <xf numFmtId="49" fontId="3" fillId="7" borderId="0" xfId="0" applyNumberFormat="1" applyFont="1" applyFill="1" applyBorder="1" applyAlignment="1">
      <alignment horizontal="center" vertical="top"/>
    </xf>
    <xf numFmtId="49" fontId="3" fillId="7" borderId="73" xfId="0" applyNumberFormat="1" applyFont="1" applyFill="1" applyBorder="1" applyAlignment="1">
      <alignment horizontal="center" vertical="top"/>
    </xf>
    <xf numFmtId="49" fontId="23" fillId="7" borderId="27" xfId="0" applyNumberFormat="1" applyFont="1" applyFill="1" applyBorder="1" applyAlignment="1">
      <alignment horizontal="center" vertical="top"/>
    </xf>
    <xf numFmtId="166" fontId="4" fillId="7" borderId="1" xfId="0" applyNumberFormat="1" applyFont="1" applyFill="1" applyBorder="1" applyAlignment="1">
      <alignment horizontal="center" vertical="top"/>
    </xf>
    <xf numFmtId="166" fontId="4" fillId="7" borderId="38" xfId="0" applyNumberFormat="1" applyFont="1" applyFill="1" applyBorder="1" applyAlignment="1">
      <alignment horizontal="center" vertical="top"/>
    </xf>
    <xf numFmtId="3" fontId="3" fillId="7" borderId="100" xfId="0" applyNumberFormat="1" applyFont="1" applyFill="1" applyBorder="1" applyAlignment="1">
      <alignment horizontal="center" vertical="top"/>
    </xf>
    <xf numFmtId="166" fontId="4" fillId="7" borderId="17" xfId="0" applyNumberFormat="1" applyFont="1" applyFill="1" applyBorder="1" applyAlignment="1">
      <alignment horizontal="center" vertical="top"/>
    </xf>
    <xf numFmtId="3" fontId="3" fillId="7" borderId="105" xfId="0" applyNumberFormat="1" applyFont="1" applyFill="1" applyBorder="1" applyAlignment="1">
      <alignment horizontal="center" vertical="top"/>
    </xf>
    <xf numFmtId="3" fontId="31" fillId="7" borderId="19" xfId="0" applyNumberFormat="1" applyFont="1" applyFill="1" applyBorder="1" applyAlignment="1">
      <alignment horizontal="center" vertical="center" wrapText="1"/>
    </xf>
    <xf numFmtId="3" fontId="7" fillId="7" borderId="45" xfId="0" applyNumberFormat="1" applyFont="1" applyFill="1" applyBorder="1" applyAlignment="1">
      <alignment horizontal="center" vertical="center" wrapText="1"/>
    </xf>
    <xf numFmtId="3" fontId="7" fillId="7" borderId="20" xfId="0" applyNumberFormat="1" applyFont="1" applyFill="1" applyBorder="1" applyAlignment="1">
      <alignment horizontal="center" vertical="center" wrapText="1"/>
    </xf>
    <xf numFmtId="166" fontId="4" fillId="7" borderId="9" xfId="0" applyNumberFormat="1" applyFont="1" applyFill="1" applyBorder="1" applyAlignment="1">
      <alignment horizontal="center" vertical="top"/>
    </xf>
    <xf numFmtId="49" fontId="3" fillId="7" borderId="90" xfId="0" applyNumberFormat="1" applyFont="1" applyFill="1" applyBorder="1" applyAlignment="1">
      <alignment horizontal="center" vertical="top"/>
    </xf>
    <xf numFmtId="49" fontId="3" fillId="7" borderId="84" xfId="0" applyNumberFormat="1" applyFont="1" applyFill="1" applyBorder="1" applyAlignment="1">
      <alignment horizontal="center" vertical="top"/>
    </xf>
    <xf numFmtId="166" fontId="3" fillId="7" borderId="0" xfId="0" applyNumberFormat="1" applyFont="1" applyFill="1" applyBorder="1" applyAlignment="1">
      <alignment vertical="top"/>
    </xf>
    <xf numFmtId="166" fontId="3" fillId="7" borderId="73" xfId="0" applyNumberFormat="1" applyFont="1" applyFill="1" applyBorder="1" applyAlignment="1">
      <alignment vertical="top"/>
    </xf>
    <xf numFmtId="3" fontId="24" fillId="7" borderId="73" xfId="0" applyNumberFormat="1" applyFont="1" applyFill="1" applyBorder="1" applyAlignment="1">
      <alignment horizontal="center" vertical="top"/>
    </xf>
    <xf numFmtId="166" fontId="4" fillId="9" borderId="6"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49" fontId="4" fillId="7" borderId="10" xfId="0" applyNumberFormat="1" applyFont="1" applyFill="1" applyBorder="1" applyAlignment="1">
      <alignment horizontal="center" vertical="top"/>
    </xf>
    <xf numFmtId="166" fontId="4" fillId="0" borderId="47" xfId="0" applyNumberFormat="1" applyFont="1" applyBorder="1" applyAlignment="1">
      <alignment horizontal="center" vertical="top"/>
    </xf>
    <xf numFmtId="166" fontId="4" fillId="7" borderId="10" xfId="0" applyNumberFormat="1" applyFont="1" applyFill="1" applyBorder="1" applyAlignment="1">
      <alignment horizontal="center" vertical="top"/>
    </xf>
    <xf numFmtId="166" fontId="3" fillId="2" borderId="68" xfId="0" applyNumberFormat="1" applyFont="1" applyFill="1" applyBorder="1" applyAlignment="1">
      <alignment horizontal="center" vertical="top" wrapText="1"/>
    </xf>
    <xf numFmtId="166" fontId="3" fillId="7" borderId="6" xfId="0" applyNumberFormat="1" applyFont="1" applyFill="1" applyBorder="1" applyAlignment="1">
      <alignment horizontal="left" vertical="top" wrapText="1"/>
    </xf>
    <xf numFmtId="166" fontId="4" fillId="7" borderId="47" xfId="0" applyNumberFormat="1" applyFont="1" applyFill="1" applyBorder="1" applyAlignment="1">
      <alignment horizontal="center" vertical="top"/>
    </xf>
    <xf numFmtId="166" fontId="4" fillId="7" borderId="10" xfId="0" applyNumberFormat="1" applyFont="1" applyFill="1" applyBorder="1" applyAlignment="1">
      <alignment horizontal="center" vertical="top" wrapText="1"/>
    </xf>
    <xf numFmtId="166" fontId="4" fillId="7" borderId="24" xfId="0" applyNumberFormat="1" applyFont="1" applyFill="1" applyBorder="1" applyAlignment="1">
      <alignment horizontal="center" vertical="top"/>
    </xf>
    <xf numFmtId="166" fontId="4" fillId="2" borderId="10" xfId="0" applyNumberFormat="1" applyFont="1" applyFill="1" applyBorder="1" applyAlignment="1">
      <alignment horizontal="center" vertical="top"/>
    </xf>
    <xf numFmtId="166" fontId="4" fillId="9" borderId="33" xfId="0" applyNumberFormat="1" applyFont="1" applyFill="1" applyBorder="1" applyAlignment="1">
      <alignment horizontal="center" vertical="top"/>
    </xf>
    <xf numFmtId="166" fontId="4" fillId="3" borderId="10"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2" borderId="10" xfId="0" applyNumberFormat="1" applyFont="1" applyFill="1" applyBorder="1" applyAlignment="1">
      <alignment horizontal="center" vertical="top"/>
    </xf>
    <xf numFmtId="49" fontId="4" fillId="2" borderId="47" xfId="0" applyNumberFormat="1" applyFont="1" applyFill="1" applyBorder="1" applyAlignment="1">
      <alignment horizontal="center" vertical="top"/>
    </xf>
    <xf numFmtId="166" fontId="4" fillId="7" borderId="40" xfId="0" applyNumberFormat="1" applyFont="1" applyFill="1" applyBorder="1" applyAlignment="1">
      <alignment horizontal="center" vertical="top"/>
    </xf>
    <xf numFmtId="166" fontId="4" fillId="7" borderId="55" xfId="0" applyNumberFormat="1" applyFont="1" applyFill="1" applyBorder="1" applyAlignment="1">
      <alignment horizontal="center" vertical="top"/>
    </xf>
    <xf numFmtId="166" fontId="4" fillId="9" borderId="4" xfId="0" applyNumberFormat="1" applyFont="1" applyFill="1" applyBorder="1" applyAlignment="1">
      <alignment horizontal="center" vertical="top"/>
    </xf>
    <xf numFmtId="166" fontId="4" fillId="9" borderId="8" xfId="0" applyNumberFormat="1" applyFont="1" applyFill="1" applyBorder="1" applyAlignment="1">
      <alignment horizontal="center" vertical="top"/>
    </xf>
    <xf numFmtId="166" fontId="4" fillId="2" borderId="24" xfId="0" applyNumberFormat="1" applyFont="1" applyFill="1" applyBorder="1" applyAlignment="1">
      <alignment horizontal="center" vertical="top"/>
    </xf>
    <xf numFmtId="166" fontId="4" fillId="2" borderId="29" xfId="0" applyNumberFormat="1" applyFont="1" applyFill="1" applyBorder="1" applyAlignment="1">
      <alignment horizontal="center" vertical="top"/>
    </xf>
    <xf numFmtId="49" fontId="4" fillId="7" borderId="47" xfId="0" applyNumberFormat="1" applyFont="1" applyFill="1" applyBorder="1" applyAlignment="1">
      <alignment horizontal="center" vertical="top"/>
    </xf>
    <xf numFmtId="166" fontId="3" fillId="7" borderId="46" xfId="0" applyNumberFormat="1" applyFont="1" applyFill="1" applyBorder="1" applyAlignment="1">
      <alignment horizontal="left" vertical="top" wrapText="1"/>
    </xf>
    <xf numFmtId="0" fontId="0" fillId="7" borderId="29" xfId="0" applyFill="1" applyBorder="1" applyAlignment="1">
      <alignment vertical="top" wrapText="1"/>
    </xf>
    <xf numFmtId="166" fontId="9" fillId="7" borderId="8" xfId="0" applyNumberFormat="1" applyFont="1" applyFill="1" applyBorder="1" applyAlignment="1">
      <alignment vertical="top" wrapText="1"/>
    </xf>
    <xf numFmtId="166" fontId="4" fillId="3" borderId="47" xfId="0" applyNumberFormat="1" applyFont="1" applyFill="1" applyBorder="1" applyAlignment="1">
      <alignment horizontal="center" vertical="top" wrapText="1"/>
    </xf>
    <xf numFmtId="166" fontId="3" fillId="7" borderId="28" xfId="0" applyNumberFormat="1" applyFont="1" applyFill="1" applyBorder="1" applyAlignment="1">
      <alignment horizontal="left" vertical="top" wrapText="1"/>
    </xf>
    <xf numFmtId="0" fontId="3" fillId="7" borderId="31" xfId="0" applyFont="1" applyFill="1" applyBorder="1" applyAlignment="1">
      <alignment vertical="top"/>
    </xf>
    <xf numFmtId="0" fontId="3" fillId="7" borderId="0" xfId="0" applyFont="1" applyFill="1" applyAlignment="1">
      <alignment vertical="top"/>
    </xf>
    <xf numFmtId="0" fontId="3" fillId="7" borderId="22" xfId="0" applyFont="1" applyFill="1" applyBorder="1" applyAlignment="1">
      <alignment horizontal="center" vertical="top"/>
    </xf>
    <xf numFmtId="165" fontId="3" fillId="7" borderId="5" xfId="0" applyNumberFormat="1" applyFont="1" applyFill="1" applyBorder="1" applyAlignment="1">
      <alignment horizontal="center" vertical="top"/>
    </xf>
    <xf numFmtId="165" fontId="3" fillId="7" borderId="22" xfId="0" applyNumberFormat="1" applyFont="1" applyFill="1" applyBorder="1" applyAlignment="1">
      <alignment horizontal="center" vertical="top"/>
    </xf>
    <xf numFmtId="166" fontId="8" fillId="3" borderId="47" xfId="0" applyNumberFormat="1" applyFont="1" applyFill="1" applyBorder="1" applyAlignment="1">
      <alignment horizontal="left" vertical="top" wrapText="1"/>
    </xf>
    <xf numFmtId="166" fontId="3" fillId="0" borderId="4" xfId="0" applyNumberFormat="1" applyFont="1" applyFill="1" applyBorder="1" applyAlignment="1">
      <alignment horizontal="left" vertical="top" wrapText="1"/>
    </xf>
    <xf numFmtId="3" fontId="3" fillId="7" borderId="40" xfId="0" applyNumberFormat="1" applyFont="1" applyFill="1" applyBorder="1" applyAlignment="1">
      <alignment horizontal="center" vertical="top" wrapText="1"/>
    </xf>
    <xf numFmtId="166" fontId="3" fillId="0" borderId="27" xfId="0" applyNumberFormat="1" applyFont="1" applyFill="1" applyBorder="1" applyAlignment="1">
      <alignment horizontal="center" vertical="top"/>
    </xf>
    <xf numFmtId="166" fontId="3" fillId="0" borderId="43" xfId="0" applyNumberFormat="1" applyFont="1" applyBorder="1" applyAlignment="1">
      <alignment vertical="top"/>
    </xf>
    <xf numFmtId="166" fontId="3" fillId="0" borderId="24" xfId="0" applyNumberFormat="1" applyFont="1" applyBorder="1" applyAlignment="1">
      <alignment vertical="top"/>
    </xf>
    <xf numFmtId="166" fontId="3" fillId="0" borderId="49" xfId="0" applyNumberFormat="1" applyFont="1" applyBorder="1" applyAlignment="1">
      <alignment vertical="top"/>
    </xf>
    <xf numFmtId="166" fontId="7" fillId="7" borderId="34" xfId="0" applyNumberFormat="1" applyFont="1" applyFill="1" applyBorder="1" applyAlignment="1">
      <alignment horizontal="center" vertical="center" textRotation="90" wrapText="1"/>
    </xf>
    <xf numFmtId="166" fontId="3" fillId="0" borderId="5" xfId="0" applyNumberFormat="1" applyFont="1" applyBorder="1" applyAlignment="1">
      <alignment vertical="top"/>
    </xf>
    <xf numFmtId="0" fontId="0" fillId="0" borderId="47" xfId="0" applyBorder="1" applyAlignment="1">
      <alignment vertical="top" wrapText="1"/>
    </xf>
    <xf numFmtId="49" fontId="7" fillId="7" borderId="96"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xf>
    <xf numFmtId="3" fontId="3" fillId="0" borderId="88" xfId="0" applyNumberFormat="1" applyFont="1" applyFill="1" applyBorder="1" applyAlignment="1">
      <alignment horizontal="center" vertical="top"/>
    </xf>
    <xf numFmtId="3" fontId="3" fillId="0" borderId="96" xfId="0" applyNumberFormat="1" applyFont="1" applyFill="1" applyBorder="1" applyAlignment="1">
      <alignment horizontal="center" vertical="top"/>
    </xf>
    <xf numFmtId="166" fontId="9" fillId="7" borderId="70" xfId="0" applyNumberFormat="1" applyFont="1" applyFill="1" applyBorder="1" applyAlignment="1">
      <alignment vertical="top" wrapText="1"/>
    </xf>
    <xf numFmtId="0" fontId="0" fillId="7" borderId="29" xfId="0" applyFill="1" applyBorder="1" applyAlignment="1">
      <alignment horizontal="center" textRotation="90" wrapText="1"/>
    </xf>
    <xf numFmtId="166" fontId="3" fillId="7" borderId="30" xfId="0" applyNumberFormat="1" applyFont="1" applyFill="1" applyBorder="1" applyAlignment="1">
      <alignment horizontal="center" vertical="top"/>
    </xf>
    <xf numFmtId="166" fontId="3" fillId="0" borderId="18" xfId="0" applyNumberFormat="1" applyFont="1" applyFill="1" applyBorder="1" applyAlignment="1">
      <alignment horizontal="left" vertical="top" wrapText="1"/>
    </xf>
    <xf numFmtId="166" fontId="3" fillId="0" borderId="52" xfId="0" applyNumberFormat="1" applyFont="1" applyFill="1" applyBorder="1" applyAlignment="1">
      <alignment horizontal="center" vertical="top"/>
    </xf>
    <xf numFmtId="166" fontId="24" fillId="7" borderId="28" xfId="0" applyNumberFormat="1" applyFont="1" applyFill="1" applyBorder="1" applyAlignment="1">
      <alignment horizontal="left" vertical="top" wrapText="1"/>
    </xf>
    <xf numFmtId="0" fontId="30" fillId="7" borderId="6" xfId="0" applyFont="1" applyFill="1" applyBorder="1" applyAlignment="1">
      <alignment vertical="top" wrapText="1"/>
    </xf>
    <xf numFmtId="0" fontId="33" fillId="0" borderId="0" xfId="0" applyFont="1" applyAlignment="1">
      <alignment horizontal="justify" vertical="center"/>
    </xf>
    <xf numFmtId="49" fontId="3" fillId="7" borderId="47" xfId="0" applyNumberFormat="1" applyFont="1" applyFill="1" applyBorder="1" applyAlignment="1">
      <alignment vertical="top" wrapText="1"/>
    </xf>
    <xf numFmtId="166" fontId="4" fillId="7" borderId="19" xfId="0" applyNumberFormat="1" applyFont="1" applyFill="1" applyBorder="1" applyAlignment="1">
      <alignment horizontal="center" vertical="top" wrapText="1"/>
    </xf>
    <xf numFmtId="166" fontId="4" fillId="7" borderId="47" xfId="0" applyNumberFormat="1" applyFont="1" applyFill="1" applyBorder="1" applyAlignment="1">
      <alignment horizontal="center" vertical="top"/>
    </xf>
    <xf numFmtId="0" fontId="0" fillId="7" borderId="27" xfId="0" applyFont="1" applyFill="1" applyBorder="1" applyAlignment="1">
      <alignment horizontal="center" vertical="top" textRotation="90" wrapText="1"/>
    </xf>
    <xf numFmtId="166" fontId="24" fillId="7" borderId="6" xfId="0" applyNumberFormat="1" applyFont="1" applyFill="1" applyBorder="1" applyAlignment="1">
      <alignment horizontal="left" vertical="top" wrapText="1"/>
    </xf>
    <xf numFmtId="0" fontId="29" fillId="7" borderId="62" xfId="0" applyFont="1" applyFill="1" applyBorder="1" applyAlignment="1">
      <alignment vertical="top"/>
    </xf>
    <xf numFmtId="0" fontId="3" fillId="0" borderId="0" xfId="0" applyFont="1" applyAlignment="1">
      <alignment horizontal="justify" vertical="center"/>
    </xf>
    <xf numFmtId="166" fontId="14" fillId="7" borderId="33" xfId="0" applyNumberFormat="1" applyFont="1" applyFill="1" applyBorder="1" applyAlignment="1">
      <alignment horizontal="center" vertical="top"/>
    </xf>
    <xf numFmtId="0" fontId="3" fillId="10" borderId="22" xfId="0" applyFont="1" applyFill="1" applyBorder="1" applyAlignment="1">
      <alignment horizontal="center" vertical="center"/>
    </xf>
    <xf numFmtId="166" fontId="3" fillId="10" borderId="5" xfId="0" applyNumberFormat="1" applyFont="1" applyFill="1" applyBorder="1" applyAlignment="1">
      <alignment horizontal="center" vertical="center"/>
    </xf>
    <xf numFmtId="0" fontId="3" fillId="10" borderId="62" xfId="0" applyFont="1" applyFill="1" applyBorder="1" applyAlignment="1">
      <alignment horizontal="center" vertical="center" wrapText="1"/>
    </xf>
    <xf numFmtId="166" fontId="16" fillId="7" borderId="27" xfId="0" applyNumberFormat="1" applyFont="1" applyFill="1" applyBorder="1" applyAlignment="1">
      <alignment horizontal="center" vertical="center" wrapText="1"/>
    </xf>
    <xf numFmtId="166" fontId="4" fillId="7" borderId="47" xfId="0" applyNumberFormat="1" applyFont="1" applyFill="1" applyBorder="1" applyAlignment="1">
      <alignment horizontal="center" vertical="top"/>
    </xf>
    <xf numFmtId="166" fontId="4" fillId="2" borderId="29" xfId="0" applyNumberFormat="1" applyFont="1" applyFill="1" applyBorder="1" applyAlignment="1">
      <alignment horizontal="center" vertical="top"/>
    </xf>
    <xf numFmtId="166" fontId="3" fillId="7" borderId="10" xfId="0" applyNumberFormat="1" applyFont="1" applyFill="1" applyBorder="1" applyAlignment="1">
      <alignment horizontal="center" vertical="center" textRotation="90" wrapText="1"/>
    </xf>
    <xf numFmtId="49" fontId="4" fillId="7" borderId="10" xfId="0" applyNumberFormat="1" applyFont="1" applyFill="1" applyBorder="1" applyAlignment="1">
      <alignment horizontal="center" vertical="top"/>
    </xf>
    <xf numFmtId="0" fontId="9" fillId="0" borderId="33" xfId="0" applyFont="1" applyBorder="1" applyAlignment="1">
      <alignment vertical="top" wrapText="1"/>
    </xf>
    <xf numFmtId="49" fontId="4" fillId="9" borderId="6" xfId="0" applyNumberFormat="1" applyFont="1" applyFill="1" applyBorder="1" applyAlignment="1">
      <alignment horizontal="center" vertical="top"/>
    </xf>
    <xf numFmtId="166" fontId="4" fillId="9" borderId="8" xfId="0" applyNumberFormat="1" applyFont="1" applyFill="1" applyBorder="1" applyAlignment="1">
      <alignment horizontal="center" vertical="top"/>
    </xf>
    <xf numFmtId="166" fontId="4" fillId="7" borderId="29"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49" fontId="4" fillId="2" borderId="47" xfId="0" applyNumberFormat="1" applyFont="1" applyFill="1" applyBorder="1" applyAlignment="1">
      <alignment horizontal="center" vertical="top"/>
    </xf>
    <xf numFmtId="166" fontId="4" fillId="7" borderId="10" xfId="0" applyNumberFormat="1" applyFont="1" applyFill="1" applyBorder="1" applyAlignment="1">
      <alignment horizontal="center" vertical="top" wrapText="1"/>
    </xf>
    <xf numFmtId="166" fontId="4" fillId="7" borderId="34" xfId="0" applyNumberFormat="1" applyFont="1" applyFill="1" applyBorder="1" applyAlignment="1">
      <alignment horizontal="center" vertical="top"/>
    </xf>
    <xf numFmtId="166" fontId="9" fillId="0" borderId="29" xfId="0" applyNumberFormat="1" applyFont="1" applyFill="1" applyBorder="1" applyAlignment="1">
      <alignment vertical="top" wrapText="1"/>
    </xf>
    <xf numFmtId="166" fontId="12" fillId="7" borderId="29" xfId="0" applyNumberFormat="1" applyFont="1" applyFill="1" applyBorder="1" applyAlignment="1">
      <alignment horizontal="center" vertical="center" textRotation="90" wrapText="1"/>
    </xf>
    <xf numFmtId="166" fontId="4" fillId="7" borderId="30" xfId="0" applyNumberFormat="1" applyFont="1" applyFill="1" applyBorder="1" applyAlignment="1">
      <alignment horizontal="center" vertical="top"/>
    </xf>
    <xf numFmtId="166" fontId="19" fillId="7" borderId="8" xfId="0" applyNumberFormat="1" applyFont="1" applyFill="1" applyBorder="1" applyAlignment="1">
      <alignment horizontal="left" vertical="top" wrapText="1"/>
    </xf>
    <xf numFmtId="3" fontId="3" fillId="7" borderId="29" xfId="0" applyNumberFormat="1" applyFont="1" applyFill="1" applyBorder="1" applyAlignment="1">
      <alignment horizontal="center" vertical="top"/>
    </xf>
    <xf numFmtId="3" fontId="31" fillId="7" borderId="10" xfId="0" applyNumberFormat="1" applyFont="1" applyFill="1" applyBorder="1" applyAlignment="1">
      <alignment horizontal="center" vertical="center" wrapText="1"/>
    </xf>
    <xf numFmtId="3" fontId="7" fillId="7" borderId="47" xfId="0" applyNumberFormat="1" applyFont="1" applyFill="1" applyBorder="1" applyAlignment="1">
      <alignment horizontal="center" vertical="center" wrapText="1"/>
    </xf>
    <xf numFmtId="3" fontId="7" fillId="7" borderId="17" xfId="0" applyNumberFormat="1" applyFont="1" applyFill="1" applyBorder="1" applyAlignment="1">
      <alignment horizontal="center" vertical="center" wrapText="1"/>
    </xf>
    <xf numFmtId="3" fontId="24" fillId="7" borderId="17" xfId="0" applyNumberFormat="1" applyFont="1" applyFill="1" applyBorder="1" applyAlignment="1">
      <alignment horizontal="center" vertical="top"/>
    </xf>
    <xf numFmtId="166" fontId="9" fillId="7" borderId="29" xfId="0" applyNumberFormat="1" applyFont="1" applyFill="1" applyBorder="1" applyAlignment="1">
      <alignment vertical="top" wrapText="1"/>
    </xf>
    <xf numFmtId="3" fontId="3" fillId="7" borderId="25" xfId="0" applyNumberFormat="1" applyFont="1" applyFill="1" applyBorder="1" applyAlignment="1">
      <alignment horizontal="center" vertical="top"/>
    </xf>
    <xf numFmtId="166" fontId="9" fillId="7" borderId="51" xfId="0" applyNumberFormat="1" applyFont="1" applyFill="1" applyBorder="1" applyAlignment="1">
      <alignment vertical="top" wrapText="1"/>
    </xf>
    <xf numFmtId="49" fontId="3" fillId="7" borderId="93" xfId="0" applyNumberFormat="1" applyFont="1" applyFill="1" applyBorder="1" applyAlignment="1">
      <alignment horizontal="center" vertical="top"/>
    </xf>
    <xf numFmtId="49" fontId="4" fillId="7" borderId="40" xfId="0" applyNumberFormat="1" applyFont="1" applyFill="1" applyBorder="1" applyAlignment="1">
      <alignment horizontal="center" vertical="top"/>
    </xf>
    <xf numFmtId="166" fontId="3" fillId="7" borderId="75" xfId="0" applyNumberFormat="1" applyFont="1" applyFill="1" applyBorder="1" applyAlignment="1">
      <alignment vertical="top"/>
    </xf>
    <xf numFmtId="166" fontId="3" fillId="7" borderId="76" xfId="0" applyNumberFormat="1" applyFont="1" applyFill="1" applyBorder="1" applyAlignment="1">
      <alignment vertical="top"/>
    </xf>
    <xf numFmtId="0" fontId="7" fillId="7" borderId="18" xfId="0" applyFont="1" applyFill="1" applyBorder="1" applyAlignment="1">
      <alignment vertical="top" textRotation="90" wrapText="1"/>
    </xf>
    <xf numFmtId="0" fontId="7" fillId="7" borderId="46" xfId="0" applyFont="1" applyFill="1" applyBorder="1" applyAlignment="1">
      <alignment vertical="top" textRotation="90" wrapText="1"/>
    </xf>
    <xf numFmtId="49" fontId="7" fillId="7" borderId="19" xfId="0" applyNumberFormat="1" applyFont="1" applyFill="1" applyBorder="1" applyAlignment="1">
      <alignment vertical="center" textRotation="90" wrapText="1"/>
    </xf>
    <xf numFmtId="0" fontId="3" fillId="7" borderId="20" xfId="0" applyFont="1" applyFill="1" applyBorder="1" applyAlignment="1">
      <alignment horizontal="right" vertical="center"/>
    </xf>
    <xf numFmtId="0" fontId="28" fillId="7" borderId="26" xfId="0" applyFont="1" applyFill="1" applyBorder="1" applyAlignment="1">
      <alignment horizontal="right" vertical="center"/>
    </xf>
    <xf numFmtId="49" fontId="4" fillId="2" borderId="24" xfId="0" applyNumberFormat="1" applyFont="1" applyFill="1" applyBorder="1" applyAlignment="1">
      <alignment horizontal="center" vertical="top"/>
    </xf>
    <xf numFmtId="49" fontId="4" fillId="8" borderId="24" xfId="0" applyNumberFormat="1" applyFont="1" applyFill="1" applyBorder="1" applyAlignment="1">
      <alignment horizontal="center" vertical="top"/>
    </xf>
    <xf numFmtId="49" fontId="7" fillId="7" borderId="24" xfId="0" applyNumberFormat="1" applyFont="1" applyFill="1" applyBorder="1" applyAlignment="1">
      <alignment horizontal="center" vertical="center" textRotation="90" wrapText="1"/>
    </xf>
    <xf numFmtId="0" fontId="0" fillId="7" borderId="25" xfId="0" applyFont="1" applyFill="1" applyBorder="1" applyAlignment="1">
      <alignment horizontal="center" vertical="top"/>
    </xf>
    <xf numFmtId="166" fontId="4" fillId="7" borderId="43" xfId="0" applyNumberFormat="1" applyFont="1" applyFill="1" applyBorder="1" applyAlignment="1">
      <alignment horizontal="center" vertical="top"/>
    </xf>
    <xf numFmtId="166" fontId="9" fillId="7" borderId="4" xfId="0" applyNumberFormat="1" applyFont="1" applyFill="1" applyBorder="1" applyAlignment="1">
      <alignment vertical="top" wrapText="1"/>
    </xf>
    <xf numFmtId="49" fontId="4" fillId="7" borderId="30" xfId="0" applyNumberFormat="1" applyFont="1" applyFill="1" applyBorder="1" applyAlignment="1">
      <alignment horizontal="center" vertical="top"/>
    </xf>
    <xf numFmtId="166" fontId="9" fillId="7" borderId="46" xfId="0" applyNumberFormat="1" applyFont="1" applyFill="1" applyBorder="1" applyAlignment="1">
      <alignment vertical="top" wrapText="1"/>
    </xf>
    <xf numFmtId="49" fontId="4" fillId="7" borderId="17" xfId="0" applyNumberFormat="1" applyFont="1" applyFill="1" applyBorder="1" applyAlignment="1">
      <alignment horizontal="center" vertical="top"/>
    </xf>
    <xf numFmtId="3" fontId="3" fillId="0" borderId="90" xfId="0" applyNumberFormat="1" applyFont="1" applyFill="1" applyBorder="1" applyAlignment="1">
      <alignment horizontal="center" vertical="top" wrapText="1"/>
    </xf>
    <xf numFmtId="3" fontId="3" fillId="0" borderId="84" xfId="0" applyNumberFormat="1" applyFont="1" applyFill="1" applyBorder="1" applyAlignment="1">
      <alignment horizontal="center" vertical="top" wrapText="1"/>
    </xf>
    <xf numFmtId="166" fontId="19" fillId="7" borderId="46" xfId="0" applyNumberFormat="1" applyFont="1" applyFill="1" applyBorder="1" applyAlignment="1">
      <alignment horizontal="center" vertical="center" textRotation="90" wrapText="1"/>
    </xf>
    <xf numFmtId="166" fontId="19" fillId="7" borderId="35" xfId="0" applyNumberFormat="1" applyFont="1" applyFill="1" applyBorder="1" applyAlignment="1">
      <alignment horizontal="center" vertical="top"/>
    </xf>
    <xf numFmtId="166" fontId="19" fillId="7" borderId="18" xfId="0" applyNumberFormat="1" applyFont="1" applyFill="1" applyBorder="1" applyAlignment="1">
      <alignment horizontal="center" vertical="center" textRotation="90" wrapText="1"/>
    </xf>
    <xf numFmtId="49" fontId="7" fillId="7" borderId="19" xfId="0" applyNumberFormat="1" applyFont="1" applyFill="1" applyBorder="1" applyAlignment="1">
      <alignment horizontal="center" vertical="center" textRotation="90" wrapText="1"/>
    </xf>
    <xf numFmtId="166" fontId="3" fillId="7" borderId="6" xfId="0" applyNumberFormat="1" applyFont="1" applyFill="1" applyBorder="1" applyAlignment="1">
      <alignment vertical="top" wrapText="1"/>
    </xf>
    <xf numFmtId="0" fontId="3" fillId="7" borderId="4" xfId="0" applyFont="1" applyFill="1" applyBorder="1" applyAlignment="1">
      <alignment vertical="top" wrapText="1"/>
    </xf>
    <xf numFmtId="3" fontId="3" fillId="7" borderId="40" xfId="0" applyNumberFormat="1" applyFont="1" applyFill="1" applyBorder="1" applyAlignment="1">
      <alignment horizontal="center" vertical="top"/>
    </xf>
    <xf numFmtId="3" fontId="3" fillId="0" borderId="113" xfId="0" applyNumberFormat="1" applyFont="1" applyFill="1" applyBorder="1" applyAlignment="1">
      <alignment horizontal="center" vertical="top"/>
    </xf>
    <xf numFmtId="3" fontId="3" fillId="0" borderId="108" xfId="0" applyNumberFormat="1" applyFont="1" applyFill="1" applyBorder="1" applyAlignment="1">
      <alignment horizontal="center" vertical="top"/>
    </xf>
    <xf numFmtId="166" fontId="2" fillId="7" borderId="1" xfId="0" applyNumberFormat="1" applyFont="1" applyFill="1" applyBorder="1" applyAlignment="1">
      <alignment horizontal="center" vertical="top" textRotation="90" wrapText="1"/>
    </xf>
    <xf numFmtId="166" fontId="3" fillId="7" borderId="21" xfId="0" applyNumberFormat="1" applyFont="1" applyFill="1" applyBorder="1" applyAlignment="1">
      <alignment horizontal="center" vertical="top"/>
    </xf>
    <xf numFmtId="166" fontId="3" fillId="7" borderId="65"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166" fontId="4" fillId="2" borderId="64" xfId="0" applyNumberFormat="1" applyFont="1" applyFill="1" applyBorder="1" applyAlignment="1">
      <alignment horizontal="center" vertical="top"/>
    </xf>
    <xf numFmtId="166" fontId="19" fillId="7" borderId="6" xfId="0" applyNumberFormat="1" applyFont="1" applyFill="1" applyBorder="1" applyAlignment="1">
      <alignment vertical="top" wrapText="1"/>
    </xf>
    <xf numFmtId="0" fontId="34" fillId="0" borderId="0" xfId="0" applyFont="1" applyAlignment="1">
      <alignment horizontal="justify" vertical="center"/>
    </xf>
    <xf numFmtId="166" fontId="4" fillId="9" borderId="6" xfId="0" applyNumberFormat="1" applyFont="1" applyFill="1" applyBorder="1" applyAlignment="1">
      <alignment horizontal="center" vertical="top"/>
    </xf>
    <xf numFmtId="166" fontId="4" fillId="7" borderId="10"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0" fontId="3" fillId="7" borderId="0" xfId="0" applyFont="1" applyFill="1" applyBorder="1" applyAlignment="1">
      <alignment horizontal="center" vertical="center"/>
    </xf>
    <xf numFmtId="166" fontId="3" fillId="7" borderId="95" xfId="0" applyNumberFormat="1" applyFont="1" applyFill="1" applyBorder="1" applyAlignment="1">
      <alignment horizontal="center" vertical="top"/>
    </xf>
    <xf numFmtId="3" fontId="7" fillId="7" borderId="103" xfId="0" applyNumberFormat="1" applyFont="1" applyFill="1" applyBorder="1" applyAlignment="1">
      <alignment horizontal="center" vertical="top"/>
    </xf>
    <xf numFmtId="3" fontId="7" fillId="7" borderId="79" xfId="0" applyNumberFormat="1" applyFont="1" applyFill="1" applyBorder="1" applyAlignment="1">
      <alignment horizontal="center" vertical="top"/>
    </xf>
    <xf numFmtId="166" fontId="2" fillId="7" borderId="19" xfId="0" applyNumberFormat="1" applyFont="1" applyFill="1" applyBorder="1" applyAlignment="1">
      <alignment horizontal="center" vertical="top" textRotation="90" wrapText="1"/>
    </xf>
    <xf numFmtId="3" fontId="24" fillId="7" borderId="58" xfId="0" applyNumberFormat="1" applyFont="1" applyFill="1" applyBorder="1" applyAlignment="1">
      <alignment horizontal="center" vertical="top" wrapText="1"/>
    </xf>
    <xf numFmtId="3" fontId="24" fillId="7" borderId="73" xfId="0" applyNumberFormat="1" applyFont="1" applyFill="1" applyBorder="1" applyAlignment="1">
      <alignment horizontal="center" vertical="top" wrapText="1"/>
    </xf>
    <xf numFmtId="3" fontId="24" fillId="7" borderId="0"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xf>
    <xf numFmtId="3" fontId="3" fillId="7" borderId="93" xfId="0" applyNumberFormat="1" applyFont="1" applyFill="1" applyBorder="1" applyAlignment="1">
      <alignment horizontal="center" vertical="top" wrapText="1"/>
    </xf>
    <xf numFmtId="3" fontId="3" fillId="7" borderId="58" xfId="0" applyNumberFormat="1" applyFont="1" applyFill="1" applyBorder="1" applyAlignment="1">
      <alignment horizontal="center" vertical="top" wrapText="1"/>
    </xf>
    <xf numFmtId="3" fontId="3" fillId="7" borderId="73" xfId="0" applyNumberFormat="1" applyFont="1" applyFill="1" applyBorder="1" applyAlignment="1">
      <alignment horizontal="center" vertical="top" wrapText="1"/>
    </xf>
    <xf numFmtId="3" fontId="24" fillId="7" borderId="58" xfId="0" applyNumberFormat="1" applyFont="1" applyFill="1" applyBorder="1" applyAlignment="1">
      <alignment horizontal="center" vertical="top"/>
    </xf>
    <xf numFmtId="3" fontId="3" fillId="0" borderId="73" xfId="0" applyNumberFormat="1" applyFont="1" applyFill="1" applyBorder="1" applyAlignment="1">
      <alignment horizontal="center" vertical="top"/>
    </xf>
    <xf numFmtId="3" fontId="3" fillId="0" borderId="71" xfId="0" applyNumberFormat="1" applyFont="1" applyFill="1" applyBorder="1" applyAlignment="1">
      <alignment horizontal="center" vertical="top"/>
    </xf>
    <xf numFmtId="3" fontId="3" fillId="7" borderId="50" xfId="0" applyNumberFormat="1" applyFont="1" applyFill="1" applyBorder="1" applyAlignment="1">
      <alignment horizontal="center" vertical="top" wrapText="1"/>
    </xf>
    <xf numFmtId="3" fontId="3" fillId="7" borderId="0" xfId="0" applyNumberFormat="1" applyFont="1" applyFill="1" applyBorder="1" applyAlignment="1">
      <alignment horizontal="center" vertical="top" wrapText="1"/>
    </xf>
    <xf numFmtId="3" fontId="24" fillId="7" borderId="0" xfId="1" applyNumberFormat="1" applyFont="1" applyFill="1" applyBorder="1" applyAlignment="1">
      <alignment horizontal="center" vertical="top" wrapText="1"/>
    </xf>
    <xf numFmtId="166" fontId="3" fillId="0" borderId="50" xfId="0" applyNumberFormat="1" applyFont="1" applyBorder="1" applyAlignment="1">
      <alignment vertical="top"/>
    </xf>
    <xf numFmtId="166" fontId="3" fillId="0" borderId="47" xfId="0" applyNumberFormat="1" applyFont="1" applyFill="1" applyBorder="1" applyAlignment="1">
      <alignment horizontal="center" vertical="top"/>
    </xf>
    <xf numFmtId="3" fontId="3" fillId="0" borderId="109" xfId="0" applyNumberFormat="1" applyFont="1" applyFill="1" applyBorder="1" applyAlignment="1">
      <alignment horizontal="center" vertical="top"/>
    </xf>
    <xf numFmtId="166" fontId="3" fillId="7" borderId="31" xfId="0" applyNumberFormat="1" applyFont="1" applyFill="1" applyBorder="1" applyAlignment="1">
      <alignment horizontal="center" vertical="top"/>
    </xf>
    <xf numFmtId="3" fontId="3" fillId="0" borderId="60" xfId="0" applyNumberFormat="1" applyFont="1" applyFill="1" applyBorder="1" applyAlignment="1">
      <alignment horizontal="center" vertical="top"/>
    </xf>
    <xf numFmtId="3" fontId="3" fillId="0" borderId="58" xfId="0" applyNumberFormat="1" applyFont="1" applyFill="1" applyBorder="1" applyAlignment="1">
      <alignment horizontal="center" vertical="top"/>
    </xf>
    <xf numFmtId="166" fontId="3" fillId="0" borderId="50" xfId="0" applyNumberFormat="1" applyFont="1" applyFill="1" applyBorder="1" applyAlignment="1">
      <alignment horizontal="center" vertical="top"/>
    </xf>
    <xf numFmtId="166" fontId="3" fillId="0" borderId="73" xfId="0" applyNumberFormat="1" applyFont="1" applyFill="1" applyBorder="1" applyAlignment="1">
      <alignment horizontal="center" vertical="top"/>
    </xf>
    <xf numFmtId="166" fontId="3" fillId="0" borderId="58" xfId="0" applyNumberFormat="1" applyFont="1" applyFill="1" applyBorder="1" applyAlignment="1">
      <alignment horizontal="center" vertical="top"/>
    </xf>
    <xf numFmtId="49" fontId="3" fillId="0" borderId="93" xfId="0" applyNumberFormat="1" applyFont="1" applyFill="1" applyBorder="1" applyAlignment="1">
      <alignment horizontal="center" vertical="top"/>
    </xf>
    <xf numFmtId="166" fontId="3" fillId="0" borderId="111" xfId="0" applyNumberFormat="1" applyFont="1" applyFill="1" applyBorder="1" applyAlignment="1">
      <alignment horizontal="center" vertical="top"/>
    </xf>
    <xf numFmtId="166" fontId="7" fillId="7" borderId="31" xfId="0" applyNumberFormat="1" applyFont="1" applyFill="1" applyBorder="1" applyAlignment="1">
      <alignment horizontal="center" vertical="top" wrapText="1"/>
    </xf>
    <xf numFmtId="3" fontId="3" fillId="7" borderId="88" xfId="0" applyNumberFormat="1" applyFont="1" applyFill="1" applyBorder="1" applyAlignment="1">
      <alignment horizontal="center" vertical="top" wrapText="1"/>
    </xf>
    <xf numFmtId="3" fontId="7" fillId="7" borderId="45" xfId="0" applyNumberFormat="1" applyFont="1" applyFill="1" applyBorder="1" applyAlignment="1">
      <alignment horizontal="center" vertical="top" wrapText="1"/>
    </xf>
    <xf numFmtId="3" fontId="7" fillId="7" borderId="34" xfId="0" applyNumberFormat="1" applyFont="1" applyFill="1" applyBorder="1" applyAlignment="1">
      <alignment horizontal="center" vertical="center" wrapText="1"/>
    </xf>
    <xf numFmtId="3" fontId="14" fillId="7" borderId="45" xfId="0" applyNumberFormat="1" applyFont="1" applyFill="1" applyBorder="1" applyAlignment="1">
      <alignment horizontal="center" vertical="top"/>
    </xf>
    <xf numFmtId="3" fontId="14" fillId="7" borderId="47" xfId="0" applyNumberFormat="1" applyFont="1" applyFill="1" applyBorder="1" applyAlignment="1">
      <alignment horizontal="center" vertical="top"/>
    </xf>
    <xf numFmtId="3" fontId="3" fillId="0" borderId="25" xfId="0" applyNumberFormat="1" applyFont="1" applyFill="1" applyBorder="1" applyAlignment="1">
      <alignment horizontal="center" vertical="top"/>
    </xf>
    <xf numFmtId="3" fontId="24" fillId="7" borderId="17" xfId="1" applyNumberFormat="1" applyFont="1" applyFill="1" applyBorder="1" applyAlignment="1">
      <alignment horizontal="center" vertical="top" wrapText="1"/>
    </xf>
    <xf numFmtId="3" fontId="3" fillId="7" borderId="113" xfId="0" applyNumberFormat="1" applyFont="1" applyFill="1" applyBorder="1" applyAlignment="1">
      <alignment horizontal="center" vertical="top"/>
    </xf>
    <xf numFmtId="0" fontId="3" fillId="7" borderId="45" xfId="0" applyFont="1" applyFill="1" applyBorder="1" applyAlignment="1">
      <alignment horizontal="right" vertical="center"/>
    </xf>
    <xf numFmtId="0" fontId="28" fillId="7" borderId="34" xfId="0" applyFont="1" applyFill="1" applyBorder="1" applyAlignment="1">
      <alignment horizontal="right" vertical="center"/>
    </xf>
    <xf numFmtId="3" fontId="3" fillId="7" borderId="106" xfId="0" applyNumberFormat="1" applyFont="1" applyFill="1" applyBorder="1" applyAlignment="1">
      <alignment horizontal="center" vertical="top"/>
    </xf>
    <xf numFmtId="166" fontId="4" fillId="2" borderId="70" xfId="0" applyNumberFormat="1" applyFont="1" applyFill="1" applyBorder="1" applyAlignment="1">
      <alignment horizontal="center" vertical="top"/>
    </xf>
    <xf numFmtId="166" fontId="3" fillId="7" borderId="39" xfId="0" applyNumberFormat="1" applyFont="1" applyFill="1" applyBorder="1" applyAlignment="1">
      <alignment horizontal="center" vertical="top"/>
    </xf>
    <xf numFmtId="166" fontId="4" fillId="5" borderId="54" xfId="0" applyNumberFormat="1" applyFont="1" applyFill="1" applyBorder="1" applyAlignment="1">
      <alignment horizontal="center" vertical="top"/>
    </xf>
    <xf numFmtId="166" fontId="7" fillId="7" borderId="30" xfId="0" applyNumberFormat="1" applyFont="1" applyFill="1" applyBorder="1" applyAlignment="1">
      <alignment horizontal="center" vertical="top" wrapText="1"/>
    </xf>
    <xf numFmtId="166" fontId="14" fillId="7" borderId="0" xfId="0" applyNumberFormat="1" applyFont="1" applyFill="1" applyBorder="1" applyAlignment="1">
      <alignment horizontal="center" vertical="top"/>
    </xf>
    <xf numFmtId="166" fontId="14" fillId="7" borderId="73" xfId="0" applyNumberFormat="1" applyFont="1" applyFill="1" applyBorder="1" applyAlignment="1">
      <alignment horizontal="center" vertical="top"/>
    </xf>
    <xf numFmtId="3" fontId="14" fillId="3" borderId="58" xfId="0" applyNumberFormat="1" applyFont="1" applyFill="1" applyBorder="1" applyAlignment="1">
      <alignment horizontal="center" vertical="top" wrapText="1"/>
    </xf>
    <xf numFmtId="0" fontId="4" fillId="0" borderId="0" xfId="0" applyNumberFormat="1" applyFont="1" applyFill="1" applyAlignment="1">
      <alignment vertical="top"/>
    </xf>
    <xf numFmtId="0" fontId="3" fillId="0" borderId="0" xfId="0" applyFont="1" applyFill="1" applyAlignment="1">
      <alignment horizontal="center" vertical="top"/>
    </xf>
    <xf numFmtId="3" fontId="3" fillId="0" borderId="0" xfId="0" applyNumberFormat="1" applyFont="1" applyFill="1" applyAlignment="1">
      <alignment vertical="top"/>
    </xf>
    <xf numFmtId="166" fontId="4" fillId="7" borderId="10" xfId="0" applyNumberFormat="1" applyFont="1" applyFill="1" applyBorder="1" applyAlignment="1">
      <alignment horizontal="center" vertical="top"/>
    </xf>
    <xf numFmtId="166" fontId="4" fillId="9" borderId="6" xfId="0" applyNumberFormat="1" applyFont="1" applyFill="1" applyBorder="1" applyAlignment="1">
      <alignment horizontal="center" vertical="top"/>
    </xf>
    <xf numFmtId="166" fontId="3" fillId="7" borderId="47" xfId="0" applyNumberFormat="1" applyFont="1" applyFill="1" applyBorder="1" applyAlignment="1">
      <alignment vertical="top" wrapText="1"/>
    </xf>
    <xf numFmtId="166" fontId="3" fillId="7" borderId="6" xfId="0" applyNumberFormat="1" applyFont="1" applyFill="1" applyBorder="1" applyAlignment="1">
      <alignment horizontal="left" vertical="top" wrapText="1"/>
    </xf>
    <xf numFmtId="166" fontId="4" fillId="9" borderId="4" xfId="0" applyNumberFormat="1" applyFont="1" applyFill="1" applyBorder="1" applyAlignment="1">
      <alignment horizontal="center" vertical="top"/>
    </xf>
    <xf numFmtId="166" fontId="4" fillId="9" borderId="8"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166" fontId="4" fillId="0" borderId="10" xfId="0" applyNumberFormat="1" applyFont="1" applyFill="1" applyBorder="1" applyAlignment="1">
      <alignment horizontal="center" vertical="top" wrapText="1"/>
    </xf>
    <xf numFmtId="166" fontId="4" fillId="7" borderId="10" xfId="0" applyNumberFormat="1" applyFont="1" applyFill="1" applyBorder="1" applyAlignment="1">
      <alignment horizontal="center" vertical="top" wrapText="1"/>
    </xf>
    <xf numFmtId="166" fontId="4" fillId="9" borderId="33" xfId="0" applyNumberFormat="1" applyFont="1" applyFill="1" applyBorder="1" applyAlignment="1">
      <alignment horizontal="center" vertical="top"/>
    </xf>
    <xf numFmtId="166" fontId="3" fillId="7" borderId="77" xfId="0" applyNumberFormat="1" applyFont="1" applyFill="1" applyBorder="1" applyAlignment="1">
      <alignment horizontal="left" vertical="top" wrapText="1"/>
    </xf>
    <xf numFmtId="166" fontId="4" fillId="7" borderId="24" xfId="0" applyNumberFormat="1" applyFont="1" applyFill="1" applyBorder="1" applyAlignment="1">
      <alignment horizontal="center" vertical="top"/>
    </xf>
    <xf numFmtId="166" fontId="4" fillId="7" borderId="29" xfId="0" applyNumberFormat="1" applyFont="1" applyFill="1" applyBorder="1" applyAlignment="1">
      <alignment horizontal="center" vertical="top"/>
    </xf>
    <xf numFmtId="166" fontId="4" fillId="7" borderId="47" xfId="0" applyNumberFormat="1" applyFont="1" applyFill="1" applyBorder="1" applyAlignment="1">
      <alignment horizontal="center" vertical="top" wrapText="1"/>
    </xf>
    <xf numFmtId="3" fontId="3" fillId="7" borderId="78" xfId="0" applyNumberFormat="1" applyFont="1" applyFill="1" applyBorder="1" applyAlignment="1">
      <alignment horizontal="center" vertical="top"/>
    </xf>
    <xf numFmtId="49" fontId="14" fillId="7" borderId="100" xfId="0" applyNumberFormat="1" applyFont="1" applyFill="1" applyBorder="1" applyAlignment="1">
      <alignment horizontal="center" vertical="top"/>
    </xf>
    <xf numFmtId="0" fontId="3" fillId="0" borderId="0" xfId="0" applyFont="1" applyFill="1" applyBorder="1" applyAlignment="1">
      <alignment vertical="top"/>
    </xf>
    <xf numFmtId="166" fontId="14" fillId="7" borderId="58" xfId="0" applyNumberFormat="1" applyFont="1" applyFill="1" applyBorder="1" applyAlignment="1">
      <alignment horizontal="center" vertical="top"/>
    </xf>
    <xf numFmtId="166" fontId="4" fillId="2" borderId="10" xfId="0" applyNumberFormat="1" applyFont="1" applyFill="1" applyBorder="1" applyAlignment="1">
      <alignment horizontal="center" vertical="top"/>
    </xf>
    <xf numFmtId="166" fontId="4" fillId="7" borderId="10" xfId="0" applyNumberFormat="1" applyFont="1" applyFill="1" applyBorder="1" applyAlignment="1">
      <alignment horizontal="center" vertical="top"/>
    </xf>
    <xf numFmtId="166" fontId="3" fillId="7" borderId="6" xfId="0" applyNumberFormat="1" applyFont="1" applyFill="1" applyBorder="1" applyAlignment="1">
      <alignment horizontal="left" vertical="top" wrapText="1"/>
    </xf>
    <xf numFmtId="166" fontId="4" fillId="7" borderId="47" xfId="0" applyNumberFormat="1" applyFont="1" applyFill="1" applyBorder="1" applyAlignment="1">
      <alignment horizontal="center" vertical="top"/>
    </xf>
    <xf numFmtId="166" fontId="4" fillId="9" borderId="33" xfId="0" applyNumberFormat="1" applyFont="1" applyFill="1" applyBorder="1" applyAlignment="1">
      <alignment horizontal="center" vertical="top"/>
    </xf>
    <xf numFmtId="166" fontId="3" fillId="7" borderId="6" xfId="0" applyNumberFormat="1" applyFont="1" applyFill="1" applyBorder="1" applyAlignment="1">
      <alignment vertical="top" wrapText="1"/>
    </xf>
    <xf numFmtId="166" fontId="16" fillId="7" borderId="10" xfId="0" applyNumberFormat="1" applyFont="1" applyFill="1" applyBorder="1" applyAlignment="1">
      <alignment horizontal="center" vertical="center" wrapText="1"/>
    </xf>
    <xf numFmtId="166" fontId="14" fillId="7" borderId="0" xfId="0" applyNumberFormat="1" applyFont="1" applyFill="1" applyBorder="1" applyAlignment="1">
      <alignment horizontal="center" vertical="top" wrapText="1"/>
    </xf>
    <xf numFmtId="0" fontId="0" fillId="7" borderId="47" xfId="0" applyFill="1" applyBorder="1" applyAlignment="1">
      <alignment horizontal="left" vertical="top" wrapText="1"/>
    </xf>
    <xf numFmtId="0" fontId="0" fillId="0" borderId="34" xfId="0" applyFill="1" applyBorder="1" applyAlignment="1">
      <alignment horizontal="left" vertical="top" wrapText="1"/>
    </xf>
    <xf numFmtId="3" fontId="14" fillId="3" borderId="19" xfId="0" applyNumberFormat="1" applyFont="1" applyFill="1" applyBorder="1" applyAlignment="1">
      <alignment horizontal="center" vertical="top" wrapText="1"/>
    </xf>
    <xf numFmtId="166" fontId="32" fillId="7" borderId="19" xfId="0" applyNumberFormat="1" applyFont="1" applyFill="1" applyBorder="1" applyAlignment="1">
      <alignment horizontal="center" vertical="center" wrapText="1"/>
    </xf>
    <xf numFmtId="166" fontId="36" fillId="7" borderId="27" xfId="0" applyNumberFormat="1" applyFont="1" applyFill="1" applyBorder="1" applyAlignment="1">
      <alignment horizontal="center" vertical="center" wrapText="1"/>
    </xf>
    <xf numFmtId="166" fontId="32" fillId="7" borderId="10" xfId="0" applyNumberFormat="1" applyFont="1" applyFill="1" applyBorder="1" applyAlignment="1">
      <alignment horizontal="center" vertical="center" wrapText="1"/>
    </xf>
    <xf numFmtId="166" fontId="36" fillId="7" borderId="10" xfId="0" applyNumberFormat="1" applyFont="1" applyFill="1" applyBorder="1" applyAlignment="1">
      <alignment horizontal="center" vertical="center" wrapText="1"/>
    </xf>
    <xf numFmtId="166" fontId="14" fillId="7" borderId="44" xfId="0" applyNumberFormat="1" applyFont="1" applyFill="1" applyBorder="1" applyAlignment="1">
      <alignment vertical="top" wrapText="1"/>
    </xf>
    <xf numFmtId="0" fontId="14" fillId="0" borderId="46" xfId="0" applyFont="1"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0" fontId="9" fillId="0" borderId="0" xfId="0" applyFont="1" applyFill="1"/>
    <xf numFmtId="165" fontId="3" fillId="0" borderId="0" xfId="0" applyNumberFormat="1" applyFont="1" applyFill="1" applyBorder="1" applyAlignment="1">
      <alignment vertical="top"/>
    </xf>
    <xf numFmtId="164" fontId="3" fillId="0" borderId="0" xfId="1" applyFont="1" applyFill="1" applyBorder="1" applyAlignment="1">
      <alignment vertical="top"/>
    </xf>
    <xf numFmtId="166" fontId="3" fillId="0" borderId="0" xfId="0" applyNumberFormat="1" applyFont="1" applyFill="1" applyBorder="1" applyAlignment="1">
      <alignment vertical="top"/>
    </xf>
    <xf numFmtId="0" fontId="34" fillId="0" borderId="0" xfId="0" applyFont="1" applyFill="1" applyAlignment="1">
      <alignment horizontal="justify" vertical="center"/>
    </xf>
    <xf numFmtId="166" fontId="3" fillId="0" borderId="0" xfId="0" applyNumberFormat="1" applyFont="1" applyFill="1" applyAlignment="1">
      <alignment vertical="top"/>
    </xf>
    <xf numFmtId="3" fontId="14" fillId="7" borderId="1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xf>
    <xf numFmtId="3" fontId="24" fillId="7" borderId="17" xfId="0" applyNumberFormat="1" applyFont="1" applyFill="1" applyBorder="1" applyAlignment="1">
      <alignment horizontal="center" vertical="top" wrapText="1"/>
    </xf>
    <xf numFmtId="166" fontId="4" fillId="4" borderId="70" xfId="0" applyNumberFormat="1" applyFont="1" applyFill="1" applyBorder="1" applyAlignment="1">
      <alignment horizontal="center" vertical="top" wrapText="1"/>
    </xf>
    <xf numFmtId="3" fontId="4" fillId="0" borderId="66" xfId="0" applyNumberFormat="1" applyFont="1" applyBorder="1" applyAlignment="1">
      <alignment horizontal="center" vertical="center" wrapText="1"/>
    </xf>
    <xf numFmtId="166" fontId="4" fillId="5" borderId="66" xfId="0" applyNumberFormat="1" applyFont="1" applyFill="1" applyBorder="1" applyAlignment="1">
      <alignment horizontal="center" vertical="top" wrapText="1"/>
    </xf>
    <xf numFmtId="166" fontId="4" fillId="8" borderId="65" xfId="0" applyNumberFormat="1" applyFont="1" applyFill="1" applyBorder="1" applyAlignment="1">
      <alignment horizontal="center" vertical="top" wrapText="1"/>
    </xf>
    <xf numFmtId="166" fontId="3" fillId="7" borderId="65" xfId="0" applyNumberFormat="1" applyFont="1" applyFill="1" applyBorder="1" applyAlignment="1">
      <alignment horizontal="center" vertical="top" wrapText="1"/>
    </xf>
    <xf numFmtId="166" fontId="3" fillId="0" borderId="65" xfId="0" applyNumberFormat="1" applyFont="1" applyBorder="1" applyAlignment="1">
      <alignment horizontal="center" vertical="top" wrapText="1"/>
    </xf>
    <xf numFmtId="166" fontId="3" fillId="8" borderId="65" xfId="0" applyNumberFormat="1" applyFont="1" applyFill="1" applyBorder="1" applyAlignment="1">
      <alignment horizontal="center" vertical="top" wrapText="1"/>
    </xf>
    <xf numFmtId="166" fontId="4" fillId="5" borderId="65" xfId="0" applyNumberFormat="1" applyFont="1" applyFill="1" applyBorder="1" applyAlignment="1">
      <alignment horizontal="center" vertical="top" wrapText="1"/>
    </xf>
    <xf numFmtId="3" fontId="3" fillId="7" borderId="79" xfId="0" applyNumberFormat="1" applyFont="1" applyFill="1" applyBorder="1" applyAlignment="1">
      <alignment horizontal="center" vertical="top"/>
    </xf>
    <xf numFmtId="0" fontId="3" fillId="0" borderId="73" xfId="0" applyFont="1" applyBorder="1" applyAlignment="1">
      <alignment vertical="top"/>
    </xf>
    <xf numFmtId="3" fontId="3" fillId="0" borderId="71" xfId="0" applyNumberFormat="1" applyFont="1" applyFill="1" applyBorder="1" applyAlignment="1">
      <alignment horizontal="center" vertical="top" wrapText="1"/>
    </xf>
    <xf numFmtId="3" fontId="3" fillId="3" borderId="58" xfId="0" applyNumberFormat="1" applyFont="1" applyFill="1" applyBorder="1" applyAlignment="1">
      <alignment horizontal="center" vertical="top" wrapText="1"/>
    </xf>
    <xf numFmtId="166" fontId="3" fillId="0" borderId="71" xfId="0" applyNumberFormat="1" applyFont="1" applyBorder="1" applyAlignment="1">
      <alignment vertical="top"/>
    </xf>
    <xf numFmtId="3" fontId="3" fillId="7" borderId="50" xfId="0" applyNumberFormat="1" applyFont="1" applyFill="1" applyBorder="1" applyAlignment="1">
      <alignment horizontal="center" vertical="top"/>
    </xf>
    <xf numFmtId="3" fontId="7" fillId="7" borderId="73" xfId="0" applyNumberFormat="1" applyFont="1" applyFill="1" applyBorder="1" applyAlignment="1">
      <alignment horizontal="center" vertical="top" wrapText="1"/>
    </xf>
    <xf numFmtId="166" fontId="3" fillId="8" borderId="31" xfId="0" applyNumberFormat="1" applyFont="1" applyFill="1" applyBorder="1" applyAlignment="1">
      <alignment horizontal="center" vertical="top"/>
    </xf>
    <xf numFmtId="166" fontId="3" fillId="0" borderId="62" xfId="0" applyNumberFormat="1" applyFont="1" applyFill="1" applyBorder="1" applyAlignment="1">
      <alignment horizontal="center" vertical="top" wrapText="1"/>
    </xf>
    <xf numFmtId="166" fontId="3" fillId="0" borderId="62" xfId="0" applyNumberFormat="1" applyFont="1" applyFill="1" applyBorder="1" applyAlignment="1">
      <alignment horizontal="center" vertical="top"/>
    </xf>
    <xf numFmtId="166" fontId="3" fillId="0" borderId="62" xfId="1" applyNumberFormat="1" applyFont="1" applyFill="1" applyBorder="1" applyAlignment="1">
      <alignment horizontal="center" vertical="top" wrapText="1"/>
    </xf>
    <xf numFmtId="166" fontId="3" fillId="7" borderId="5" xfId="0" applyNumberFormat="1" applyFont="1" applyFill="1" applyBorder="1" applyAlignment="1">
      <alignment horizontal="center" vertical="center" wrapText="1"/>
    </xf>
    <xf numFmtId="0" fontId="3" fillId="0" borderId="16" xfId="0" applyFont="1" applyBorder="1" applyAlignment="1">
      <alignment vertical="top"/>
    </xf>
    <xf numFmtId="3" fontId="24" fillId="7" borderId="20" xfId="0" applyNumberFormat="1" applyFont="1" applyFill="1" applyBorder="1" applyAlignment="1">
      <alignment horizontal="center" vertical="top" wrapText="1"/>
    </xf>
    <xf numFmtId="3" fontId="24" fillId="7" borderId="26"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xf>
    <xf numFmtId="3" fontId="24" fillId="7"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0" fontId="37" fillId="0" borderId="9" xfId="0" applyFont="1" applyBorder="1" applyAlignment="1">
      <alignment horizontal="center" vertical="center" wrapText="1"/>
    </xf>
    <xf numFmtId="166" fontId="14" fillId="7" borderId="7" xfId="0" applyNumberFormat="1" applyFont="1" applyFill="1" applyBorder="1" applyAlignment="1">
      <alignment horizontal="center" vertical="top"/>
    </xf>
    <xf numFmtId="166" fontId="14" fillId="7" borderId="5" xfId="0" applyNumberFormat="1" applyFont="1" applyFill="1" applyBorder="1" applyAlignment="1">
      <alignment horizontal="center" vertical="top" wrapText="1"/>
    </xf>
    <xf numFmtId="166" fontId="14" fillId="7" borderId="7" xfId="0" applyNumberFormat="1" applyFont="1" applyFill="1" applyBorder="1" applyAlignment="1">
      <alignment horizontal="center" vertical="top" wrapText="1"/>
    </xf>
    <xf numFmtId="3" fontId="14" fillId="7" borderId="10" xfId="0" applyNumberFormat="1" applyFont="1" applyFill="1" applyBorder="1" applyAlignment="1">
      <alignment horizontal="center" vertical="top"/>
    </xf>
    <xf numFmtId="3" fontId="14" fillId="7" borderId="19" xfId="0" applyNumberFormat="1" applyFont="1" applyFill="1" applyBorder="1" applyAlignment="1">
      <alignment horizontal="center" vertical="top"/>
    </xf>
    <xf numFmtId="166" fontId="24" fillId="7" borderId="33" xfId="0" applyNumberFormat="1" applyFont="1" applyFill="1" applyBorder="1" applyAlignment="1">
      <alignment horizontal="left" vertical="top" wrapText="1"/>
    </xf>
    <xf numFmtId="0" fontId="14" fillId="10" borderId="22" xfId="0" applyFont="1" applyFill="1" applyBorder="1" applyAlignment="1">
      <alignment horizontal="center" vertical="center"/>
    </xf>
    <xf numFmtId="3" fontId="19" fillId="3" borderId="10" xfId="0" applyNumberFormat="1" applyFont="1" applyFill="1" applyBorder="1" applyAlignment="1">
      <alignment horizontal="center" vertical="top" wrapText="1"/>
    </xf>
    <xf numFmtId="3" fontId="3" fillId="3" borderId="10" xfId="0" applyNumberFormat="1" applyFont="1" applyFill="1" applyBorder="1" applyAlignment="1">
      <alignment horizontal="center" vertical="top" wrapText="1"/>
    </xf>
    <xf numFmtId="0" fontId="3" fillId="7" borderId="33" xfId="0" applyFont="1" applyFill="1" applyBorder="1" applyAlignment="1">
      <alignment horizontal="center" vertical="center"/>
    </xf>
    <xf numFmtId="166" fontId="14" fillId="10" borderId="5" xfId="0" applyNumberFormat="1" applyFont="1" applyFill="1" applyBorder="1" applyAlignment="1">
      <alignment horizontal="center" vertical="center"/>
    </xf>
    <xf numFmtId="3" fontId="3" fillId="3" borderId="17" xfId="0" applyNumberFormat="1" applyFont="1" applyFill="1" applyBorder="1" applyAlignment="1">
      <alignment horizontal="center" vertical="top" wrapText="1"/>
    </xf>
    <xf numFmtId="166" fontId="14" fillId="7" borderId="22" xfId="0" applyNumberFormat="1" applyFont="1" applyFill="1" applyBorder="1" applyAlignment="1">
      <alignment horizontal="center" vertical="top"/>
    </xf>
    <xf numFmtId="3" fontId="24" fillId="7" borderId="34"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166" fontId="3" fillId="0" borderId="14" xfId="0" applyNumberFormat="1" applyFont="1" applyBorder="1" applyAlignment="1">
      <alignment vertical="top"/>
    </xf>
    <xf numFmtId="166" fontId="3" fillId="0" borderId="84" xfId="0" applyNumberFormat="1" applyFont="1" applyFill="1" applyBorder="1" applyAlignment="1">
      <alignment horizontal="center" vertical="top"/>
    </xf>
    <xf numFmtId="166" fontId="3" fillId="7" borderId="51" xfId="0" applyNumberFormat="1" applyFont="1" applyFill="1" applyBorder="1" applyAlignment="1">
      <alignment vertical="top" wrapText="1"/>
    </xf>
    <xf numFmtId="3" fontId="7" fillId="0" borderId="90" xfId="0" applyNumberFormat="1" applyFont="1" applyFill="1" applyBorder="1" applyAlignment="1">
      <alignment horizontal="center" vertical="top"/>
    </xf>
    <xf numFmtId="3" fontId="7" fillId="0" borderId="105" xfId="0" applyNumberFormat="1" applyFont="1" applyFill="1" applyBorder="1" applyAlignment="1">
      <alignment horizontal="center" vertical="top"/>
    </xf>
    <xf numFmtId="3" fontId="7" fillId="7" borderId="105" xfId="0" applyNumberFormat="1" applyFont="1" applyFill="1" applyBorder="1" applyAlignment="1">
      <alignment horizontal="center" vertical="top"/>
    </xf>
    <xf numFmtId="3" fontId="7" fillId="7" borderId="95" xfId="0" applyNumberFormat="1" applyFont="1" applyFill="1" applyBorder="1" applyAlignment="1">
      <alignment horizontal="center" vertical="top"/>
    </xf>
    <xf numFmtId="3" fontId="7" fillId="7" borderId="26" xfId="0" applyNumberFormat="1" applyFont="1" applyFill="1" applyBorder="1" applyAlignment="1">
      <alignment horizontal="center" vertical="top" wrapText="1"/>
    </xf>
    <xf numFmtId="166" fontId="19" fillId="7" borderId="44" xfId="0" applyNumberFormat="1" applyFont="1" applyFill="1" applyBorder="1" applyAlignment="1">
      <alignment horizontal="center" vertical="center" textRotation="90" wrapText="1"/>
    </xf>
    <xf numFmtId="166" fontId="3" fillId="7" borderId="115" xfId="0" applyNumberFormat="1" applyFont="1" applyFill="1" applyBorder="1" applyAlignment="1">
      <alignment horizontal="center" vertical="top"/>
    </xf>
    <xf numFmtId="166" fontId="3" fillId="7" borderId="116" xfId="0" applyNumberFormat="1" applyFont="1" applyFill="1" applyBorder="1" applyAlignment="1">
      <alignment horizontal="center" vertical="top"/>
    </xf>
    <xf numFmtId="0" fontId="3" fillId="7" borderId="86" xfId="0" applyFont="1" applyFill="1" applyBorder="1" applyAlignment="1">
      <alignment vertical="top" wrapText="1"/>
    </xf>
    <xf numFmtId="0" fontId="3" fillId="7" borderId="77" xfId="0" applyFont="1" applyFill="1" applyBorder="1" applyAlignment="1">
      <alignment vertical="top" wrapText="1"/>
    </xf>
    <xf numFmtId="0" fontId="3" fillId="7" borderId="99" xfId="0" applyFont="1" applyFill="1" applyBorder="1" applyAlignment="1">
      <alignment vertical="top" wrapText="1"/>
    </xf>
    <xf numFmtId="166" fontId="14" fillId="0" borderId="22" xfId="0" applyNumberFormat="1" applyFont="1" applyBorder="1" applyAlignment="1">
      <alignment horizontal="center" vertical="top"/>
    </xf>
    <xf numFmtId="3" fontId="14" fillId="7" borderId="45" xfId="0" applyNumberFormat="1" applyFont="1" applyFill="1" applyBorder="1" applyAlignment="1">
      <alignment horizontal="center" vertical="top" wrapText="1"/>
    </xf>
    <xf numFmtId="3" fontId="14" fillId="0" borderId="45" xfId="0" applyNumberFormat="1" applyFont="1" applyFill="1" applyBorder="1" applyAlignment="1">
      <alignment horizontal="center" vertical="top"/>
    </xf>
    <xf numFmtId="3" fontId="14" fillId="0" borderId="20" xfId="0" applyNumberFormat="1" applyFont="1" applyFill="1" applyBorder="1" applyAlignment="1">
      <alignment horizontal="center" vertical="top"/>
    </xf>
    <xf numFmtId="3" fontId="14" fillId="0" borderId="19" xfId="0" applyNumberFormat="1" applyFont="1" applyFill="1" applyBorder="1" applyAlignment="1">
      <alignment horizontal="center" vertical="top"/>
    </xf>
    <xf numFmtId="166" fontId="3" fillId="0" borderId="25" xfId="0" applyNumberFormat="1" applyFont="1" applyFill="1" applyBorder="1" applyAlignment="1">
      <alignment horizontal="center" vertical="top"/>
    </xf>
    <xf numFmtId="166" fontId="3" fillId="0" borderId="20" xfId="0" applyNumberFormat="1" applyFont="1" applyFill="1" applyBorder="1" applyAlignment="1">
      <alignment horizontal="center" vertical="top"/>
    </xf>
    <xf numFmtId="49" fontId="3" fillId="0" borderId="84" xfId="0" applyNumberFormat="1" applyFont="1" applyFill="1" applyBorder="1" applyAlignment="1">
      <alignment horizontal="center" vertical="top"/>
    </xf>
    <xf numFmtId="166" fontId="3" fillId="0" borderId="96" xfId="0" applyNumberFormat="1" applyFont="1" applyFill="1" applyBorder="1" applyAlignment="1">
      <alignment horizontal="center" vertical="top"/>
    </xf>
    <xf numFmtId="166" fontId="3" fillId="8" borderId="59" xfId="0" applyNumberFormat="1" applyFont="1" applyFill="1" applyBorder="1" applyAlignment="1">
      <alignment horizontal="center" vertical="top"/>
    </xf>
    <xf numFmtId="166" fontId="14" fillId="3" borderId="22" xfId="0" applyNumberFormat="1" applyFont="1" applyFill="1" applyBorder="1" applyAlignment="1">
      <alignment horizontal="center" vertical="top"/>
    </xf>
    <xf numFmtId="166" fontId="3" fillId="7" borderId="22" xfId="0" applyNumberFormat="1" applyFont="1" applyFill="1" applyBorder="1" applyAlignment="1">
      <alignment horizontal="center" vertical="center"/>
    </xf>
    <xf numFmtId="0" fontId="3" fillId="7" borderId="77" xfId="0" applyFont="1" applyFill="1" applyBorder="1" applyAlignment="1">
      <alignment wrapText="1"/>
    </xf>
    <xf numFmtId="1" fontId="3" fillId="7" borderId="78" xfId="0" applyNumberFormat="1" applyFont="1" applyFill="1" applyBorder="1" applyAlignment="1">
      <alignment horizontal="center" vertical="top"/>
    </xf>
    <xf numFmtId="166" fontId="3" fillId="7" borderId="7" xfId="0" applyNumberFormat="1" applyFont="1" applyFill="1" applyBorder="1" applyAlignment="1">
      <alignment horizontal="center" vertical="center"/>
    </xf>
    <xf numFmtId="166" fontId="3" fillId="0" borderId="0" xfId="0" applyNumberFormat="1" applyFont="1" applyBorder="1" applyAlignment="1">
      <alignment vertical="top" wrapText="1"/>
    </xf>
    <xf numFmtId="166" fontId="14" fillId="7" borderId="29" xfId="0" applyNumberFormat="1" applyFont="1" applyFill="1" applyBorder="1" applyAlignment="1">
      <alignment vertical="top" wrapText="1"/>
    </xf>
    <xf numFmtId="0" fontId="14" fillId="0" borderId="0" xfId="0" applyFont="1" applyBorder="1" applyAlignment="1">
      <alignment vertical="top"/>
    </xf>
    <xf numFmtId="0" fontId="4" fillId="0" borderId="0" xfId="0" applyFont="1" applyAlignment="1">
      <alignment horizontal="justify" vertical="center"/>
    </xf>
    <xf numFmtId="0" fontId="3" fillId="0" borderId="0" xfId="0" applyFont="1" applyBorder="1" applyAlignment="1">
      <alignment horizontal="left" vertical="top"/>
    </xf>
    <xf numFmtId="166" fontId="4" fillId="9" borderId="6" xfId="0" applyNumberFormat="1" applyFont="1" applyFill="1" applyBorder="1" applyAlignment="1">
      <alignment horizontal="center" vertical="top"/>
    </xf>
    <xf numFmtId="166" fontId="4" fillId="7" borderId="10"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166" fontId="4" fillId="9" borderId="4" xfId="0" applyNumberFormat="1" applyFont="1" applyFill="1" applyBorder="1" applyAlignment="1">
      <alignment horizontal="center" vertical="top"/>
    </xf>
    <xf numFmtId="166" fontId="4" fillId="7" borderId="40" xfId="0" applyNumberFormat="1" applyFont="1" applyFill="1" applyBorder="1" applyAlignment="1">
      <alignment horizontal="center" vertical="top"/>
    </xf>
    <xf numFmtId="166" fontId="3" fillId="7" borderId="6" xfId="0" applyNumberFormat="1" applyFont="1" applyFill="1" applyBorder="1" applyAlignment="1">
      <alignment horizontal="left" vertical="top" wrapText="1"/>
    </xf>
    <xf numFmtId="166" fontId="4" fillId="7" borderId="10" xfId="0" applyNumberFormat="1" applyFont="1" applyFill="1" applyBorder="1" applyAlignment="1">
      <alignment horizontal="center" vertical="center" wrapText="1"/>
    </xf>
    <xf numFmtId="166" fontId="4" fillId="7" borderId="24" xfId="0" applyNumberFormat="1" applyFont="1" applyFill="1" applyBorder="1" applyAlignment="1">
      <alignment horizontal="center" vertical="top"/>
    </xf>
    <xf numFmtId="166" fontId="4" fillId="7" borderId="45" xfId="0" applyNumberFormat="1" applyFont="1" applyFill="1" applyBorder="1" applyAlignment="1">
      <alignment horizontal="center" vertical="top" wrapText="1"/>
    </xf>
    <xf numFmtId="166" fontId="8" fillId="7" borderId="13" xfId="0" applyNumberFormat="1" applyFont="1" applyFill="1" applyBorder="1" applyAlignment="1">
      <alignment horizontal="left" vertical="top" wrapText="1"/>
    </xf>
    <xf numFmtId="166" fontId="5" fillId="7" borderId="12" xfId="0" applyNumberFormat="1" applyFont="1" applyFill="1" applyBorder="1" applyAlignment="1">
      <alignment horizontal="center" vertical="center" textRotation="90" wrapText="1"/>
    </xf>
    <xf numFmtId="166" fontId="4" fillId="7" borderId="14" xfId="0" applyNumberFormat="1" applyFont="1" applyFill="1" applyBorder="1" applyAlignment="1">
      <alignment horizontal="center" vertical="top"/>
    </xf>
    <xf numFmtId="166" fontId="4" fillId="7" borderId="67" xfId="0" applyNumberFormat="1" applyFont="1" applyFill="1" applyBorder="1" applyAlignment="1">
      <alignment horizontal="center" vertical="top"/>
    </xf>
    <xf numFmtId="166" fontId="3" fillId="7" borderId="11" xfId="0" applyNumberFormat="1" applyFont="1" applyFill="1" applyBorder="1" applyAlignment="1">
      <alignment vertical="top" wrapText="1"/>
    </xf>
    <xf numFmtId="3" fontId="3" fillId="7" borderId="12" xfId="0" applyNumberFormat="1" applyFont="1" applyFill="1" applyBorder="1" applyAlignment="1">
      <alignment horizontal="center" vertical="top"/>
    </xf>
    <xf numFmtId="166" fontId="3" fillId="7" borderId="18" xfId="0" applyNumberFormat="1" applyFont="1" applyFill="1" applyBorder="1" applyAlignment="1">
      <alignment horizontal="center" vertical="center" textRotation="90" wrapText="1"/>
    </xf>
    <xf numFmtId="166" fontId="4" fillId="7" borderId="10" xfId="0" applyNumberFormat="1" applyFont="1" applyFill="1" applyBorder="1" applyAlignment="1">
      <alignment horizontal="center" vertical="top"/>
    </xf>
    <xf numFmtId="166" fontId="4" fillId="9" borderId="6" xfId="0" applyNumberFormat="1" applyFont="1" applyFill="1" applyBorder="1" applyAlignment="1">
      <alignment horizontal="center" vertical="top"/>
    </xf>
    <xf numFmtId="166" fontId="4" fillId="9" borderId="4"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9" fillId="7" borderId="10" xfId="0" applyNumberFormat="1" applyFont="1" applyFill="1" applyBorder="1" applyAlignment="1">
      <alignment horizontal="center" vertical="center" textRotation="90" wrapText="1"/>
    </xf>
    <xf numFmtId="166" fontId="4" fillId="2" borderId="47" xfId="0" applyNumberFormat="1" applyFont="1" applyFill="1" applyBorder="1" applyAlignment="1">
      <alignment horizontal="center" vertical="top"/>
    </xf>
    <xf numFmtId="166" fontId="4" fillId="7" borderId="17" xfId="0" applyNumberFormat="1" applyFont="1" applyFill="1" applyBorder="1" applyAlignment="1">
      <alignment horizontal="center" vertical="top"/>
    </xf>
    <xf numFmtId="166" fontId="4" fillId="7" borderId="24" xfId="0" applyNumberFormat="1" applyFont="1" applyFill="1" applyBorder="1" applyAlignment="1">
      <alignment horizontal="center" vertical="top"/>
    </xf>
    <xf numFmtId="166" fontId="9" fillId="7" borderId="10" xfId="0" applyNumberFormat="1" applyFont="1" applyFill="1" applyBorder="1" applyAlignment="1">
      <alignment horizontal="center" vertical="center" textRotation="90" wrapText="1"/>
    </xf>
    <xf numFmtId="166" fontId="4" fillId="3" borderId="10" xfId="0" applyNumberFormat="1" applyFont="1" applyFill="1" applyBorder="1" applyAlignment="1">
      <alignment horizontal="center" vertical="top" wrapText="1"/>
    </xf>
    <xf numFmtId="166" fontId="4" fillId="7" borderId="10" xfId="0" applyNumberFormat="1" applyFont="1" applyFill="1" applyBorder="1" applyAlignment="1">
      <alignment horizontal="center" vertical="center" wrapText="1"/>
    </xf>
    <xf numFmtId="166" fontId="3" fillId="7" borderId="27" xfId="0" applyNumberFormat="1" applyFont="1" applyFill="1" applyBorder="1" applyAlignment="1">
      <alignment horizontal="center" vertical="center" textRotation="90" wrapText="1"/>
    </xf>
    <xf numFmtId="166" fontId="4" fillId="9" borderId="6"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49" fontId="4" fillId="9" borderId="6" xfId="0" applyNumberFormat="1" applyFont="1" applyFill="1" applyBorder="1" applyAlignment="1">
      <alignment horizontal="center" vertical="top"/>
    </xf>
    <xf numFmtId="3" fontId="3" fillId="7" borderId="19" xfId="0" applyNumberFormat="1" applyFont="1" applyFill="1" applyBorder="1" applyAlignment="1">
      <alignment horizontal="center" vertical="top"/>
    </xf>
    <xf numFmtId="3" fontId="3" fillId="7" borderId="58" xfId="0" applyNumberFormat="1" applyFont="1" applyFill="1" applyBorder="1" applyAlignment="1">
      <alignment horizontal="center" vertical="top"/>
    </xf>
    <xf numFmtId="3" fontId="3" fillId="7" borderId="19" xfId="0" applyNumberFormat="1" applyFont="1" applyFill="1" applyBorder="1" applyAlignment="1">
      <alignment horizontal="center" vertical="top" wrapText="1"/>
    </xf>
    <xf numFmtId="3" fontId="3" fillId="7" borderId="27" xfId="0" applyNumberFormat="1" applyFont="1" applyFill="1" applyBorder="1" applyAlignment="1">
      <alignment horizontal="center" vertical="top" wrapText="1"/>
    </xf>
    <xf numFmtId="3" fontId="3" fillId="7" borderId="10" xfId="0" applyNumberFormat="1" applyFont="1" applyFill="1" applyBorder="1" applyAlignment="1">
      <alignment horizontal="center" vertical="top" wrapText="1"/>
    </xf>
    <xf numFmtId="3" fontId="3" fillId="7" borderId="10" xfId="0" applyNumberFormat="1" applyFont="1" applyFill="1" applyBorder="1" applyAlignment="1">
      <alignment horizontal="center" vertical="top"/>
    </xf>
    <xf numFmtId="166" fontId="3" fillId="2" borderId="31" xfId="0" applyNumberFormat="1" applyFont="1" applyFill="1" applyBorder="1" applyAlignment="1">
      <alignment horizontal="center" vertical="top" wrapText="1"/>
    </xf>
    <xf numFmtId="49" fontId="39" fillId="7" borderId="88" xfId="0" applyNumberFormat="1" applyFont="1" applyFill="1" applyBorder="1" applyAlignment="1">
      <alignment horizontal="center" vertical="top" wrapText="1"/>
    </xf>
    <xf numFmtId="166" fontId="14" fillId="7" borderId="116" xfId="0" applyNumberFormat="1" applyFont="1" applyFill="1" applyBorder="1" applyAlignment="1">
      <alignment horizontal="center" vertical="top"/>
    </xf>
    <xf numFmtId="166" fontId="14" fillId="7" borderId="62" xfId="0" applyNumberFormat="1" applyFont="1" applyFill="1" applyBorder="1" applyAlignment="1">
      <alignment horizontal="center" vertical="top"/>
    </xf>
    <xf numFmtId="3" fontId="39" fillId="7" borderId="10" xfId="0" applyNumberFormat="1" applyFont="1" applyFill="1" applyBorder="1" applyAlignment="1">
      <alignment horizontal="center" vertical="top" wrapText="1"/>
    </xf>
    <xf numFmtId="3" fontId="14" fillId="7" borderId="46" xfId="0" applyNumberFormat="1" applyFont="1" applyFill="1" applyBorder="1" applyAlignment="1">
      <alignment horizontal="center" vertical="top"/>
    </xf>
    <xf numFmtId="0" fontId="3" fillId="0" borderId="0" xfId="0" applyFont="1" applyBorder="1" applyAlignment="1">
      <alignment vertical="top" wrapText="1"/>
    </xf>
    <xf numFmtId="3" fontId="31" fillId="7" borderId="45" xfId="0" applyNumberFormat="1" applyFont="1" applyFill="1" applyBorder="1" applyAlignment="1">
      <alignment horizontal="center" vertical="center" wrapText="1"/>
    </xf>
    <xf numFmtId="3" fontId="3" fillId="7" borderId="55" xfId="0" applyNumberFormat="1" applyFont="1" applyFill="1" applyBorder="1" applyAlignment="1">
      <alignment horizontal="center" vertical="top"/>
    </xf>
    <xf numFmtId="0" fontId="30" fillId="7" borderId="58" xfId="0" applyFont="1" applyFill="1" applyBorder="1" applyAlignment="1">
      <alignment horizontal="center" vertical="top" wrapText="1"/>
    </xf>
    <xf numFmtId="0" fontId="30" fillId="7" borderId="0" xfId="0" applyFont="1" applyFill="1" applyBorder="1" applyAlignment="1">
      <alignment horizontal="center" vertical="top" wrapText="1"/>
    </xf>
    <xf numFmtId="0" fontId="24" fillId="7" borderId="58" xfId="0" applyFont="1" applyFill="1" applyBorder="1" applyAlignment="1">
      <alignment horizontal="center" vertical="top" wrapText="1"/>
    </xf>
    <xf numFmtId="0" fontId="24" fillId="7" borderId="73" xfId="0" applyFont="1" applyFill="1" applyBorder="1" applyAlignment="1">
      <alignment horizontal="center" vertical="top" wrapText="1"/>
    </xf>
    <xf numFmtId="3" fontId="3" fillId="7" borderId="71"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3" fontId="7" fillId="7" borderId="32" xfId="0" applyNumberFormat="1" applyFont="1" applyFill="1" applyBorder="1" applyAlignment="1">
      <alignment horizontal="center" vertical="top" wrapText="1"/>
    </xf>
    <xf numFmtId="3" fontId="3" fillId="7" borderId="49" xfId="0" applyNumberFormat="1" applyFont="1" applyFill="1" applyBorder="1" applyAlignment="1">
      <alignment horizontal="center" vertical="top"/>
    </xf>
    <xf numFmtId="166" fontId="3" fillId="0" borderId="42" xfId="0" applyNumberFormat="1" applyFont="1" applyFill="1" applyBorder="1" applyAlignment="1">
      <alignment horizontal="center" vertical="top"/>
    </xf>
    <xf numFmtId="0" fontId="3" fillId="7" borderId="10" xfId="0" applyNumberFormat="1" applyFont="1" applyFill="1" applyBorder="1" applyAlignment="1">
      <alignment horizontal="center" vertical="top" wrapText="1"/>
    </xf>
    <xf numFmtId="3" fontId="9" fillId="7" borderId="27" xfId="0" applyNumberFormat="1" applyFont="1" applyFill="1" applyBorder="1" applyAlignment="1">
      <alignment vertical="top"/>
    </xf>
    <xf numFmtId="0" fontId="24" fillId="0" borderId="0" xfId="0" applyNumberFormat="1" applyFont="1" applyFill="1" applyBorder="1" applyAlignment="1">
      <alignment horizontal="left" vertical="top" wrapText="1"/>
    </xf>
    <xf numFmtId="0" fontId="24" fillId="0" borderId="0" xfId="0" applyFont="1" applyFill="1" applyAlignment="1">
      <alignment vertical="top"/>
    </xf>
    <xf numFmtId="0" fontId="0" fillId="0" borderId="0" xfId="0" applyFill="1" applyBorder="1" applyAlignment="1">
      <alignment horizontal="left" vertical="top" wrapText="1"/>
    </xf>
    <xf numFmtId="49" fontId="39" fillId="7" borderId="10" xfId="0" applyNumberFormat="1" applyFont="1" applyFill="1" applyBorder="1" applyAlignment="1">
      <alignment horizontal="center" vertical="top" wrapText="1"/>
    </xf>
    <xf numFmtId="166" fontId="3" fillId="7" borderId="37" xfId="0" applyNumberFormat="1" applyFont="1" applyFill="1" applyBorder="1" applyAlignment="1">
      <alignment vertical="top"/>
    </xf>
    <xf numFmtId="0" fontId="24" fillId="7" borderId="10" xfId="0" applyFont="1" applyFill="1" applyBorder="1" applyAlignment="1">
      <alignment horizontal="center" vertical="top" wrapText="1"/>
    </xf>
    <xf numFmtId="0" fontId="33" fillId="0" borderId="0" xfId="2" applyFont="1" applyAlignment="1">
      <alignment horizontal="center"/>
    </xf>
    <xf numFmtId="49" fontId="33" fillId="0" borderId="0" xfId="2" applyNumberFormat="1" applyFont="1" applyAlignment="1">
      <alignment horizontal="left" vertical="top" wrapText="1"/>
    </xf>
    <xf numFmtId="0" fontId="34" fillId="0" borderId="0" xfId="2" applyFont="1" applyFill="1" applyAlignment="1">
      <alignment horizontal="left" vertical="top" wrapText="1"/>
    </xf>
    <xf numFmtId="0" fontId="0" fillId="0" borderId="0" xfId="0" applyFill="1"/>
    <xf numFmtId="0" fontId="3" fillId="0" borderId="0" xfId="2" applyFont="1" applyFill="1"/>
    <xf numFmtId="0" fontId="34" fillId="0" borderId="0" xfId="2" applyFont="1" applyFill="1" applyAlignment="1">
      <alignment horizontal="right" vertical="top"/>
    </xf>
    <xf numFmtId="0" fontId="34" fillId="0" borderId="0" xfId="0" applyFont="1" applyFill="1" applyAlignment="1">
      <alignment horizontal="left" vertical="top"/>
    </xf>
    <xf numFmtId="0" fontId="34" fillId="0" borderId="0" xfId="0" applyFont="1"/>
    <xf numFmtId="0" fontId="34" fillId="0" borderId="0" xfId="0" applyFont="1" applyAlignment="1">
      <alignment horizontal="right"/>
    </xf>
    <xf numFmtId="0" fontId="34" fillId="0" borderId="0" xfId="0" applyFont="1" applyAlignment="1">
      <alignment horizontal="right" vertical="top"/>
    </xf>
    <xf numFmtId="0" fontId="34" fillId="0" borderId="0" xfId="0" applyFont="1" applyAlignment="1">
      <alignment horizontal="left" vertical="top"/>
    </xf>
    <xf numFmtId="0" fontId="33" fillId="0" borderId="0" xfId="0" applyFont="1"/>
    <xf numFmtId="0" fontId="33" fillId="0" borderId="0" xfId="0" applyFont="1" applyAlignment="1">
      <alignment horizontal="center" vertical="top"/>
    </xf>
    <xf numFmtId="0" fontId="34" fillId="0" borderId="0" xfId="0" applyFont="1" applyAlignment="1">
      <alignment horizontal="center" vertical="top"/>
    </xf>
    <xf numFmtId="0" fontId="34" fillId="0" borderId="0" xfId="0" applyFont="1" applyBorder="1" applyAlignment="1">
      <alignment horizontal="left" vertical="top" wrapText="1"/>
    </xf>
    <xf numFmtId="0" fontId="34" fillId="0" borderId="0" xfId="0" applyFont="1" applyAlignment="1">
      <alignment horizontal="left" vertical="center" wrapText="1"/>
    </xf>
    <xf numFmtId="0" fontId="4" fillId="9" borderId="0" xfId="0" applyFont="1" applyFill="1" applyBorder="1" applyAlignment="1">
      <alignment vertical="top"/>
    </xf>
    <xf numFmtId="0" fontId="0" fillId="9" borderId="0" xfId="0" applyFill="1" applyBorder="1" applyAlignment="1">
      <alignment horizontal="left" vertical="top"/>
    </xf>
    <xf numFmtId="0" fontId="3" fillId="9" borderId="42" xfId="0" applyFont="1" applyFill="1" applyBorder="1" applyAlignment="1">
      <alignment horizontal="left" vertical="top"/>
    </xf>
    <xf numFmtId="0" fontId="4" fillId="9" borderId="47" xfId="0" applyFont="1" applyFill="1" applyBorder="1" applyAlignment="1">
      <alignment horizontal="left" vertical="top"/>
    </xf>
    <xf numFmtId="0" fontId="4" fillId="9" borderId="10" xfId="0" applyFont="1" applyFill="1" applyBorder="1" applyAlignment="1">
      <alignment horizontal="left" vertical="top"/>
    </xf>
    <xf numFmtId="0" fontId="3" fillId="9" borderId="42" xfId="0" applyFont="1" applyFill="1" applyBorder="1" applyAlignment="1">
      <alignment horizontal="left" vertical="top" wrapText="1"/>
    </xf>
    <xf numFmtId="49" fontId="4" fillId="9" borderId="28" xfId="0" applyNumberFormat="1" applyFont="1" applyFill="1" applyBorder="1" applyAlignment="1">
      <alignment horizontal="center" vertical="top"/>
    </xf>
    <xf numFmtId="0" fontId="4" fillId="9" borderId="34" xfId="0" applyFont="1" applyFill="1" applyBorder="1" applyAlignment="1">
      <alignment horizontal="left" vertical="top"/>
    </xf>
    <xf numFmtId="0" fontId="0" fillId="9" borderId="73" xfId="0" applyFill="1" applyBorder="1" applyAlignment="1">
      <alignment horizontal="left" vertical="top"/>
    </xf>
    <xf numFmtId="0" fontId="4" fillId="9" borderId="27" xfId="0" applyFont="1" applyFill="1" applyBorder="1" applyAlignment="1">
      <alignment horizontal="left" vertical="top"/>
    </xf>
    <xf numFmtId="0" fontId="3" fillId="9" borderId="52" xfId="0" applyFont="1" applyFill="1" applyBorder="1" applyAlignment="1">
      <alignment horizontal="left" vertical="top" wrapText="1"/>
    </xf>
    <xf numFmtId="49" fontId="4" fillId="9" borderId="6" xfId="0" applyNumberFormat="1" applyFont="1" applyFill="1" applyBorder="1" applyAlignment="1">
      <alignment horizontal="center" vertical="top"/>
    </xf>
    <xf numFmtId="49" fontId="4" fillId="2" borderId="10" xfId="0" applyNumberFormat="1" applyFont="1" applyFill="1" applyBorder="1" applyAlignment="1">
      <alignment horizontal="center" vertical="top"/>
    </xf>
    <xf numFmtId="49" fontId="4" fillId="7" borderId="10" xfId="0" applyNumberFormat="1" applyFont="1" applyFill="1" applyBorder="1" applyAlignment="1">
      <alignment horizontal="center" vertical="top"/>
    </xf>
    <xf numFmtId="166" fontId="3" fillId="7" borderId="10" xfId="0" applyNumberFormat="1" applyFont="1" applyFill="1" applyBorder="1" applyAlignment="1">
      <alignment vertical="top" wrapText="1"/>
    </xf>
    <xf numFmtId="166" fontId="4" fillId="0" borderId="34" xfId="0" applyNumberFormat="1" applyFont="1" applyBorder="1" applyAlignment="1">
      <alignment horizontal="center" vertical="top"/>
    </xf>
    <xf numFmtId="166" fontId="3" fillId="2" borderId="69" xfId="0" applyNumberFormat="1" applyFont="1" applyFill="1" applyBorder="1" applyAlignment="1">
      <alignment horizontal="center" vertical="top" wrapText="1"/>
    </xf>
    <xf numFmtId="166" fontId="3" fillId="7" borderId="35" xfId="0" applyNumberFormat="1" applyFont="1" applyFill="1" applyBorder="1" applyAlignment="1">
      <alignment horizontal="left" vertical="top" wrapText="1"/>
    </xf>
    <xf numFmtId="166" fontId="24" fillId="7" borderId="35" xfId="0" applyNumberFormat="1" applyFont="1" applyFill="1" applyBorder="1" applyAlignment="1">
      <alignment horizontal="left" vertical="top" wrapText="1"/>
    </xf>
    <xf numFmtId="0" fontId="0" fillId="0" borderId="6" xfId="0" applyBorder="1" applyAlignment="1">
      <alignment horizontal="left" vertical="top" wrapText="1"/>
    </xf>
    <xf numFmtId="0" fontId="5" fillId="0" borderId="10" xfId="0" applyFont="1" applyFill="1" applyBorder="1" applyAlignment="1">
      <alignment horizontal="center" vertical="center" textRotation="90" wrapText="1"/>
    </xf>
    <xf numFmtId="166" fontId="3" fillId="7" borderId="34" xfId="0" applyNumberFormat="1" applyFont="1" applyFill="1" applyBorder="1" applyAlignment="1">
      <alignment horizontal="left" vertical="top" wrapText="1"/>
    </xf>
    <xf numFmtId="166" fontId="4" fillId="2" borderId="10" xfId="0" applyNumberFormat="1" applyFont="1" applyFill="1" applyBorder="1" applyAlignment="1">
      <alignment horizontal="center" vertical="top"/>
    </xf>
    <xf numFmtId="166" fontId="4" fillId="7" borderId="10" xfId="0" applyNumberFormat="1" applyFont="1" applyFill="1" applyBorder="1" applyAlignment="1">
      <alignment horizontal="center" vertical="top"/>
    </xf>
    <xf numFmtId="166" fontId="3" fillId="7" borderId="10" xfId="0" applyNumberFormat="1" applyFont="1" applyFill="1" applyBorder="1" applyAlignment="1">
      <alignment horizontal="center" vertical="center" textRotation="90" wrapText="1"/>
    </xf>
    <xf numFmtId="166" fontId="4" fillId="9" borderId="6" xfId="0" applyNumberFormat="1" applyFont="1" applyFill="1" applyBorder="1" applyAlignment="1">
      <alignment horizontal="center" vertical="top"/>
    </xf>
    <xf numFmtId="166" fontId="3" fillId="7" borderId="27" xfId="0" applyNumberFormat="1" applyFont="1" applyFill="1" applyBorder="1" applyAlignment="1">
      <alignment horizontal="left" vertical="top" wrapText="1"/>
    </xf>
    <xf numFmtId="166" fontId="4" fillId="0" borderId="0" xfId="0" applyNumberFormat="1" applyFont="1" applyFill="1" applyBorder="1" applyAlignment="1">
      <alignment horizontal="center" vertical="top" wrapText="1"/>
    </xf>
    <xf numFmtId="49" fontId="4" fillId="7" borderId="47" xfId="0" applyNumberFormat="1" applyFont="1" applyFill="1" applyBorder="1" applyAlignment="1">
      <alignment horizontal="center" vertical="top"/>
    </xf>
    <xf numFmtId="166" fontId="3" fillId="7" borderId="45" xfId="0" applyNumberFormat="1" applyFont="1" applyFill="1" applyBorder="1" applyAlignment="1">
      <alignment vertical="top" wrapText="1"/>
    </xf>
    <xf numFmtId="166" fontId="3" fillId="7" borderId="19" xfId="0" applyNumberFormat="1" applyFont="1" applyFill="1" applyBorder="1" applyAlignment="1">
      <alignment horizontal="center" vertical="center" textRotation="90" wrapText="1"/>
    </xf>
    <xf numFmtId="166" fontId="3" fillId="7" borderId="19" xfId="0" applyNumberFormat="1" applyFont="1" applyFill="1" applyBorder="1" applyAlignment="1">
      <alignment vertical="top" wrapText="1"/>
    </xf>
    <xf numFmtId="166" fontId="3" fillId="7" borderId="47" xfId="0" applyNumberFormat="1" applyFont="1" applyFill="1" applyBorder="1" applyAlignment="1">
      <alignment vertical="top" wrapText="1"/>
    </xf>
    <xf numFmtId="166" fontId="9" fillId="7" borderId="34" xfId="0" applyNumberFormat="1" applyFont="1" applyFill="1" applyBorder="1" applyAlignment="1">
      <alignment vertical="top" wrapText="1"/>
    </xf>
    <xf numFmtId="166" fontId="3" fillId="7" borderId="6" xfId="0" applyNumberFormat="1" applyFont="1" applyFill="1" applyBorder="1" applyAlignment="1">
      <alignment horizontal="left" vertical="top" wrapText="1"/>
    </xf>
    <xf numFmtId="166" fontId="3" fillId="0" borderId="28" xfId="0" applyNumberFormat="1" applyFont="1" applyFill="1" applyBorder="1" applyAlignment="1">
      <alignment horizontal="left" vertical="top" wrapText="1"/>
    </xf>
    <xf numFmtId="3" fontId="3" fillId="0" borderId="1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166" fontId="4" fillId="9" borderId="4" xfId="0" applyNumberFormat="1" applyFont="1" applyFill="1" applyBorder="1" applyAlignment="1">
      <alignment horizontal="center" vertical="top"/>
    </xf>
    <xf numFmtId="166" fontId="4" fillId="9" borderId="8" xfId="0" applyNumberFormat="1" applyFont="1" applyFill="1" applyBorder="1" applyAlignment="1">
      <alignment horizontal="center" vertical="top"/>
    </xf>
    <xf numFmtId="166" fontId="4" fillId="2" borderId="24" xfId="0" applyNumberFormat="1" applyFont="1" applyFill="1" applyBorder="1" applyAlignment="1">
      <alignment horizontal="center" vertical="top"/>
    </xf>
    <xf numFmtId="166" fontId="4" fillId="2" borderId="29" xfId="0" applyNumberFormat="1" applyFont="1" applyFill="1" applyBorder="1" applyAlignment="1">
      <alignment horizontal="center" vertical="top"/>
    </xf>
    <xf numFmtId="49" fontId="4" fillId="7" borderId="24" xfId="0" applyNumberFormat="1" applyFont="1" applyFill="1" applyBorder="1" applyAlignment="1">
      <alignment horizontal="center" vertical="top"/>
    </xf>
    <xf numFmtId="166" fontId="4" fillId="7" borderId="40"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3" fillId="7" borderId="6" xfId="0" applyNumberFormat="1" applyFont="1" applyFill="1" applyBorder="1" applyAlignment="1">
      <alignment vertical="top" wrapText="1"/>
    </xf>
    <xf numFmtId="166" fontId="9" fillId="7" borderId="28" xfId="0" applyNumberFormat="1" applyFont="1" applyFill="1" applyBorder="1" applyAlignment="1">
      <alignment vertical="top" wrapText="1"/>
    </xf>
    <xf numFmtId="166" fontId="3" fillId="7" borderId="19" xfId="0" applyNumberFormat="1" applyFont="1" applyFill="1" applyBorder="1" applyAlignment="1">
      <alignment horizontal="left" vertical="top" wrapText="1"/>
    </xf>
    <xf numFmtId="166" fontId="9" fillId="7" borderId="10" xfId="0" applyNumberFormat="1" applyFont="1" applyFill="1" applyBorder="1" applyAlignment="1">
      <alignment horizontal="center" vertical="center" textRotation="90" wrapText="1"/>
    </xf>
    <xf numFmtId="3" fontId="3" fillId="7" borderId="42"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166" fontId="4" fillId="7" borderId="17" xfId="0" applyNumberFormat="1" applyFont="1" applyFill="1" applyBorder="1" applyAlignment="1">
      <alignment horizontal="center" vertical="top"/>
    </xf>
    <xf numFmtId="0" fontId="0" fillId="0" borderId="28" xfId="0" applyBorder="1" applyAlignment="1">
      <alignment horizontal="left" vertical="top" wrapText="1"/>
    </xf>
    <xf numFmtId="166" fontId="3" fillId="7" borderId="27" xfId="0" applyNumberFormat="1" applyFont="1" applyFill="1" applyBorder="1" applyAlignment="1">
      <alignment vertical="top" wrapText="1"/>
    </xf>
    <xf numFmtId="166" fontId="4" fillId="7" borderId="10" xfId="0" applyNumberFormat="1" applyFont="1" applyFill="1" applyBorder="1" applyAlignment="1">
      <alignment horizontal="center" vertical="top" wrapText="1"/>
    </xf>
    <xf numFmtId="166" fontId="3" fillId="0" borderId="35" xfId="0" applyNumberFormat="1" applyFont="1" applyFill="1" applyBorder="1" applyAlignment="1">
      <alignment horizontal="left" vertical="top" wrapText="1"/>
    </xf>
    <xf numFmtId="166" fontId="4" fillId="7" borderId="19" xfId="0" applyNumberFormat="1" applyFont="1" applyFill="1" applyBorder="1" applyAlignment="1">
      <alignment horizontal="center" vertical="top" wrapText="1"/>
    </xf>
    <xf numFmtId="166" fontId="4" fillId="7" borderId="27" xfId="0" applyNumberFormat="1" applyFont="1" applyFill="1" applyBorder="1" applyAlignment="1">
      <alignment horizontal="center" vertical="top" wrapText="1"/>
    </xf>
    <xf numFmtId="49" fontId="4" fillId="9" borderId="4" xfId="0" applyNumberFormat="1" applyFont="1" applyFill="1" applyBorder="1" applyAlignment="1">
      <alignment horizontal="center" vertical="top"/>
    </xf>
    <xf numFmtId="49" fontId="4" fillId="2" borderId="47" xfId="0" applyNumberFormat="1" applyFont="1" applyFill="1" applyBorder="1" applyAlignment="1">
      <alignment horizontal="center" vertical="top"/>
    </xf>
    <xf numFmtId="166" fontId="24" fillId="7" borderId="6" xfId="0" applyNumberFormat="1" applyFont="1" applyFill="1" applyBorder="1" applyAlignment="1">
      <alignment horizontal="left" vertical="top" wrapText="1"/>
    </xf>
    <xf numFmtId="0" fontId="0" fillId="7" borderId="6" xfId="0" applyFill="1" applyBorder="1" applyAlignment="1">
      <alignment horizontal="left" vertical="top" wrapText="1"/>
    </xf>
    <xf numFmtId="49" fontId="3" fillId="7" borderId="6" xfId="0" applyNumberFormat="1" applyFont="1" applyFill="1" applyBorder="1" applyAlignment="1">
      <alignment horizontal="left" vertical="top" wrapText="1"/>
    </xf>
    <xf numFmtId="166" fontId="5" fillId="3" borderId="10" xfId="0" applyNumberFormat="1" applyFont="1" applyFill="1" applyBorder="1" applyAlignment="1">
      <alignment horizontal="center" vertical="center" textRotation="90" wrapText="1"/>
    </xf>
    <xf numFmtId="0" fontId="24" fillId="7" borderId="35" xfId="0" applyFont="1" applyFill="1" applyBorder="1" applyAlignment="1">
      <alignment vertical="top" wrapText="1"/>
    </xf>
    <xf numFmtId="0" fontId="27" fillId="7" borderId="28" xfId="0" applyFont="1" applyFill="1" applyBorder="1" applyAlignment="1">
      <alignment vertical="top" wrapText="1"/>
    </xf>
    <xf numFmtId="0" fontId="0" fillId="7" borderId="10" xfId="0" applyFill="1" applyBorder="1" applyAlignment="1">
      <alignment horizontal="left" vertical="top" wrapText="1"/>
    </xf>
    <xf numFmtId="166" fontId="4" fillId="3" borderId="10"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xf>
    <xf numFmtId="166" fontId="4" fillId="9" borderId="33" xfId="0" applyNumberFormat="1" applyFont="1" applyFill="1" applyBorder="1" applyAlignment="1">
      <alignment horizontal="center" vertical="top"/>
    </xf>
    <xf numFmtId="166" fontId="3" fillId="7" borderId="35" xfId="0" applyNumberFormat="1" applyFont="1" applyFill="1" applyBorder="1" applyAlignment="1">
      <alignment vertical="top" wrapText="1"/>
    </xf>
    <xf numFmtId="3" fontId="3" fillId="7" borderId="45" xfId="0" applyNumberFormat="1" applyFont="1" applyFill="1" applyBorder="1" applyAlignment="1">
      <alignment horizontal="center" vertical="top"/>
    </xf>
    <xf numFmtId="166" fontId="4" fillId="7" borderId="24" xfId="0" applyNumberFormat="1" applyFont="1" applyFill="1" applyBorder="1" applyAlignment="1">
      <alignment horizontal="center" vertical="top"/>
    </xf>
    <xf numFmtId="49" fontId="4" fillId="8" borderId="10" xfId="0" applyNumberFormat="1" applyFont="1" applyFill="1" applyBorder="1" applyAlignment="1">
      <alignment horizontal="center" vertical="top"/>
    </xf>
    <xf numFmtId="166" fontId="3" fillId="7" borderId="17" xfId="0" applyNumberFormat="1" applyFont="1" applyFill="1" applyBorder="1" applyAlignment="1">
      <alignment horizontal="center" vertical="top" wrapText="1"/>
    </xf>
    <xf numFmtId="3" fontId="3" fillId="0" borderId="45" xfId="0" applyNumberFormat="1" applyFont="1" applyFill="1" applyBorder="1" applyAlignment="1">
      <alignment horizontal="center" vertical="top"/>
    </xf>
    <xf numFmtId="3" fontId="3" fillId="7" borderId="47" xfId="0" applyNumberFormat="1" applyFont="1" applyFill="1" applyBorder="1" applyAlignment="1">
      <alignment horizontal="center" vertical="top"/>
    </xf>
    <xf numFmtId="3" fontId="3" fillId="7" borderId="45" xfId="0" applyNumberFormat="1" applyFont="1" applyFill="1" applyBorder="1" applyAlignment="1">
      <alignment horizontal="center" vertical="top" wrapText="1"/>
    </xf>
    <xf numFmtId="166" fontId="9" fillId="7" borderId="17" xfId="0" applyNumberFormat="1" applyFont="1" applyFill="1" applyBorder="1" applyAlignment="1">
      <alignment horizontal="center" vertical="top" wrapText="1"/>
    </xf>
    <xf numFmtId="3" fontId="14" fillId="7" borderId="19" xfId="0" applyNumberFormat="1" applyFont="1" applyFill="1" applyBorder="1" applyAlignment="1">
      <alignment horizontal="center" vertical="top" wrapText="1"/>
    </xf>
    <xf numFmtId="166" fontId="19" fillId="7" borderId="17" xfId="0" applyNumberFormat="1" applyFont="1" applyFill="1" applyBorder="1" applyAlignment="1">
      <alignment horizontal="center" vertical="center" wrapText="1"/>
    </xf>
    <xf numFmtId="3" fontId="3" fillId="7" borderId="19" xfId="0" applyNumberFormat="1" applyFont="1" applyFill="1" applyBorder="1" applyAlignment="1">
      <alignment horizontal="center" vertical="top"/>
    </xf>
    <xf numFmtId="3" fontId="3" fillId="7" borderId="10" xfId="0" applyNumberFormat="1" applyFont="1" applyFill="1" applyBorder="1" applyAlignment="1">
      <alignment horizontal="center" vertical="top"/>
    </xf>
    <xf numFmtId="166" fontId="3" fillId="7" borderId="77"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166" fontId="4" fillId="8" borderId="10" xfId="0" applyNumberFormat="1" applyFont="1" applyFill="1" applyBorder="1" applyAlignment="1">
      <alignment horizontal="center" vertical="top"/>
    </xf>
    <xf numFmtId="49" fontId="4" fillId="7" borderId="19" xfId="0" applyNumberFormat="1" applyFont="1" applyFill="1" applyBorder="1" applyAlignment="1">
      <alignment horizontal="center" vertical="top"/>
    </xf>
    <xf numFmtId="166" fontId="3" fillId="7" borderId="103" xfId="0" applyNumberFormat="1" applyFont="1" applyFill="1" applyBorder="1" applyAlignment="1">
      <alignment horizontal="center" vertical="top" wrapText="1"/>
    </xf>
    <xf numFmtId="49" fontId="7" fillId="7" borderId="10" xfId="0" applyNumberFormat="1" applyFont="1" applyFill="1" applyBorder="1" applyAlignment="1">
      <alignment horizontal="center" vertical="center" textRotation="90" wrapText="1"/>
    </xf>
    <xf numFmtId="166" fontId="3" fillId="0" borderId="17" xfId="0" applyNumberFormat="1" applyFont="1" applyBorder="1" applyAlignment="1">
      <alignment horizontal="center" vertical="top" wrapText="1"/>
    </xf>
    <xf numFmtId="3" fontId="3" fillId="7" borderId="20" xfId="0" applyNumberFormat="1" applyFont="1" applyFill="1" applyBorder="1" applyAlignment="1">
      <alignment horizontal="center" vertical="top"/>
    </xf>
    <xf numFmtId="3" fontId="3" fillId="7" borderId="17" xfId="0" applyNumberFormat="1" applyFont="1" applyFill="1" applyBorder="1" applyAlignment="1">
      <alignment horizontal="center" vertical="top"/>
    </xf>
    <xf numFmtId="166" fontId="3" fillId="7" borderId="20" xfId="0" applyNumberFormat="1" applyFont="1" applyFill="1" applyBorder="1" applyAlignment="1">
      <alignment horizontal="center" vertical="top" wrapText="1"/>
    </xf>
    <xf numFmtId="166" fontId="3" fillId="2" borderId="31" xfId="0" applyNumberFormat="1" applyFont="1" applyFill="1" applyBorder="1" applyAlignment="1">
      <alignment horizontal="center" vertical="top" wrapText="1"/>
    </xf>
    <xf numFmtId="49" fontId="2" fillId="7" borderId="10" xfId="0" applyNumberFormat="1" applyFont="1" applyFill="1" applyBorder="1" applyAlignment="1">
      <alignment horizontal="center" vertical="center" textRotation="90" wrapText="1"/>
    </xf>
    <xf numFmtId="3" fontId="3" fillId="0" borderId="20"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0" fontId="13" fillId="0" borderId="10" xfId="0" applyFont="1" applyBorder="1" applyAlignment="1">
      <alignment horizontal="center" vertical="top" textRotation="90"/>
    </xf>
    <xf numFmtId="0" fontId="0" fillId="7" borderId="17" xfId="0" applyFont="1" applyFill="1" applyBorder="1" applyAlignment="1">
      <alignment horizontal="center" vertical="top" wrapText="1"/>
    </xf>
    <xf numFmtId="49" fontId="4" fillId="7" borderId="27" xfId="0" applyNumberFormat="1" applyFont="1" applyFill="1" applyBorder="1" applyAlignment="1">
      <alignment horizontal="center" vertical="top"/>
    </xf>
    <xf numFmtId="166" fontId="4" fillId="7" borderId="10" xfId="0" applyNumberFormat="1" applyFont="1" applyFill="1" applyBorder="1" applyAlignment="1">
      <alignment horizontal="center" vertical="center" wrapText="1"/>
    </xf>
    <xf numFmtId="166" fontId="3" fillId="7" borderId="17" xfId="0" applyNumberFormat="1" applyFont="1" applyFill="1" applyBorder="1" applyAlignment="1">
      <alignment horizontal="center" vertical="center" wrapText="1"/>
    </xf>
    <xf numFmtId="166" fontId="9" fillId="7" borderId="17" xfId="0" applyNumberFormat="1" applyFont="1" applyFill="1" applyBorder="1" applyAlignment="1">
      <alignment horizontal="center" vertical="center" wrapText="1"/>
    </xf>
    <xf numFmtId="166" fontId="4" fillId="7" borderId="19" xfId="0" applyNumberFormat="1" applyFont="1" applyFill="1" applyBorder="1" applyAlignment="1">
      <alignment horizontal="center" vertical="top"/>
    </xf>
    <xf numFmtId="166" fontId="4" fillId="7" borderId="27" xfId="0" applyNumberFormat="1" applyFont="1" applyFill="1" applyBorder="1" applyAlignment="1">
      <alignment horizontal="center" vertical="top"/>
    </xf>
    <xf numFmtId="49" fontId="4" fillId="0" borderId="34" xfId="0" applyNumberFormat="1" applyFont="1" applyBorder="1" applyAlignment="1">
      <alignment horizontal="center" vertical="top"/>
    </xf>
    <xf numFmtId="166" fontId="4" fillId="3" borderId="45" xfId="0" applyNumberFormat="1" applyFont="1" applyFill="1" applyBorder="1" applyAlignment="1">
      <alignment horizontal="center" vertical="top" wrapText="1"/>
    </xf>
    <xf numFmtId="166" fontId="4" fillId="3" borderId="34" xfId="0" applyNumberFormat="1" applyFont="1" applyFill="1" applyBorder="1" applyAlignment="1">
      <alignment horizontal="center" vertical="top" wrapText="1"/>
    </xf>
    <xf numFmtId="49" fontId="2" fillId="3" borderId="47" xfId="0" applyNumberFormat="1" applyFont="1" applyFill="1" applyBorder="1" applyAlignment="1">
      <alignment horizontal="center" vertical="top" textRotation="90" wrapText="1"/>
    </xf>
    <xf numFmtId="0" fontId="24" fillId="7" borderId="6" xfId="0" applyFont="1" applyFill="1" applyBorder="1" applyAlignment="1">
      <alignment vertical="top" wrapText="1"/>
    </xf>
    <xf numFmtId="166" fontId="3" fillId="7" borderId="27" xfId="0" applyNumberFormat="1" applyFont="1" applyFill="1" applyBorder="1" applyAlignment="1">
      <alignment horizontal="center" vertical="center" textRotation="90" wrapText="1"/>
    </xf>
    <xf numFmtId="166" fontId="9" fillId="7" borderId="47" xfId="0" applyNumberFormat="1" applyFont="1" applyFill="1" applyBorder="1" applyAlignment="1">
      <alignment vertical="top" wrapText="1"/>
    </xf>
    <xf numFmtId="166" fontId="14" fillId="7" borderId="10" xfId="0" applyNumberFormat="1" applyFont="1" applyFill="1" applyBorder="1" applyAlignment="1">
      <alignment horizontal="center" vertical="top"/>
    </xf>
    <xf numFmtId="3" fontId="7" fillId="7" borderId="30" xfId="0" applyNumberFormat="1" applyFont="1" applyFill="1" applyBorder="1" applyAlignment="1">
      <alignment horizontal="center" vertical="top" wrapText="1"/>
    </xf>
    <xf numFmtId="0" fontId="0" fillId="0" borderId="47" xfId="0" applyBorder="1" applyAlignment="1">
      <alignment horizontal="left" vertical="top" wrapText="1"/>
    </xf>
    <xf numFmtId="3" fontId="3" fillId="0" borderId="25" xfId="0" applyNumberFormat="1" applyFont="1" applyFill="1" applyBorder="1" applyAlignment="1">
      <alignment horizontal="center" vertical="top" wrapText="1"/>
    </xf>
    <xf numFmtId="166" fontId="24" fillId="7" borderId="44" xfId="0" applyNumberFormat="1" applyFont="1" applyFill="1" applyBorder="1" applyAlignment="1">
      <alignment vertical="top" wrapText="1"/>
    </xf>
    <xf numFmtId="166" fontId="14" fillId="7" borderId="46" xfId="0" applyNumberFormat="1" applyFont="1" applyFill="1" applyBorder="1" applyAlignment="1">
      <alignment horizontal="center" vertical="top"/>
    </xf>
    <xf numFmtId="165" fontId="3" fillId="7" borderId="62" xfId="0" applyNumberFormat="1" applyFont="1" applyFill="1" applyBorder="1" applyAlignment="1">
      <alignment horizontal="center" vertical="top"/>
    </xf>
    <xf numFmtId="166" fontId="4" fillId="3" borderId="52" xfId="0" applyNumberFormat="1" applyFont="1" applyFill="1" applyBorder="1" applyAlignment="1">
      <alignment horizontal="center" vertical="top"/>
    </xf>
    <xf numFmtId="3" fontId="39" fillId="7" borderId="45" xfId="0" applyNumberFormat="1" applyFont="1" applyFill="1" applyBorder="1" applyAlignment="1">
      <alignment horizontal="center" vertical="center" wrapText="1"/>
    </xf>
    <xf numFmtId="166" fontId="5" fillId="7" borderId="10" xfId="0" applyNumberFormat="1" applyFont="1" applyFill="1" applyBorder="1" applyAlignment="1">
      <alignment horizontal="center" vertical="top" wrapText="1"/>
    </xf>
    <xf numFmtId="0" fontId="3" fillId="0" borderId="33" xfId="0" applyFont="1" applyBorder="1" applyAlignment="1">
      <alignment vertical="top"/>
    </xf>
    <xf numFmtId="166" fontId="5" fillId="7" borderId="27" xfId="0" applyNumberFormat="1" applyFont="1" applyFill="1" applyBorder="1" applyAlignment="1">
      <alignment horizontal="center" vertical="top" wrapText="1"/>
    </xf>
    <xf numFmtId="166" fontId="14" fillId="7" borderId="48" xfId="0" applyNumberFormat="1" applyFont="1" applyFill="1" applyBorder="1" applyAlignment="1">
      <alignment horizontal="center" vertical="top" wrapText="1"/>
    </xf>
    <xf numFmtId="166" fontId="44" fillId="7" borderId="94" xfId="0" applyNumberFormat="1" applyFont="1" applyFill="1" applyBorder="1" applyAlignment="1">
      <alignment horizontal="center" vertical="top" wrapText="1"/>
    </xf>
    <xf numFmtId="166" fontId="14" fillId="7" borderId="102" xfId="0" applyNumberFormat="1" applyFont="1" applyFill="1" applyBorder="1" applyAlignment="1">
      <alignment horizontal="center" vertical="top"/>
    </xf>
    <xf numFmtId="166" fontId="14" fillId="7" borderId="94" xfId="0" applyNumberFormat="1" applyFont="1" applyFill="1" applyBorder="1" applyAlignment="1">
      <alignment horizontal="center" vertical="top"/>
    </xf>
    <xf numFmtId="166" fontId="44" fillId="7" borderId="77" xfId="0" applyNumberFormat="1" applyFont="1" applyFill="1" applyBorder="1" applyAlignment="1">
      <alignment vertical="top" wrapText="1"/>
    </xf>
    <xf numFmtId="3" fontId="44" fillId="7" borderId="83" xfId="0" applyNumberFormat="1" applyFont="1" applyFill="1" applyBorder="1" applyAlignment="1">
      <alignment horizontal="center" vertical="top" wrapText="1"/>
    </xf>
    <xf numFmtId="3" fontId="44" fillId="7" borderId="93" xfId="0" applyNumberFormat="1" applyFont="1" applyFill="1" applyBorder="1" applyAlignment="1">
      <alignment horizontal="center" vertical="top" wrapText="1"/>
    </xf>
    <xf numFmtId="166" fontId="44" fillId="7" borderId="5" xfId="0" applyNumberFormat="1" applyFont="1" applyFill="1" applyBorder="1" applyAlignment="1">
      <alignment horizontal="center" vertical="top" wrapText="1"/>
    </xf>
    <xf numFmtId="166" fontId="44" fillId="7" borderId="6" xfId="0" applyNumberFormat="1" applyFont="1" applyFill="1" applyBorder="1" applyAlignment="1">
      <alignment vertical="top" wrapText="1"/>
    </xf>
    <xf numFmtId="3" fontId="44" fillId="7" borderId="10" xfId="0" applyNumberFormat="1" applyFont="1" applyFill="1" applyBorder="1" applyAlignment="1">
      <alignment horizontal="center" vertical="top"/>
    </xf>
    <xf numFmtId="3" fontId="44" fillId="7" borderId="0" xfId="0" applyNumberFormat="1" applyFont="1" applyFill="1" applyBorder="1" applyAlignment="1">
      <alignment horizontal="center" vertical="top"/>
    </xf>
    <xf numFmtId="3" fontId="44" fillId="7" borderId="47" xfId="0" applyNumberFormat="1" applyFont="1" applyFill="1" applyBorder="1" applyAlignment="1">
      <alignment horizontal="center" vertical="top"/>
    </xf>
    <xf numFmtId="3" fontId="44" fillId="7" borderId="17" xfId="0" applyNumberFormat="1" applyFont="1" applyFill="1" applyBorder="1" applyAlignment="1">
      <alignment horizontal="center" vertical="top"/>
    </xf>
    <xf numFmtId="166" fontId="44" fillId="7" borderId="22" xfId="0" applyNumberFormat="1" applyFont="1" applyFill="1" applyBorder="1" applyAlignment="1">
      <alignment horizontal="center" vertical="top" wrapText="1"/>
    </xf>
    <xf numFmtId="166" fontId="5" fillId="7" borderId="24" xfId="0" applyNumberFormat="1" applyFont="1" applyFill="1" applyBorder="1" applyAlignment="1">
      <alignment horizontal="center" vertical="top" wrapText="1"/>
    </xf>
    <xf numFmtId="166" fontId="5" fillId="7" borderId="29" xfId="0" applyNumberFormat="1" applyFont="1" applyFill="1" applyBorder="1" applyAlignment="1">
      <alignment horizontal="center" vertical="top" wrapText="1"/>
    </xf>
    <xf numFmtId="166" fontId="14" fillId="7" borderId="6" xfId="0" applyNumberFormat="1" applyFont="1" applyFill="1" applyBorder="1" applyAlignment="1">
      <alignment horizontal="center" vertical="top"/>
    </xf>
    <xf numFmtId="166" fontId="3" fillId="0" borderId="33" xfId="0" applyNumberFormat="1" applyFont="1" applyBorder="1" applyAlignment="1">
      <alignment horizontal="center" vertical="top"/>
    </xf>
    <xf numFmtId="166" fontId="3" fillId="0" borderId="5" xfId="0" applyNumberFormat="1" applyFont="1" applyBorder="1" applyAlignment="1">
      <alignment horizontal="center" vertical="top"/>
    </xf>
    <xf numFmtId="166" fontId="23" fillId="7" borderId="6" xfId="0" applyNumberFormat="1" applyFont="1" applyFill="1" applyBorder="1" applyAlignment="1">
      <alignment vertical="top" wrapText="1"/>
    </xf>
    <xf numFmtId="166" fontId="23" fillId="0" borderId="0" xfId="0" applyNumberFormat="1" applyFont="1" applyBorder="1" applyAlignment="1">
      <alignment vertical="top"/>
    </xf>
    <xf numFmtId="3" fontId="14" fillId="7" borderId="81" xfId="0" applyNumberFormat="1" applyFont="1" applyFill="1" applyBorder="1" applyAlignment="1">
      <alignment horizontal="center" vertical="top"/>
    </xf>
    <xf numFmtId="165" fontId="3" fillId="7" borderId="47" xfId="0" applyNumberFormat="1" applyFont="1" applyFill="1" applyBorder="1" applyAlignment="1">
      <alignment horizontal="center" vertical="top"/>
    </xf>
    <xf numFmtId="165" fontId="3" fillId="7" borderId="7" xfId="0" applyNumberFormat="1" applyFont="1" applyFill="1" applyBorder="1" applyAlignment="1">
      <alignment horizontal="center" vertical="top"/>
    </xf>
    <xf numFmtId="166" fontId="19" fillId="7" borderId="6" xfId="0" applyNumberFormat="1" applyFont="1" applyFill="1" applyBorder="1" applyAlignment="1">
      <alignment horizontal="left" vertical="top" wrapText="1"/>
    </xf>
    <xf numFmtId="3" fontId="3" fillId="0" borderId="45"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166" fontId="4" fillId="9" borderId="6" xfId="0" applyNumberFormat="1" applyFont="1" applyFill="1" applyBorder="1" applyAlignment="1">
      <alignment horizontal="center" vertical="top"/>
    </xf>
    <xf numFmtId="166" fontId="4" fillId="7" borderId="10"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166" fontId="3" fillId="7" borderId="6" xfId="0" applyNumberFormat="1" applyFont="1" applyFill="1" applyBorder="1" applyAlignment="1">
      <alignment horizontal="left" vertical="top" wrapText="1"/>
    </xf>
    <xf numFmtId="166" fontId="3" fillId="7" borderId="6" xfId="0" applyNumberFormat="1" applyFont="1" applyFill="1" applyBorder="1" applyAlignment="1">
      <alignment vertical="top" wrapText="1"/>
    </xf>
    <xf numFmtId="166" fontId="4" fillId="0" borderId="0" xfId="0" applyNumberFormat="1" applyFont="1" applyFill="1" applyBorder="1" applyAlignment="1">
      <alignment horizontal="center" vertical="top" wrapText="1"/>
    </xf>
    <xf numFmtId="166" fontId="4" fillId="9" borderId="6"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9" borderId="33" xfId="0" applyNumberFormat="1" applyFont="1" applyFill="1" applyBorder="1" applyAlignment="1">
      <alignment horizontal="center" vertical="top"/>
    </xf>
    <xf numFmtId="166" fontId="4" fillId="7" borderId="10" xfId="0" applyNumberFormat="1" applyFont="1" applyFill="1" applyBorder="1" applyAlignment="1">
      <alignment horizontal="center" vertical="top" wrapText="1"/>
    </xf>
    <xf numFmtId="166" fontId="3" fillId="7" borderId="27" xfId="0" applyNumberFormat="1" applyFont="1" applyFill="1" applyBorder="1" applyAlignment="1">
      <alignment horizontal="left" vertical="top" wrapText="1"/>
    </xf>
    <xf numFmtId="166" fontId="4" fillId="2" borderId="47" xfId="0" applyNumberFormat="1" applyFont="1" applyFill="1" applyBorder="1" applyAlignment="1">
      <alignment horizontal="center" vertical="top"/>
    </xf>
    <xf numFmtId="166" fontId="4" fillId="7" borderId="17" xfId="0" applyNumberFormat="1" applyFont="1" applyFill="1" applyBorder="1" applyAlignment="1">
      <alignment horizontal="center" vertical="top"/>
    </xf>
    <xf numFmtId="166" fontId="24" fillId="7" borderId="6" xfId="0" applyNumberFormat="1" applyFont="1" applyFill="1" applyBorder="1" applyAlignment="1">
      <alignment horizontal="left" vertical="top" wrapText="1"/>
    </xf>
    <xf numFmtId="166" fontId="4" fillId="3" borderId="10" xfId="0" applyNumberFormat="1" applyFont="1" applyFill="1" applyBorder="1" applyAlignment="1">
      <alignment horizontal="center" vertical="top" wrapText="1"/>
    </xf>
    <xf numFmtId="166" fontId="24" fillId="7" borderId="35" xfId="0" applyNumberFormat="1" applyFont="1" applyFill="1" applyBorder="1" applyAlignment="1">
      <alignment horizontal="left" vertical="top" wrapText="1"/>
    </xf>
    <xf numFmtId="166" fontId="3" fillId="7" borderId="47" xfId="0" applyNumberFormat="1" applyFont="1" applyFill="1" applyBorder="1" applyAlignment="1">
      <alignment vertical="top" wrapText="1"/>
    </xf>
    <xf numFmtId="166" fontId="4" fillId="7" borderId="19" xfId="0" applyNumberFormat="1" applyFont="1" applyFill="1" applyBorder="1" applyAlignment="1">
      <alignment horizontal="center" vertical="top" wrapText="1"/>
    </xf>
    <xf numFmtId="3" fontId="3" fillId="7" borderId="45" xfId="0" applyNumberFormat="1" applyFont="1" applyFill="1" applyBorder="1" applyAlignment="1">
      <alignment horizontal="center" vertical="top"/>
    </xf>
    <xf numFmtId="166" fontId="4" fillId="7" borderId="55" xfId="0" applyNumberFormat="1" applyFont="1" applyFill="1" applyBorder="1" applyAlignment="1">
      <alignment horizontal="center" vertical="top"/>
    </xf>
    <xf numFmtId="49" fontId="4" fillId="7" borderId="47"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166" fontId="3" fillId="7" borderId="28" xfId="0" applyNumberFormat="1" applyFont="1" applyFill="1" applyBorder="1" applyAlignment="1">
      <alignment horizontal="left" vertical="top" wrapText="1"/>
    </xf>
    <xf numFmtId="166" fontId="4" fillId="7" borderId="27" xfId="0" applyNumberFormat="1" applyFont="1" applyFill="1" applyBorder="1" applyAlignment="1">
      <alignment horizontal="center" vertical="top"/>
    </xf>
    <xf numFmtId="0" fontId="24" fillId="7" borderId="6" xfId="0" applyFont="1" applyFill="1" applyBorder="1" applyAlignment="1">
      <alignment vertical="top" wrapText="1"/>
    </xf>
    <xf numFmtId="0" fontId="27" fillId="7" borderId="28" xfId="0" applyFont="1" applyFill="1" applyBorder="1" applyAlignment="1">
      <alignment vertical="top" wrapText="1"/>
    </xf>
    <xf numFmtId="3" fontId="3" fillId="7" borderId="47" xfId="0" applyNumberFormat="1" applyFont="1" applyFill="1" applyBorder="1" applyAlignment="1">
      <alignment horizontal="center" vertical="top"/>
    </xf>
    <xf numFmtId="3" fontId="3" fillId="7" borderId="17" xfId="0" applyNumberFormat="1" applyFont="1" applyFill="1" applyBorder="1" applyAlignment="1">
      <alignment horizontal="center" vertical="top"/>
    </xf>
    <xf numFmtId="3" fontId="3" fillId="7" borderId="19" xfId="0" applyNumberFormat="1" applyFont="1" applyFill="1" applyBorder="1" applyAlignment="1">
      <alignment horizontal="center" vertical="top"/>
    </xf>
    <xf numFmtId="3" fontId="3" fillId="7" borderId="10" xfId="0" applyNumberFormat="1" applyFont="1" applyFill="1" applyBorder="1" applyAlignment="1">
      <alignment horizontal="center" vertical="top"/>
    </xf>
    <xf numFmtId="0" fontId="0" fillId="7" borderId="8" xfId="0" applyFill="1" applyBorder="1" applyAlignment="1">
      <alignment vertical="top" wrapText="1"/>
    </xf>
    <xf numFmtId="49" fontId="3" fillId="7" borderId="58" xfId="0" applyNumberFormat="1" applyFont="1" applyFill="1" applyBorder="1" applyAlignment="1">
      <alignment horizontal="center" vertical="top"/>
    </xf>
    <xf numFmtId="49" fontId="3" fillId="11" borderId="19" xfId="0" applyNumberFormat="1" applyFont="1" applyFill="1" applyBorder="1" applyAlignment="1">
      <alignment horizontal="center" vertical="top"/>
    </xf>
    <xf numFmtId="166" fontId="3" fillId="7" borderId="78" xfId="0" applyNumberFormat="1" applyFont="1" applyFill="1" applyBorder="1" applyAlignment="1">
      <alignment vertical="top" wrapText="1"/>
    </xf>
    <xf numFmtId="0" fontId="3" fillId="7" borderId="83" xfId="0" applyFont="1" applyFill="1" applyBorder="1" applyAlignment="1">
      <alignment vertical="top" wrapText="1"/>
    </xf>
    <xf numFmtId="0" fontId="3" fillId="7" borderId="27" xfId="0" applyNumberFormat="1" applyFont="1" applyFill="1" applyBorder="1" applyAlignment="1">
      <alignment horizontal="left" vertical="top" wrapText="1"/>
    </xf>
    <xf numFmtId="0" fontId="0" fillId="7" borderId="83" xfId="0" applyFill="1" applyBorder="1" applyAlignment="1">
      <alignment horizontal="left" vertical="top" wrapText="1"/>
    </xf>
    <xf numFmtId="166" fontId="3" fillId="11" borderId="84" xfId="0" applyNumberFormat="1" applyFont="1" applyFill="1" applyBorder="1" applyAlignment="1">
      <alignment horizontal="left" vertical="top" wrapText="1"/>
    </xf>
    <xf numFmtId="49" fontId="3" fillId="7" borderId="37" xfId="0" applyNumberFormat="1" applyFont="1" applyFill="1" applyBorder="1" applyAlignment="1">
      <alignment horizontal="center" vertical="top"/>
    </xf>
    <xf numFmtId="49" fontId="3" fillId="7" borderId="10" xfId="0" applyNumberFormat="1" applyFont="1" applyFill="1" applyBorder="1" applyAlignment="1">
      <alignment vertical="top"/>
    </xf>
    <xf numFmtId="49" fontId="3" fillId="7" borderId="47" xfId="0" applyNumberFormat="1" applyFont="1" applyFill="1" applyBorder="1" applyAlignment="1">
      <alignment vertical="top"/>
    </xf>
    <xf numFmtId="49" fontId="3" fillId="7" borderId="31" xfId="0" applyNumberFormat="1" applyFont="1" applyFill="1" applyBorder="1" applyAlignment="1">
      <alignment horizontal="center" vertical="top"/>
    </xf>
    <xf numFmtId="49" fontId="3" fillId="7" borderId="27" xfId="0" applyNumberFormat="1" applyFont="1" applyFill="1" applyBorder="1" applyAlignment="1">
      <alignment vertical="top"/>
    </xf>
    <xf numFmtId="166" fontId="3" fillId="7" borderId="86" xfId="0" applyNumberFormat="1" applyFont="1" applyFill="1" applyBorder="1" applyAlignment="1">
      <alignment horizontal="left" vertical="top" wrapText="1"/>
    </xf>
    <xf numFmtId="0" fontId="3" fillId="7" borderId="26" xfId="0" applyFont="1" applyFill="1" applyBorder="1" applyAlignment="1">
      <alignment vertical="top"/>
    </xf>
    <xf numFmtId="0" fontId="3" fillId="11" borderId="75" xfId="0" applyFont="1" applyFill="1" applyBorder="1" applyAlignment="1">
      <alignment horizontal="left" vertical="top" wrapText="1"/>
    </xf>
    <xf numFmtId="49" fontId="3" fillId="11" borderId="27" xfId="0" applyNumberFormat="1" applyFont="1" applyFill="1" applyBorder="1" applyAlignment="1">
      <alignment horizontal="center" vertical="top"/>
    </xf>
    <xf numFmtId="49" fontId="3" fillId="11" borderId="34" xfId="0" applyNumberFormat="1" applyFont="1" applyFill="1" applyBorder="1" applyAlignment="1">
      <alignment horizontal="center" vertical="top"/>
    </xf>
    <xf numFmtId="0" fontId="3" fillId="11" borderId="77" xfId="0" applyFont="1" applyFill="1" applyBorder="1" applyAlignment="1">
      <alignment horizontal="left" vertical="top" wrapText="1"/>
    </xf>
    <xf numFmtId="49" fontId="3" fillId="11" borderId="78" xfId="0" applyNumberFormat="1" applyFont="1" applyFill="1" applyBorder="1" applyAlignment="1">
      <alignment horizontal="center" vertical="top"/>
    </xf>
    <xf numFmtId="49" fontId="3" fillId="11" borderId="95" xfId="0" applyNumberFormat="1" applyFont="1" applyFill="1" applyBorder="1" applyAlignment="1">
      <alignment horizontal="center" vertical="top"/>
    </xf>
    <xf numFmtId="49" fontId="3" fillId="11" borderId="95" xfId="0" applyNumberFormat="1" applyFont="1" applyFill="1" applyBorder="1" applyAlignment="1">
      <alignment horizontal="left" vertical="top" wrapText="1"/>
    </xf>
    <xf numFmtId="0" fontId="3" fillId="11" borderId="35" xfId="0" applyFont="1" applyFill="1" applyBorder="1" applyAlignment="1">
      <alignment horizontal="left" vertical="top" wrapText="1"/>
    </xf>
    <xf numFmtId="49" fontId="3" fillId="11" borderId="45" xfId="0" applyNumberFormat="1" applyFont="1" applyFill="1" applyBorder="1" applyAlignment="1">
      <alignment horizontal="center" vertical="top"/>
    </xf>
    <xf numFmtId="49" fontId="3" fillId="11" borderId="45" xfId="0" applyNumberFormat="1" applyFont="1" applyFill="1" applyBorder="1" applyAlignment="1">
      <alignment horizontal="left" vertical="top" wrapText="1"/>
    </xf>
    <xf numFmtId="0" fontId="3" fillId="7" borderId="20" xfId="0" applyFont="1" applyFill="1" applyBorder="1" applyAlignment="1">
      <alignment vertical="top"/>
    </xf>
    <xf numFmtId="49" fontId="3" fillId="11" borderId="20" xfId="0" applyNumberFormat="1" applyFont="1" applyFill="1" applyBorder="1" applyAlignment="1">
      <alignment horizontal="left" vertical="top" wrapText="1"/>
    </xf>
    <xf numFmtId="49" fontId="3" fillId="11" borderId="79" xfId="0" applyNumberFormat="1" applyFont="1" applyFill="1" applyBorder="1" applyAlignment="1">
      <alignment horizontal="left" vertical="top" wrapText="1"/>
    </xf>
    <xf numFmtId="0" fontId="3" fillId="11" borderId="28" xfId="0" applyFont="1" applyFill="1" applyBorder="1" applyAlignment="1">
      <alignment horizontal="left" vertical="top" wrapText="1"/>
    </xf>
    <xf numFmtId="0" fontId="45" fillId="11" borderId="119" xfId="0" applyNumberFormat="1" applyFont="1" applyFill="1" applyBorder="1" applyAlignment="1" applyProtection="1">
      <alignment horizontal="left" vertical="top" wrapText="1" readingOrder="1"/>
      <protection locked="0"/>
    </xf>
    <xf numFmtId="49" fontId="3" fillId="7" borderId="1" xfId="0" applyNumberFormat="1" applyFont="1" applyFill="1" applyBorder="1" applyAlignment="1">
      <alignment vertical="top"/>
    </xf>
    <xf numFmtId="166" fontId="3" fillId="7" borderId="41" xfId="0" applyNumberFormat="1" applyFont="1" applyFill="1" applyBorder="1" applyAlignment="1">
      <alignment horizontal="center" vertical="top"/>
    </xf>
    <xf numFmtId="3" fontId="24" fillId="7" borderId="1" xfId="0" applyNumberFormat="1" applyFont="1" applyFill="1" applyBorder="1" applyAlignment="1">
      <alignment horizontal="center" vertical="top"/>
    </xf>
    <xf numFmtId="3" fontId="24" fillId="7" borderId="36" xfId="0" applyNumberFormat="1" applyFont="1" applyFill="1" applyBorder="1" applyAlignment="1">
      <alignment horizontal="center" vertical="top"/>
    </xf>
    <xf numFmtId="166" fontId="3" fillId="11" borderId="47" xfId="0" applyNumberFormat="1" applyFont="1" applyFill="1" applyBorder="1" applyAlignment="1">
      <alignment horizontal="left" vertical="top" wrapText="1"/>
    </xf>
    <xf numFmtId="0" fontId="24" fillId="11" borderId="15" xfId="0" applyFont="1" applyFill="1" applyBorder="1" applyAlignment="1">
      <alignment horizontal="left" vertical="top" wrapText="1"/>
    </xf>
    <xf numFmtId="3" fontId="24" fillId="11" borderId="1" xfId="0" applyNumberFormat="1" applyFont="1" applyFill="1" applyBorder="1" applyAlignment="1">
      <alignment horizontal="center" vertical="top"/>
    </xf>
    <xf numFmtId="3" fontId="24" fillId="11" borderId="36" xfId="0" applyNumberFormat="1" applyFont="1" applyFill="1" applyBorder="1" applyAlignment="1">
      <alignment horizontal="center" vertical="top"/>
    </xf>
    <xf numFmtId="3" fontId="3" fillId="11" borderId="16" xfId="0" applyNumberFormat="1" applyFont="1" applyFill="1" applyBorder="1" applyAlignment="1">
      <alignment horizontal="left" vertical="top" wrapText="1"/>
    </xf>
    <xf numFmtId="3" fontId="3" fillId="7" borderId="10" xfId="0" applyNumberFormat="1" applyFont="1" applyFill="1" applyBorder="1" applyAlignment="1">
      <alignment horizontal="left" vertical="top" wrapText="1"/>
    </xf>
    <xf numFmtId="3" fontId="3" fillId="7" borderId="27" xfId="0" applyNumberFormat="1" applyFont="1" applyFill="1" applyBorder="1" applyAlignment="1">
      <alignment horizontal="center" vertical="center" wrapText="1"/>
    </xf>
    <xf numFmtId="3" fontId="3" fillId="7" borderId="32" xfId="0" applyNumberFormat="1" applyFont="1" applyFill="1" applyBorder="1" applyAlignment="1">
      <alignment horizontal="center" vertical="top" wrapText="1"/>
    </xf>
    <xf numFmtId="3" fontId="3" fillId="7" borderId="52" xfId="0" applyNumberFormat="1" applyFont="1" applyFill="1" applyBorder="1" applyAlignment="1">
      <alignment horizontal="center" vertical="top" wrapText="1"/>
    </xf>
    <xf numFmtId="3" fontId="3" fillId="7" borderId="37" xfId="0" applyNumberFormat="1" applyFont="1" applyFill="1" applyBorder="1" applyAlignment="1">
      <alignment horizontal="center" vertical="top" wrapText="1"/>
    </xf>
    <xf numFmtId="3" fontId="3" fillId="7" borderId="121" xfId="0" applyNumberFormat="1" applyFont="1" applyFill="1" applyBorder="1" applyAlignment="1">
      <alignment horizontal="center" vertical="top" wrapText="1"/>
    </xf>
    <xf numFmtId="3" fontId="3" fillId="11" borderId="76" xfId="0" applyNumberFormat="1" applyFont="1" applyFill="1" applyBorder="1" applyAlignment="1">
      <alignment horizontal="center" vertical="top" wrapText="1"/>
    </xf>
    <xf numFmtId="49" fontId="3" fillId="11" borderId="109" xfId="0" applyNumberFormat="1" applyFont="1" applyFill="1" applyBorder="1" applyAlignment="1">
      <alignment horizontal="center" vertical="top" wrapText="1"/>
    </xf>
    <xf numFmtId="3" fontId="3" fillId="11" borderId="120" xfId="0" applyNumberFormat="1" applyFont="1" applyFill="1" applyBorder="1" applyAlignment="1">
      <alignment horizontal="left" vertical="top" wrapText="1"/>
    </xf>
    <xf numFmtId="0" fontId="3" fillId="6" borderId="28" xfId="0" applyFont="1" applyFill="1" applyBorder="1" applyAlignment="1">
      <alignment horizontal="left" vertical="top" wrapText="1"/>
    </xf>
    <xf numFmtId="3" fontId="3" fillId="6" borderId="27" xfId="0" applyNumberFormat="1" applyFont="1" applyFill="1" applyBorder="1" applyAlignment="1">
      <alignment horizontal="center" vertical="top" wrapText="1"/>
    </xf>
    <xf numFmtId="3" fontId="3" fillId="6" borderId="73" xfId="0" applyNumberFormat="1" applyFont="1" applyFill="1" applyBorder="1" applyAlignment="1">
      <alignment horizontal="center" vertical="top" wrapText="1"/>
    </xf>
    <xf numFmtId="3" fontId="3" fillId="6" borderId="52" xfId="0" applyNumberFormat="1" applyFont="1" applyFill="1" applyBorder="1" applyAlignment="1">
      <alignment horizontal="left" vertical="top" wrapText="1"/>
    </xf>
    <xf numFmtId="0" fontId="30" fillId="7" borderId="28" xfId="0" applyFont="1" applyFill="1" applyBorder="1" applyAlignment="1">
      <alignment vertical="top" wrapText="1"/>
    </xf>
    <xf numFmtId="3" fontId="3" fillId="7" borderId="27" xfId="0" applyNumberFormat="1" applyFont="1" applyFill="1" applyBorder="1" applyAlignment="1">
      <alignment horizontal="left" vertical="top" wrapText="1"/>
    </xf>
    <xf numFmtId="166" fontId="24" fillId="11" borderId="6" xfId="0" applyNumberFormat="1" applyFont="1" applyFill="1" applyBorder="1" applyAlignment="1">
      <alignment horizontal="left" vertical="top" wrapText="1"/>
    </xf>
    <xf numFmtId="3" fontId="3" fillId="11" borderId="10" xfId="0" applyNumberFormat="1" applyFont="1" applyFill="1" applyBorder="1" applyAlignment="1">
      <alignment horizontal="center" vertical="top"/>
    </xf>
    <xf numFmtId="3" fontId="3" fillId="11" borderId="0" xfId="0" applyNumberFormat="1" applyFont="1" applyFill="1" applyBorder="1" applyAlignment="1">
      <alignment horizontal="center" vertical="top"/>
    </xf>
    <xf numFmtId="3" fontId="3" fillId="11" borderId="27" xfId="0" applyNumberFormat="1" applyFont="1" applyFill="1" applyBorder="1" applyAlignment="1">
      <alignment horizontal="center" vertical="top"/>
    </xf>
    <xf numFmtId="3" fontId="3" fillId="11" borderId="73" xfId="0" applyNumberFormat="1" applyFont="1" applyFill="1" applyBorder="1" applyAlignment="1">
      <alignment horizontal="center" vertical="top"/>
    </xf>
    <xf numFmtId="49" fontId="3" fillId="11" borderId="0" xfId="0" applyNumberFormat="1" applyFont="1" applyFill="1" applyBorder="1" applyAlignment="1">
      <alignment horizontal="center" vertical="top"/>
    </xf>
    <xf numFmtId="166" fontId="24" fillId="11" borderId="35" xfId="0" applyNumberFormat="1" applyFont="1" applyFill="1" applyBorder="1" applyAlignment="1">
      <alignment horizontal="left" vertical="top" wrapText="1"/>
    </xf>
    <xf numFmtId="3" fontId="24" fillId="11" borderId="19" xfId="0" applyNumberFormat="1" applyFont="1" applyFill="1" applyBorder="1" applyAlignment="1">
      <alignment horizontal="center" vertical="top"/>
    </xf>
    <xf numFmtId="49" fontId="24" fillId="11" borderId="58" xfId="0" applyNumberFormat="1" applyFont="1" applyFill="1" applyBorder="1" applyAlignment="1">
      <alignment horizontal="center" vertical="top"/>
    </xf>
    <xf numFmtId="166" fontId="24" fillId="11" borderId="28" xfId="0" applyNumberFormat="1" applyFont="1" applyFill="1" applyBorder="1" applyAlignment="1">
      <alignment horizontal="left" vertical="top" wrapText="1"/>
    </xf>
    <xf numFmtId="3" fontId="24" fillId="11" borderId="27" xfId="0" applyNumberFormat="1" applyFont="1" applyFill="1" applyBorder="1" applyAlignment="1">
      <alignment horizontal="center" vertical="top"/>
    </xf>
    <xf numFmtId="3" fontId="24" fillId="11" borderId="73" xfId="0" applyNumberFormat="1" applyFont="1" applyFill="1" applyBorder="1" applyAlignment="1">
      <alignment horizontal="center" vertical="top"/>
    </xf>
    <xf numFmtId="3" fontId="3" fillId="7" borderId="67" xfId="0" applyNumberFormat="1" applyFont="1" applyFill="1" applyBorder="1" applyAlignment="1">
      <alignment horizontal="center" vertical="top"/>
    </xf>
    <xf numFmtId="3" fontId="3" fillId="7" borderId="46"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wrapText="1"/>
    </xf>
    <xf numFmtId="3" fontId="3" fillId="7" borderId="47" xfId="0" applyNumberFormat="1" applyFont="1" applyFill="1" applyBorder="1" applyAlignment="1">
      <alignment horizontal="left" vertical="top" wrapText="1"/>
    </xf>
    <xf numFmtId="166" fontId="24" fillId="6" borderId="35" xfId="0" applyNumberFormat="1" applyFont="1" applyFill="1" applyBorder="1" applyAlignment="1">
      <alignment vertical="top" wrapText="1"/>
    </xf>
    <xf numFmtId="3" fontId="24" fillId="6" borderId="19" xfId="0" applyNumberFormat="1" applyFont="1" applyFill="1" applyBorder="1" applyAlignment="1">
      <alignment horizontal="center" vertical="top"/>
    </xf>
    <xf numFmtId="3" fontId="24" fillId="6" borderId="45" xfId="0" applyNumberFormat="1" applyFont="1" applyFill="1" applyBorder="1" applyAlignment="1">
      <alignment horizontal="center" vertical="top"/>
    </xf>
    <xf numFmtId="166" fontId="24" fillId="6" borderId="28" xfId="0" applyNumberFormat="1" applyFont="1" applyFill="1" applyBorder="1" applyAlignment="1">
      <alignment vertical="top" wrapText="1"/>
    </xf>
    <xf numFmtId="3" fontId="24" fillId="6" borderId="27" xfId="0" applyNumberFormat="1" applyFont="1" applyFill="1" applyBorder="1" applyAlignment="1">
      <alignment horizontal="center" vertical="top"/>
    </xf>
    <xf numFmtId="3" fontId="24" fillId="6" borderId="34" xfId="0" applyNumberFormat="1" applyFont="1" applyFill="1" applyBorder="1" applyAlignment="1">
      <alignment horizontal="center" vertical="top"/>
    </xf>
    <xf numFmtId="166" fontId="24" fillId="7" borderId="15" xfId="0" applyNumberFormat="1" applyFont="1" applyFill="1" applyBorder="1" applyAlignment="1">
      <alignment horizontal="left" vertical="top" wrapText="1"/>
    </xf>
    <xf numFmtId="3" fontId="24" fillId="7" borderId="1" xfId="0" applyNumberFormat="1" applyFont="1" applyFill="1" applyBorder="1" applyAlignment="1">
      <alignment horizontal="left" vertical="top" wrapText="1"/>
    </xf>
    <xf numFmtId="3" fontId="3" fillId="7" borderId="41" xfId="0" applyNumberFormat="1" applyFont="1" applyFill="1" applyBorder="1" applyAlignment="1">
      <alignment horizontal="center" vertical="top"/>
    </xf>
    <xf numFmtId="167" fontId="45" fillId="7" borderId="122" xfId="0" applyNumberFormat="1" applyFont="1" applyFill="1" applyBorder="1" applyAlignment="1" applyProtection="1">
      <alignment horizontal="right" vertical="top" wrapText="1" readingOrder="1"/>
      <protection locked="0"/>
    </xf>
    <xf numFmtId="167" fontId="45" fillId="7" borderId="123" xfId="0" applyNumberFormat="1" applyFont="1" applyFill="1" applyBorder="1" applyAlignment="1" applyProtection="1">
      <alignment horizontal="right" vertical="top" wrapText="1" readingOrder="1"/>
      <protection locked="0"/>
    </xf>
    <xf numFmtId="0" fontId="45" fillId="7" borderId="124" xfId="0" applyNumberFormat="1" applyFont="1" applyFill="1" applyBorder="1" applyAlignment="1" applyProtection="1">
      <alignment horizontal="center" vertical="top" wrapText="1" readingOrder="1"/>
      <protection locked="0"/>
    </xf>
    <xf numFmtId="0" fontId="45" fillId="7" borderId="5" xfId="0" applyNumberFormat="1" applyFont="1" applyFill="1" applyBorder="1" applyAlignment="1" applyProtection="1">
      <alignment horizontal="center" vertical="top" wrapText="1" readingOrder="1"/>
      <protection locked="0"/>
    </xf>
    <xf numFmtId="166" fontId="3" fillId="7" borderId="5" xfId="0" applyNumberFormat="1" applyFont="1" applyFill="1" applyBorder="1" applyAlignment="1">
      <alignment horizontal="center" vertical="top" readingOrder="1"/>
    </xf>
    <xf numFmtId="166" fontId="7" fillId="7" borderId="83" xfId="0" applyNumberFormat="1" applyFont="1" applyFill="1" applyBorder="1" applyAlignment="1">
      <alignment horizontal="center" vertical="top"/>
    </xf>
    <xf numFmtId="49" fontId="7" fillId="7" borderId="90" xfId="0" applyNumberFormat="1" applyFont="1" applyFill="1" applyBorder="1" applyAlignment="1">
      <alignment horizontal="center" vertical="top"/>
    </xf>
    <xf numFmtId="167" fontId="45" fillId="7" borderId="7" xfId="0" applyNumberFormat="1" applyFont="1" applyFill="1" applyBorder="1" applyAlignment="1" applyProtection="1">
      <alignment horizontal="center" vertical="top" wrapText="1" readingOrder="1"/>
      <protection locked="0"/>
    </xf>
    <xf numFmtId="167" fontId="45" fillId="7" borderId="37" xfId="0" applyNumberFormat="1" applyFont="1" applyFill="1" applyBorder="1" applyAlignment="1" applyProtection="1">
      <alignment horizontal="center" vertical="top" wrapText="1" readingOrder="1"/>
      <protection locked="0"/>
    </xf>
    <xf numFmtId="167" fontId="45" fillId="7" borderId="5" xfId="0" applyNumberFormat="1" applyFont="1" applyFill="1" applyBorder="1" applyAlignment="1" applyProtection="1">
      <alignment horizontal="center" vertical="top" wrapText="1" readingOrder="1"/>
      <protection locked="0"/>
    </xf>
    <xf numFmtId="167" fontId="45" fillId="7" borderId="42" xfId="0" applyNumberFormat="1" applyFont="1" applyFill="1" applyBorder="1" applyAlignment="1" applyProtection="1">
      <alignment horizontal="center" vertical="top" wrapText="1" readingOrder="1"/>
      <protection locked="0"/>
    </xf>
    <xf numFmtId="0" fontId="45" fillId="7" borderId="118" xfId="0" applyNumberFormat="1" applyFont="1" applyFill="1" applyBorder="1" applyAlignment="1" applyProtection="1">
      <alignment horizontal="center" vertical="top" wrapText="1" readingOrder="1"/>
      <protection locked="0"/>
    </xf>
    <xf numFmtId="0" fontId="45" fillId="7" borderId="125" xfId="0" applyNumberFormat="1" applyFont="1" applyFill="1" applyBorder="1" applyAlignment="1" applyProtection="1">
      <alignment horizontal="center" vertical="top" wrapText="1" readingOrder="1"/>
      <protection locked="0"/>
    </xf>
    <xf numFmtId="0" fontId="45" fillId="7" borderId="22" xfId="0" applyNumberFormat="1" applyFont="1" applyFill="1" applyBorder="1" applyAlignment="1" applyProtection="1">
      <alignment horizontal="center" vertical="top" wrapText="1" readingOrder="1"/>
      <protection locked="0"/>
    </xf>
    <xf numFmtId="49" fontId="3" fillId="7" borderId="45" xfId="0" applyNumberFormat="1" applyFont="1" applyFill="1" applyBorder="1" applyAlignment="1">
      <alignment vertical="top"/>
    </xf>
    <xf numFmtId="49" fontId="39" fillId="7" borderId="47" xfId="0" applyNumberFormat="1" applyFont="1" applyFill="1" applyBorder="1" applyAlignment="1">
      <alignment horizontal="center" vertical="top" wrapText="1"/>
    </xf>
    <xf numFmtId="166" fontId="3" fillId="11" borderId="82" xfId="0" applyNumberFormat="1" applyFont="1" applyFill="1" applyBorder="1" applyAlignment="1">
      <alignment vertical="top" wrapText="1"/>
    </xf>
    <xf numFmtId="3" fontId="3" fillId="11" borderId="83" xfId="0" applyNumberFormat="1" applyFont="1" applyFill="1" applyBorder="1" applyAlignment="1">
      <alignment horizontal="center" vertical="top"/>
    </xf>
    <xf numFmtId="3" fontId="3" fillId="11" borderId="90" xfId="0" applyNumberFormat="1" applyFont="1" applyFill="1" applyBorder="1" applyAlignment="1">
      <alignment horizontal="center" vertical="top"/>
    </xf>
    <xf numFmtId="3" fontId="3" fillId="11" borderId="121" xfId="0" applyNumberFormat="1" applyFont="1" applyFill="1" applyBorder="1" applyAlignment="1">
      <alignment horizontal="left" vertical="top" wrapText="1"/>
    </xf>
    <xf numFmtId="166" fontId="3" fillId="11" borderId="24" xfId="0" applyNumberFormat="1" applyFont="1" applyFill="1" applyBorder="1" applyAlignment="1">
      <alignment vertical="top" wrapText="1"/>
    </xf>
    <xf numFmtId="166" fontId="3" fillId="11" borderId="27" xfId="0" applyNumberFormat="1" applyFont="1" applyFill="1" applyBorder="1" applyAlignment="1">
      <alignment vertical="top" wrapText="1"/>
    </xf>
    <xf numFmtId="166" fontId="3" fillId="11" borderId="80" xfId="0" applyNumberFormat="1" applyFont="1" applyFill="1" applyBorder="1" applyAlignment="1">
      <alignment horizontal="left" vertical="top" wrapText="1"/>
    </xf>
    <xf numFmtId="3" fontId="3" fillId="11" borderId="81" xfId="0" applyNumberFormat="1" applyFont="1" applyFill="1" applyBorder="1" applyAlignment="1">
      <alignment horizontal="center" vertical="top"/>
    </xf>
    <xf numFmtId="3" fontId="3" fillId="11" borderId="106" xfId="0" applyNumberFormat="1" applyFont="1" applyFill="1" applyBorder="1" applyAlignment="1">
      <alignment horizontal="center" vertical="top"/>
    </xf>
    <xf numFmtId="49" fontId="3" fillId="11" borderId="28" xfId="0" applyNumberFormat="1" applyFont="1" applyFill="1" applyBorder="1" applyAlignment="1">
      <alignment horizontal="left" vertical="top" wrapText="1"/>
    </xf>
    <xf numFmtId="49" fontId="3" fillId="11" borderId="52" xfId="0" applyNumberFormat="1" applyFont="1" applyFill="1" applyBorder="1" applyAlignment="1">
      <alignment horizontal="left" vertical="top" wrapText="1"/>
    </xf>
    <xf numFmtId="0" fontId="3" fillId="11" borderId="91" xfId="0" applyFont="1" applyFill="1" applyBorder="1" applyAlignment="1">
      <alignment vertical="top" wrapText="1"/>
    </xf>
    <xf numFmtId="3" fontId="3" fillId="11" borderId="126" xfId="0" applyNumberFormat="1" applyFont="1" applyFill="1" applyBorder="1" applyAlignment="1">
      <alignment horizontal="left" vertical="top" wrapText="1"/>
    </xf>
    <xf numFmtId="49" fontId="3" fillId="11" borderId="83" xfId="0" applyNumberFormat="1" applyFont="1" applyFill="1" applyBorder="1" applyAlignment="1">
      <alignment horizontal="center" vertical="top"/>
    </xf>
    <xf numFmtId="0" fontId="3" fillId="11" borderId="117" xfId="0" applyFont="1" applyFill="1" applyBorder="1" applyAlignment="1">
      <alignment vertical="top" wrapText="1"/>
    </xf>
    <xf numFmtId="166" fontId="3" fillId="11" borderId="10" xfId="0" applyNumberFormat="1" applyFont="1" applyFill="1" applyBorder="1" applyAlignment="1">
      <alignment vertical="top" wrapText="1"/>
    </xf>
    <xf numFmtId="3" fontId="3" fillId="11" borderId="36" xfId="0" applyNumberFormat="1" applyFont="1" applyFill="1" applyBorder="1" applyAlignment="1">
      <alignment horizontal="center" vertical="top"/>
    </xf>
    <xf numFmtId="49" fontId="3" fillId="11" borderId="1" xfId="0" applyNumberFormat="1" applyFont="1" applyFill="1" applyBorder="1" applyAlignment="1">
      <alignment horizontal="center" vertical="top"/>
    </xf>
    <xf numFmtId="3" fontId="3" fillId="11" borderId="1" xfId="0" applyNumberFormat="1" applyFont="1" applyFill="1" applyBorder="1" applyAlignment="1">
      <alignment horizontal="left" vertical="top" wrapText="1"/>
    </xf>
    <xf numFmtId="3" fontId="3" fillId="11" borderId="27" xfId="0" applyNumberFormat="1" applyFont="1" applyFill="1" applyBorder="1" applyAlignment="1">
      <alignment horizontal="center" vertical="top" wrapText="1"/>
    </xf>
    <xf numFmtId="49" fontId="3" fillId="11" borderId="34" xfId="0" applyNumberFormat="1" applyFont="1" applyFill="1" applyBorder="1" applyAlignment="1">
      <alignment horizontal="center" vertical="top" wrapText="1"/>
    </xf>
    <xf numFmtId="3" fontId="3" fillId="11" borderId="27" xfId="0" applyNumberFormat="1" applyFont="1" applyFill="1" applyBorder="1" applyAlignment="1">
      <alignment horizontal="left" vertical="top" wrapText="1"/>
    </xf>
    <xf numFmtId="3" fontId="3" fillId="7" borderId="1" xfId="0" applyNumberFormat="1" applyFont="1" applyFill="1" applyBorder="1" applyAlignment="1">
      <alignment horizontal="left" vertical="top" wrapText="1"/>
    </xf>
    <xf numFmtId="166" fontId="2" fillId="7" borderId="10" xfId="0" applyNumberFormat="1" applyFont="1" applyFill="1" applyBorder="1" applyAlignment="1">
      <alignment horizontal="center" vertical="top" textRotation="90" wrapText="1"/>
    </xf>
    <xf numFmtId="0" fontId="3" fillId="11" borderId="18" xfId="0" applyFont="1" applyFill="1" applyBorder="1" applyAlignment="1">
      <alignment vertical="top" wrapText="1"/>
    </xf>
    <xf numFmtId="3" fontId="3" fillId="11" borderId="24" xfId="0" applyNumberFormat="1" applyFont="1" applyFill="1" applyBorder="1" applyAlignment="1">
      <alignment horizontal="center" vertical="top"/>
    </xf>
    <xf numFmtId="49" fontId="3" fillId="11" borderId="24" xfId="0" applyNumberFormat="1" applyFont="1" applyFill="1" applyBorder="1" applyAlignment="1">
      <alignment horizontal="center" vertical="top"/>
    </xf>
    <xf numFmtId="166" fontId="3" fillId="11" borderId="83" xfId="0" applyNumberFormat="1" applyFont="1" applyFill="1" applyBorder="1" applyAlignment="1">
      <alignment vertical="top" wrapText="1"/>
    </xf>
    <xf numFmtId="0" fontId="3" fillId="9" borderId="19" xfId="0" applyFont="1" applyFill="1" applyBorder="1" applyAlignment="1">
      <alignment horizontal="left" vertical="top" wrapText="1"/>
    </xf>
    <xf numFmtId="0" fontId="3" fillId="9" borderId="10" xfId="0" applyFont="1" applyFill="1" applyBorder="1" applyAlignment="1">
      <alignment horizontal="left" vertical="top" wrapText="1"/>
    </xf>
    <xf numFmtId="0" fontId="3" fillId="9" borderId="117" xfId="0" applyFont="1" applyFill="1" applyBorder="1" applyAlignment="1">
      <alignment horizontal="justify" vertical="center" wrapText="1"/>
    </xf>
    <xf numFmtId="0" fontId="3" fillId="9" borderId="1"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9" borderId="1" xfId="0" applyFont="1" applyFill="1" applyBorder="1" applyAlignment="1">
      <alignment horizontal="center" vertical="center"/>
    </xf>
    <xf numFmtId="3" fontId="3" fillId="11" borderId="81" xfId="0" applyNumberFormat="1" applyFont="1" applyFill="1" applyBorder="1" applyAlignment="1">
      <alignment horizontal="left" vertical="top" wrapText="1"/>
    </xf>
    <xf numFmtId="0" fontId="0" fillId="7" borderId="47" xfId="0" applyFill="1" applyBorder="1" applyAlignment="1">
      <alignment vertical="top" wrapText="1"/>
    </xf>
    <xf numFmtId="166" fontId="7" fillId="7" borderId="10" xfId="0" applyNumberFormat="1" applyFont="1" applyFill="1" applyBorder="1" applyAlignment="1">
      <alignment horizontal="left" textRotation="90" wrapText="1"/>
    </xf>
    <xf numFmtId="166" fontId="4" fillId="7" borderId="26" xfId="0" applyNumberFormat="1" applyFont="1" applyFill="1" applyBorder="1" applyAlignment="1">
      <alignment horizontal="center" vertical="top"/>
    </xf>
    <xf numFmtId="49" fontId="4" fillId="7" borderId="26" xfId="0" applyNumberFormat="1" applyFont="1" applyFill="1" applyBorder="1" applyAlignment="1">
      <alignment horizontal="center" vertical="top"/>
    </xf>
    <xf numFmtId="49" fontId="3" fillId="7" borderId="27" xfId="0" applyNumberFormat="1" applyFont="1" applyFill="1" applyBorder="1" applyAlignment="1">
      <alignment horizontal="center" vertical="top"/>
    </xf>
    <xf numFmtId="166" fontId="3" fillId="0" borderId="102" xfId="0" applyNumberFormat="1" applyFont="1" applyFill="1" applyBorder="1" applyAlignment="1">
      <alignment horizontal="center" vertical="top"/>
    </xf>
    <xf numFmtId="166" fontId="3" fillId="7" borderId="109" xfId="0" applyNumberFormat="1" applyFont="1" applyFill="1" applyBorder="1" applyAlignment="1">
      <alignment vertical="top"/>
    </xf>
    <xf numFmtId="3" fontId="3" fillId="0" borderId="19" xfId="0" applyNumberFormat="1" applyFont="1" applyFill="1" applyBorder="1" applyAlignment="1">
      <alignment horizontal="left" vertical="top" wrapText="1"/>
    </xf>
    <xf numFmtId="3" fontId="3" fillId="7" borderId="95" xfId="0" applyNumberFormat="1" applyFont="1" applyFill="1" applyBorder="1" applyAlignment="1">
      <alignment horizontal="left" vertical="top" wrapText="1"/>
    </xf>
    <xf numFmtId="49" fontId="39" fillId="7" borderId="27" xfId="0" applyNumberFormat="1" applyFont="1" applyFill="1" applyBorder="1" applyAlignment="1">
      <alignment horizontal="center" vertical="top" wrapText="1"/>
    </xf>
    <xf numFmtId="49" fontId="39" fillId="7" borderId="52" xfId="0" applyNumberFormat="1" applyFont="1" applyFill="1" applyBorder="1" applyAlignment="1">
      <alignment horizontal="center" vertical="top" wrapText="1"/>
    </xf>
    <xf numFmtId="0" fontId="3" fillId="11" borderId="75" xfId="0" applyFont="1" applyFill="1" applyBorder="1" applyAlignment="1">
      <alignment vertical="top" wrapText="1"/>
    </xf>
    <xf numFmtId="49" fontId="3" fillId="11" borderId="76" xfId="0" applyNumberFormat="1" applyFont="1" applyFill="1" applyBorder="1" applyAlignment="1">
      <alignment horizontal="center" vertical="top" wrapText="1"/>
    </xf>
    <xf numFmtId="3" fontId="3" fillId="11" borderId="120" xfId="0" applyNumberFormat="1" applyFont="1" applyFill="1" applyBorder="1" applyAlignment="1">
      <alignment horizontal="center" vertical="top"/>
    </xf>
    <xf numFmtId="166" fontId="3" fillId="7" borderId="1" xfId="0" applyNumberFormat="1" applyFont="1" applyFill="1" applyBorder="1" applyAlignment="1">
      <alignment horizontal="left" vertical="top" wrapText="1"/>
    </xf>
    <xf numFmtId="166" fontId="3" fillId="7" borderId="15" xfId="0" applyNumberFormat="1" applyFont="1" applyFill="1" applyBorder="1" applyAlignment="1">
      <alignment horizontal="left" vertical="top" wrapText="1"/>
    </xf>
    <xf numFmtId="3" fontId="3" fillId="7" borderId="1" xfId="0" applyNumberFormat="1" applyFont="1" applyFill="1" applyBorder="1" applyAlignment="1">
      <alignment horizontal="center" vertical="top"/>
    </xf>
    <xf numFmtId="3" fontId="3" fillId="7" borderId="60" xfId="0" applyNumberFormat="1" applyFont="1" applyFill="1" applyBorder="1" applyAlignment="1">
      <alignment horizontal="center" vertical="top"/>
    </xf>
    <xf numFmtId="166" fontId="3" fillId="7" borderId="100" xfId="0" applyNumberFormat="1" applyFont="1" applyFill="1" applyBorder="1" applyAlignment="1">
      <alignment horizontal="center" vertical="top"/>
    </xf>
    <xf numFmtId="166" fontId="3" fillId="7" borderId="128" xfId="0" applyNumberFormat="1" applyFont="1" applyFill="1" applyBorder="1" applyAlignment="1">
      <alignment horizontal="center" vertical="top"/>
    </xf>
    <xf numFmtId="166" fontId="3" fillId="7" borderId="83" xfId="0" applyNumberFormat="1" applyFont="1" applyFill="1" applyBorder="1" applyAlignment="1">
      <alignment horizontal="center" vertical="top"/>
    </xf>
    <xf numFmtId="49" fontId="3" fillId="7" borderId="10" xfId="0" applyNumberFormat="1" applyFont="1" applyFill="1" applyBorder="1" applyAlignment="1">
      <alignment horizontal="left" vertical="top" wrapText="1"/>
    </xf>
    <xf numFmtId="166" fontId="3" fillId="0" borderId="76" xfId="0" applyNumberFormat="1" applyFont="1" applyFill="1" applyBorder="1" applyAlignment="1">
      <alignment horizontal="center" vertical="top"/>
    </xf>
    <xf numFmtId="3" fontId="7" fillId="7" borderId="19" xfId="0" applyNumberFormat="1" applyFont="1" applyFill="1" applyBorder="1" applyAlignment="1">
      <alignment horizontal="center" vertical="top" wrapText="1"/>
    </xf>
    <xf numFmtId="0" fontId="34" fillId="0" borderId="0" xfId="0" applyFont="1" applyAlignment="1">
      <alignment horizontal="left" vertical="top"/>
    </xf>
    <xf numFmtId="3" fontId="3" fillId="7" borderId="17" xfId="0" applyNumberFormat="1" applyFont="1" applyFill="1" applyBorder="1" applyAlignment="1">
      <alignment horizontal="center" vertical="top"/>
    </xf>
    <xf numFmtId="3" fontId="3" fillId="7" borderId="42" xfId="0" applyNumberFormat="1" applyFont="1" applyFill="1" applyBorder="1" applyAlignment="1">
      <alignment horizontal="center" vertical="center" wrapText="1"/>
    </xf>
    <xf numFmtId="166" fontId="3" fillId="8" borderId="35" xfId="0" applyNumberFormat="1" applyFont="1" applyFill="1" applyBorder="1" applyAlignment="1">
      <alignment vertical="top" wrapText="1"/>
    </xf>
    <xf numFmtId="3" fontId="3" fillId="8" borderId="19" xfId="0" applyNumberFormat="1" applyFont="1" applyFill="1" applyBorder="1" applyAlignment="1">
      <alignment horizontal="center" vertical="top"/>
    </xf>
    <xf numFmtId="3" fontId="3" fillId="8" borderId="58" xfId="0" applyNumberFormat="1" applyFont="1" applyFill="1" applyBorder="1" applyAlignment="1">
      <alignment horizontal="center" vertical="top"/>
    </xf>
    <xf numFmtId="166" fontId="3" fillId="8" borderId="28" xfId="0" applyNumberFormat="1" applyFont="1" applyFill="1" applyBorder="1" applyAlignment="1">
      <alignment vertical="top" wrapText="1"/>
    </xf>
    <xf numFmtId="3" fontId="3" fillId="8" borderId="27" xfId="0" applyNumberFormat="1" applyFont="1" applyFill="1" applyBorder="1" applyAlignment="1">
      <alignment horizontal="center" vertical="top"/>
    </xf>
    <xf numFmtId="3" fontId="3" fillId="8" borderId="73" xfId="0" applyNumberFormat="1" applyFont="1" applyFill="1" applyBorder="1" applyAlignment="1">
      <alignment horizontal="center" vertical="top"/>
    </xf>
    <xf numFmtId="0" fontId="3" fillId="11" borderId="44" xfId="0" applyFont="1" applyFill="1" applyBorder="1" applyAlignment="1">
      <alignment vertical="top" wrapText="1"/>
    </xf>
    <xf numFmtId="49" fontId="3" fillId="11" borderId="19" xfId="0" applyNumberFormat="1" applyFont="1" applyFill="1" applyBorder="1" applyAlignment="1">
      <alignment horizontal="left" vertical="top" wrapText="1"/>
    </xf>
    <xf numFmtId="166" fontId="3" fillId="11" borderId="36" xfId="0" applyNumberFormat="1" applyFont="1" applyFill="1" applyBorder="1" applyAlignment="1">
      <alignment vertical="top" wrapText="1"/>
    </xf>
    <xf numFmtId="166" fontId="3" fillId="11" borderId="117" xfId="0" applyNumberFormat="1" applyFont="1" applyFill="1" applyBorder="1" applyAlignment="1">
      <alignment horizontal="left" vertical="top" wrapText="1"/>
    </xf>
    <xf numFmtId="3" fontId="3" fillId="11" borderId="1" xfId="0" applyNumberFormat="1" applyFont="1" applyFill="1" applyBorder="1" applyAlignment="1">
      <alignment horizontal="center" vertical="top"/>
    </xf>
    <xf numFmtId="49" fontId="3" fillId="11" borderId="60" xfId="0" applyNumberFormat="1" applyFont="1" applyFill="1" applyBorder="1" applyAlignment="1">
      <alignment horizontal="center" vertical="top"/>
    </xf>
    <xf numFmtId="0" fontId="34" fillId="0" borderId="0" xfId="2" applyFont="1" applyFill="1" applyAlignment="1">
      <alignment horizontal="center" vertical="top"/>
    </xf>
    <xf numFmtId="3" fontId="3" fillId="7" borderId="10" xfId="0" applyNumberFormat="1" applyFont="1" applyFill="1" applyBorder="1" applyAlignment="1">
      <alignment horizontal="left" vertical="top" wrapText="1"/>
    </xf>
    <xf numFmtId="0" fontId="0" fillId="0" borderId="6" xfId="0" applyBorder="1" applyAlignment="1">
      <alignment horizontal="left" vertical="top" wrapText="1"/>
    </xf>
    <xf numFmtId="166" fontId="3" fillId="7" borderId="35" xfId="0" applyNumberFormat="1" applyFont="1" applyFill="1" applyBorder="1" applyAlignment="1">
      <alignment horizontal="left" vertical="top" wrapText="1"/>
    </xf>
    <xf numFmtId="166" fontId="3" fillId="7" borderId="34" xfId="0" applyNumberFormat="1" applyFont="1" applyFill="1" applyBorder="1" applyAlignment="1">
      <alignment horizontal="left" vertical="top" wrapText="1"/>
    </xf>
    <xf numFmtId="166" fontId="4" fillId="7" borderId="47" xfId="0" applyNumberFormat="1" applyFont="1" applyFill="1" applyBorder="1" applyAlignment="1">
      <alignment horizontal="center" vertical="top"/>
    </xf>
    <xf numFmtId="166" fontId="3" fillId="7" borderId="47" xfId="0" applyNumberFormat="1" applyFont="1" applyFill="1" applyBorder="1" applyAlignment="1">
      <alignment horizontal="left" vertical="top" wrapText="1"/>
    </xf>
    <xf numFmtId="166" fontId="4" fillId="7" borderId="17" xfId="0" applyNumberFormat="1" applyFont="1" applyFill="1" applyBorder="1" applyAlignment="1">
      <alignment horizontal="center" vertical="top"/>
    </xf>
    <xf numFmtId="166" fontId="4" fillId="7" borderId="10" xfId="0" applyNumberFormat="1" applyFont="1" applyFill="1" applyBorder="1" applyAlignment="1">
      <alignment horizontal="center" vertical="top" wrapText="1"/>
    </xf>
    <xf numFmtId="166" fontId="4" fillId="7" borderId="27" xfId="0" applyNumberFormat="1" applyFont="1" applyFill="1" applyBorder="1" applyAlignment="1">
      <alignment horizontal="center" vertical="top" wrapText="1"/>
    </xf>
    <xf numFmtId="166" fontId="4" fillId="9" borderId="6" xfId="0" applyNumberFormat="1" applyFont="1" applyFill="1" applyBorder="1" applyAlignment="1">
      <alignment horizontal="center" vertical="top"/>
    </xf>
    <xf numFmtId="166" fontId="4" fillId="2" borderId="10" xfId="0" applyNumberFormat="1" applyFont="1" applyFill="1" applyBorder="1" applyAlignment="1">
      <alignment horizontal="center" vertical="top"/>
    </xf>
    <xf numFmtId="49" fontId="3" fillId="7" borderId="19" xfId="0" applyNumberFormat="1" applyFont="1" applyFill="1" applyBorder="1" applyAlignment="1">
      <alignment horizontal="center" vertical="top"/>
    </xf>
    <xf numFmtId="49" fontId="3" fillId="7" borderId="27" xfId="0" applyNumberFormat="1" applyFont="1" applyFill="1" applyBorder="1" applyAlignment="1">
      <alignment horizontal="center" vertical="top"/>
    </xf>
    <xf numFmtId="166" fontId="3" fillId="7" borderId="27" xfId="0" applyNumberFormat="1" applyFont="1" applyFill="1" applyBorder="1" applyAlignment="1">
      <alignment horizontal="left" vertical="top" wrapText="1"/>
    </xf>
    <xf numFmtId="166" fontId="4" fillId="9" borderId="33" xfId="0" applyNumberFormat="1" applyFont="1" applyFill="1" applyBorder="1" applyAlignment="1">
      <alignment horizontal="center" vertical="top"/>
    </xf>
    <xf numFmtId="49" fontId="3" fillId="7" borderId="10" xfId="0" applyNumberFormat="1" applyFont="1" applyFill="1" applyBorder="1" applyAlignment="1">
      <alignment horizontal="center" vertical="top"/>
    </xf>
    <xf numFmtId="166" fontId="4" fillId="7" borderId="10" xfId="0" applyNumberFormat="1" applyFont="1" applyFill="1" applyBorder="1" applyAlignment="1">
      <alignment horizontal="center" vertical="top"/>
    </xf>
    <xf numFmtId="3" fontId="3" fillId="7" borderId="42"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166" fontId="3" fillId="7" borderId="10" xfId="0" applyNumberFormat="1" applyFont="1" applyFill="1" applyBorder="1" applyAlignment="1">
      <alignment vertical="top" wrapText="1"/>
    </xf>
    <xf numFmtId="166" fontId="3" fillId="7" borderId="6" xfId="0" applyNumberFormat="1" applyFont="1" applyFill="1" applyBorder="1" applyAlignment="1">
      <alignment horizontal="left" vertical="top" wrapText="1"/>
    </xf>
    <xf numFmtId="49" fontId="4" fillId="9" borderId="4"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7" borderId="24" xfId="0" applyNumberFormat="1" applyFont="1" applyFill="1" applyBorder="1" applyAlignment="1">
      <alignment horizontal="center" vertical="top"/>
    </xf>
    <xf numFmtId="49" fontId="4" fillId="7" borderId="10" xfId="0" applyNumberFormat="1" applyFont="1" applyFill="1" applyBorder="1" applyAlignment="1">
      <alignment horizontal="center" vertical="top"/>
    </xf>
    <xf numFmtId="3" fontId="3" fillId="7" borderId="19"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166" fontId="4" fillId="9" borderId="4" xfId="0" applyNumberFormat="1" applyFont="1" applyFill="1" applyBorder="1" applyAlignment="1">
      <alignment horizontal="center" vertical="top"/>
    </xf>
    <xf numFmtId="166" fontId="4" fillId="2" borderId="24" xfId="0" applyNumberFormat="1" applyFont="1" applyFill="1" applyBorder="1" applyAlignment="1">
      <alignment horizontal="center" vertical="top"/>
    </xf>
    <xf numFmtId="166" fontId="4" fillId="2" borderId="29" xfId="0" applyNumberFormat="1" applyFont="1" applyFill="1" applyBorder="1" applyAlignment="1">
      <alignment horizontal="center" vertical="top"/>
    </xf>
    <xf numFmtId="0" fontId="3" fillId="7" borderId="10" xfId="0" applyFont="1" applyFill="1" applyBorder="1" applyAlignment="1">
      <alignment horizontal="left" vertical="top" wrapText="1"/>
    </xf>
    <xf numFmtId="3" fontId="3" fillId="7" borderId="47" xfId="0" applyNumberFormat="1" applyFont="1" applyFill="1" applyBorder="1" applyAlignment="1">
      <alignment horizontal="center" vertical="top"/>
    </xf>
    <xf numFmtId="49" fontId="4" fillId="2" borderId="10" xfId="0" applyNumberFormat="1" applyFont="1" applyFill="1" applyBorder="1" applyAlignment="1">
      <alignment horizontal="center" vertical="top"/>
    </xf>
    <xf numFmtId="49" fontId="3" fillId="7" borderId="1" xfId="0" applyNumberFormat="1" applyFont="1" applyFill="1" applyBorder="1" applyAlignment="1">
      <alignment horizontal="center" vertical="top"/>
    </xf>
    <xf numFmtId="166" fontId="3" fillId="7" borderId="10" xfId="0" applyNumberFormat="1" applyFont="1" applyFill="1" applyBorder="1" applyAlignment="1">
      <alignment horizontal="center" vertical="center" textRotation="90" wrapText="1"/>
    </xf>
    <xf numFmtId="166" fontId="3" fillId="0" borderId="28" xfId="0" applyNumberFormat="1" applyFont="1" applyFill="1" applyBorder="1" applyAlignment="1">
      <alignment horizontal="left" vertical="top" wrapText="1"/>
    </xf>
    <xf numFmtId="166" fontId="3" fillId="0" borderId="6" xfId="0" applyNumberFormat="1" applyFont="1" applyFill="1" applyBorder="1" applyAlignment="1">
      <alignment horizontal="left" vertical="top" wrapText="1"/>
    </xf>
    <xf numFmtId="0" fontId="0" fillId="0" borderId="27" xfId="0" applyBorder="1" applyAlignment="1">
      <alignment vertical="top"/>
    </xf>
    <xf numFmtId="166" fontId="3" fillId="7" borderId="99" xfId="0" applyNumberFormat="1" applyFont="1" applyFill="1" applyBorder="1" applyAlignment="1">
      <alignment horizontal="left" vertical="top" wrapText="1"/>
    </xf>
    <xf numFmtId="166" fontId="3" fillId="7" borderId="28" xfId="0" applyNumberFormat="1" applyFont="1" applyFill="1" applyBorder="1" applyAlignment="1">
      <alignment horizontal="left" vertical="top" wrapText="1"/>
    </xf>
    <xf numFmtId="49" fontId="4" fillId="7" borderId="47" xfId="0" applyNumberFormat="1" applyFont="1" applyFill="1" applyBorder="1" applyAlignment="1">
      <alignment horizontal="center" vertical="top"/>
    </xf>
    <xf numFmtId="49" fontId="4" fillId="7" borderId="27" xfId="0" applyNumberFormat="1" applyFont="1" applyFill="1" applyBorder="1" applyAlignment="1">
      <alignment horizontal="center" vertical="top"/>
    </xf>
    <xf numFmtId="0" fontId="0" fillId="7" borderId="10" xfId="0" applyFill="1" applyBorder="1" applyAlignment="1">
      <alignment horizontal="left" vertical="top" wrapText="1"/>
    </xf>
    <xf numFmtId="166" fontId="3" fillId="7" borderId="27" xfId="0" applyNumberFormat="1" applyFont="1" applyFill="1" applyBorder="1" applyAlignment="1">
      <alignment vertical="top" wrapText="1"/>
    </xf>
    <xf numFmtId="166" fontId="3" fillId="7" borderId="77" xfId="0" applyNumberFormat="1" applyFont="1" applyFill="1" applyBorder="1" applyAlignment="1">
      <alignment horizontal="left" vertical="top" wrapText="1"/>
    </xf>
    <xf numFmtId="3" fontId="3" fillId="7" borderId="10" xfId="0" applyNumberFormat="1" applyFont="1" applyFill="1" applyBorder="1" applyAlignment="1">
      <alignment horizontal="center" vertical="top"/>
    </xf>
    <xf numFmtId="166" fontId="7" fillId="7" borderId="19" xfId="0" applyNumberFormat="1" applyFont="1" applyFill="1" applyBorder="1" applyAlignment="1">
      <alignment horizontal="center" vertical="center" textRotation="90" wrapText="1"/>
    </xf>
    <xf numFmtId="1" fontId="3" fillId="7" borderId="47" xfId="0" applyNumberFormat="1" applyFont="1" applyFill="1" applyBorder="1" applyAlignment="1">
      <alignment horizontal="center" vertical="top"/>
    </xf>
    <xf numFmtId="0" fontId="0" fillId="0" borderId="34" xfId="0" applyBorder="1" applyAlignment="1">
      <alignment vertical="top"/>
    </xf>
    <xf numFmtId="1" fontId="3" fillId="7" borderId="10" xfId="0" applyNumberFormat="1" applyFont="1" applyFill="1" applyBorder="1" applyAlignment="1">
      <alignment horizontal="center" vertical="top"/>
    </xf>
    <xf numFmtId="166" fontId="3" fillId="7" borderId="46" xfId="0" applyNumberFormat="1" applyFont="1" applyFill="1" applyBorder="1" applyAlignment="1">
      <alignment vertical="top" wrapText="1"/>
    </xf>
    <xf numFmtId="0" fontId="0" fillId="0" borderId="29" xfId="0" applyFont="1" applyBorder="1" applyAlignment="1">
      <alignment vertical="top"/>
    </xf>
    <xf numFmtId="166" fontId="9" fillId="7" borderId="39" xfId="0" applyNumberFormat="1" applyFont="1" applyFill="1" applyBorder="1" applyAlignment="1">
      <alignment vertical="top" wrapText="1"/>
    </xf>
    <xf numFmtId="0" fontId="45" fillId="11" borderId="129" xfId="0" applyNumberFormat="1" applyFont="1" applyFill="1" applyBorder="1" applyAlignment="1" applyProtection="1">
      <alignment horizontal="left" vertical="top" wrapText="1" readingOrder="1"/>
      <protection locked="0"/>
    </xf>
    <xf numFmtId="3" fontId="3" fillId="11" borderId="84" xfId="0" applyNumberFormat="1" applyFont="1" applyFill="1" applyBorder="1" applyAlignment="1">
      <alignment horizontal="left" vertical="top" wrapText="1"/>
    </xf>
    <xf numFmtId="3" fontId="3" fillId="11" borderId="26" xfId="0" applyNumberFormat="1" applyFont="1" applyFill="1" applyBorder="1" applyAlignment="1">
      <alignment horizontal="left" vertical="top" wrapText="1"/>
    </xf>
    <xf numFmtId="3" fontId="3" fillId="0" borderId="20" xfId="0" applyNumberFormat="1" applyFont="1" applyFill="1" applyBorder="1" applyAlignment="1">
      <alignment horizontal="left" vertical="top" wrapText="1"/>
    </xf>
    <xf numFmtId="0" fontId="46" fillId="7" borderId="5" xfId="0" applyFont="1" applyFill="1" applyBorder="1" applyAlignment="1">
      <alignment horizontal="center" vertical="top"/>
    </xf>
    <xf numFmtId="166" fontId="46" fillId="7" borderId="5" xfId="0" applyNumberFormat="1" applyFont="1" applyFill="1" applyBorder="1" applyAlignment="1">
      <alignment horizontal="center" vertical="top" wrapText="1"/>
    </xf>
    <xf numFmtId="166" fontId="46" fillId="7" borderId="42" xfId="0" applyNumberFormat="1" applyFont="1" applyFill="1" applyBorder="1" applyAlignment="1">
      <alignment horizontal="center" vertical="top"/>
    </xf>
    <xf numFmtId="0" fontId="46" fillId="7" borderId="22" xfId="0" applyFont="1" applyFill="1" applyBorder="1" applyAlignment="1">
      <alignment horizontal="center" vertical="top"/>
    </xf>
    <xf numFmtId="166" fontId="46" fillId="7" borderId="22" xfId="0" applyNumberFormat="1" applyFont="1" applyFill="1" applyBorder="1" applyAlignment="1">
      <alignment horizontal="center" vertical="top" wrapText="1"/>
    </xf>
    <xf numFmtId="166" fontId="46" fillId="7" borderId="52" xfId="0" applyNumberFormat="1" applyFont="1" applyFill="1" applyBorder="1" applyAlignment="1">
      <alignment horizontal="center" vertical="top"/>
    </xf>
    <xf numFmtId="166" fontId="46" fillId="7" borderId="5" xfId="0" applyNumberFormat="1" applyFont="1" applyFill="1" applyBorder="1" applyAlignment="1">
      <alignment horizontal="center" vertical="top"/>
    </xf>
    <xf numFmtId="166" fontId="46" fillId="7" borderId="46" xfId="0" applyNumberFormat="1" applyFont="1" applyFill="1" applyBorder="1" applyAlignment="1">
      <alignment horizontal="center" vertical="top"/>
    </xf>
    <xf numFmtId="166" fontId="46" fillId="7" borderId="22" xfId="0" applyNumberFormat="1" applyFont="1" applyFill="1" applyBorder="1" applyAlignment="1">
      <alignment horizontal="center" vertical="top"/>
    </xf>
    <xf numFmtId="166" fontId="46" fillId="7" borderId="22" xfId="0" applyNumberFormat="1" applyFont="1" applyFill="1" applyBorder="1" applyAlignment="1">
      <alignment horizontal="center"/>
    </xf>
    <xf numFmtId="166" fontId="46" fillId="7" borderId="52" xfId="0" applyNumberFormat="1" applyFont="1" applyFill="1" applyBorder="1" applyAlignment="1">
      <alignment horizontal="center"/>
    </xf>
    <xf numFmtId="0" fontId="46" fillId="7" borderId="21" xfId="0" applyFont="1" applyFill="1" applyBorder="1" applyAlignment="1">
      <alignment horizontal="center" vertical="top"/>
    </xf>
    <xf numFmtId="166" fontId="46" fillId="7" borderId="21" xfId="0" applyNumberFormat="1" applyFont="1" applyFill="1" applyBorder="1" applyAlignment="1">
      <alignment horizontal="center" vertical="top"/>
    </xf>
    <xf numFmtId="166" fontId="46" fillId="7" borderId="41" xfId="0" applyNumberFormat="1" applyFont="1" applyFill="1" applyBorder="1" applyAlignment="1">
      <alignment horizontal="center" vertical="top"/>
    </xf>
    <xf numFmtId="166" fontId="44" fillId="7" borderId="5" xfId="0" applyNumberFormat="1" applyFont="1" applyFill="1" applyBorder="1" applyAlignment="1">
      <alignment horizontal="center" vertical="top"/>
    </xf>
    <xf numFmtId="166" fontId="44" fillId="7" borderId="42" xfId="0" applyNumberFormat="1" applyFont="1" applyFill="1" applyBorder="1" applyAlignment="1">
      <alignment horizontal="center" vertical="top"/>
    </xf>
    <xf numFmtId="166" fontId="46" fillId="3" borderId="5" xfId="0" applyNumberFormat="1" applyFont="1" applyFill="1" applyBorder="1" applyAlignment="1">
      <alignment horizontal="center" vertical="top"/>
    </xf>
    <xf numFmtId="166" fontId="46" fillId="7" borderId="33" xfId="0" applyNumberFormat="1" applyFont="1" applyFill="1" applyBorder="1" applyAlignment="1">
      <alignment horizontal="center" vertical="top"/>
    </xf>
    <xf numFmtId="166" fontId="46" fillId="3" borderId="22" xfId="0" applyNumberFormat="1" applyFont="1" applyFill="1" applyBorder="1" applyAlignment="1">
      <alignment horizontal="center" vertical="top"/>
    </xf>
    <xf numFmtId="166" fontId="46" fillId="7" borderId="62" xfId="0" applyNumberFormat="1" applyFont="1" applyFill="1" applyBorder="1" applyAlignment="1">
      <alignment horizontal="center" vertical="top"/>
    </xf>
    <xf numFmtId="166" fontId="46" fillId="7" borderId="33" xfId="0" applyNumberFormat="1" applyFont="1" applyFill="1" applyBorder="1" applyAlignment="1">
      <alignment horizontal="center" vertical="top" wrapText="1"/>
    </xf>
    <xf numFmtId="166" fontId="46" fillId="7" borderId="62" xfId="0" applyNumberFormat="1" applyFont="1" applyFill="1" applyBorder="1" applyAlignment="1">
      <alignment horizontal="right" vertical="top" wrapText="1"/>
    </xf>
    <xf numFmtId="166" fontId="46" fillId="7" borderId="7" xfId="0" applyNumberFormat="1" applyFont="1" applyFill="1" applyBorder="1" applyAlignment="1">
      <alignment horizontal="center" vertical="top"/>
    </xf>
    <xf numFmtId="166" fontId="46" fillId="7" borderId="7" xfId="0" applyNumberFormat="1" applyFont="1" applyFill="1" applyBorder="1" applyAlignment="1">
      <alignment horizontal="center" vertical="top" wrapText="1"/>
    </xf>
    <xf numFmtId="166" fontId="46" fillId="7" borderId="37" xfId="0" applyNumberFormat="1" applyFont="1" applyFill="1" applyBorder="1" applyAlignment="1">
      <alignment horizontal="center" vertical="top"/>
    </xf>
    <xf numFmtId="166" fontId="46" fillId="7" borderId="42" xfId="0" applyNumberFormat="1" applyFont="1" applyFill="1" applyBorder="1" applyAlignment="1">
      <alignment horizontal="center" vertical="top" wrapText="1"/>
    </xf>
    <xf numFmtId="166" fontId="46" fillId="7" borderId="0" xfId="0" applyNumberFormat="1" applyFont="1" applyFill="1" applyBorder="1" applyAlignment="1">
      <alignment horizontal="center" vertical="top"/>
    </xf>
    <xf numFmtId="166" fontId="44" fillId="7" borderId="0" xfId="0" applyNumberFormat="1" applyFont="1" applyFill="1" applyBorder="1" applyAlignment="1">
      <alignment horizontal="center" vertical="top"/>
    </xf>
    <xf numFmtId="166" fontId="44" fillId="7" borderId="22" xfId="0" applyNumberFormat="1" applyFont="1" applyFill="1" applyBorder="1" applyAlignment="1">
      <alignment horizontal="center" vertical="top"/>
    </xf>
    <xf numFmtId="166" fontId="44" fillId="7" borderId="73" xfId="0" applyNumberFormat="1" applyFont="1" applyFill="1" applyBorder="1" applyAlignment="1">
      <alignment horizontal="center" vertical="top"/>
    </xf>
    <xf numFmtId="166" fontId="46" fillId="7" borderId="22" xfId="0" applyNumberFormat="1" applyFont="1" applyFill="1" applyBorder="1" applyAlignment="1">
      <alignment horizontal="center" wrapText="1"/>
    </xf>
    <xf numFmtId="166" fontId="44" fillId="7" borderId="33" xfId="0" applyNumberFormat="1" applyFont="1" applyFill="1" applyBorder="1" applyAlignment="1">
      <alignment horizontal="center" vertical="top"/>
    </xf>
    <xf numFmtId="166" fontId="44" fillId="7" borderId="62" xfId="0" applyNumberFormat="1" applyFont="1" applyFill="1" applyBorder="1" applyAlignment="1">
      <alignment horizontal="center" vertical="top"/>
    </xf>
    <xf numFmtId="166" fontId="44" fillId="7" borderId="48" xfId="0" applyNumberFormat="1" applyFont="1" applyFill="1" applyBorder="1" applyAlignment="1">
      <alignment horizontal="center" vertical="top"/>
    </xf>
    <xf numFmtId="166" fontId="44" fillId="7" borderId="7" xfId="0" applyNumberFormat="1" applyFont="1" applyFill="1" applyBorder="1" applyAlignment="1">
      <alignment horizontal="center" vertical="top"/>
    </xf>
    <xf numFmtId="166" fontId="46" fillId="0" borderId="21" xfId="0" applyNumberFormat="1" applyFont="1" applyFill="1" applyBorder="1" applyAlignment="1">
      <alignment horizontal="center" vertical="top"/>
    </xf>
    <xf numFmtId="166" fontId="46" fillId="0" borderId="7" xfId="0" applyNumberFormat="1" applyFont="1" applyFill="1" applyBorder="1" applyAlignment="1">
      <alignment horizontal="center" vertical="top"/>
    </xf>
    <xf numFmtId="166" fontId="46" fillId="7" borderId="65" xfId="0" applyNumberFormat="1" applyFont="1" applyFill="1" applyBorder="1" applyAlignment="1">
      <alignment horizontal="center" vertical="top"/>
    </xf>
    <xf numFmtId="166" fontId="46" fillId="7" borderId="48" xfId="0" applyNumberFormat="1" applyFont="1" applyFill="1" applyBorder="1" applyAlignment="1">
      <alignment horizontal="center" vertical="top"/>
    </xf>
    <xf numFmtId="166" fontId="46" fillId="0" borderId="5" xfId="0" applyNumberFormat="1" applyFont="1" applyFill="1" applyBorder="1" applyAlignment="1">
      <alignment horizontal="center" vertical="top"/>
    </xf>
    <xf numFmtId="166" fontId="46" fillId="7" borderId="101" xfId="0" applyNumberFormat="1" applyFont="1" applyFill="1" applyBorder="1" applyAlignment="1">
      <alignment horizontal="center" vertical="top"/>
    </xf>
    <xf numFmtId="166" fontId="46" fillId="7" borderId="127" xfId="0" applyNumberFormat="1" applyFont="1" applyFill="1" applyBorder="1" applyAlignment="1">
      <alignment horizontal="center" vertical="top"/>
    </xf>
    <xf numFmtId="166" fontId="46" fillId="7" borderId="94" xfId="0" applyNumberFormat="1" applyFont="1" applyFill="1" applyBorder="1" applyAlignment="1">
      <alignment horizontal="center" vertical="top"/>
    </xf>
    <xf numFmtId="166" fontId="46" fillId="7" borderId="98" xfId="0" applyNumberFormat="1" applyFont="1" applyFill="1" applyBorder="1" applyAlignment="1">
      <alignment horizontal="center" vertical="top"/>
    </xf>
    <xf numFmtId="166" fontId="46" fillId="7" borderId="89" xfId="0" applyNumberFormat="1" applyFont="1" applyFill="1" applyBorder="1" applyAlignment="1">
      <alignment horizontal="center" vertical="top"/>
    </xf>
    <xf numFmtId="166" fontId="46" fillId="7" borderId="97" xfId="0" applyNumberFormat="1" applyFont="1" applyFill="1" applyBorder="1" applyAlignment="1">
      <alignment horizontal="center" vertical="top"/>
    </xf>
    <xf numFmtId="166" fontId="46" fillId="0" borderId="22"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0" fontId="3" fillId="11" borderId="6" xfId="0" applyFont="1" applyFill="1" applyBorder="1" applyAlignment="1">
      <alignment vertical="center" wrapText="1"/>
    </xf>
    <xf numFmtId="0" fontId="3" fillId="11" borderId="10" xfId="0" applyFont="1" applyFill="1" applyBorder="1" applyAlignment="1">
      <alignment horizontal="center" vertical="center"/>
    </xf>
    <xf numFmtId="166" fontId="19" fillId="11" borderId="6" xfId="0" applyNumberFormat="1" applyFont="1" applyFill="1" applyBorder="1" applyAlignment="1">
      <alignment horizontal="left" vertical="top" wrapText="1"/>
    </xf>
    <xf numFmtId="0" fontId="3" fillId="11" borderId="47" xfId="0" applyFont="1" applyFill="1" applyBorder="1" applyAlignment="1">
      <alignment horizontal="center" vertical="center"/>
    </xf>
    <xf numFmtId="3" fontId="3" fillId="0" borderId="87" xfId="0" applyNumberFormat="1" applyFont="1" applyFill="1" applyBorder="1" applyAlignment="1">
      <alignment horizontal="center" vertical="top"/>
    </xf>
    <xf numFmtId="3" fontId="3" fillId="7" borderId="42" xfId="0" applyNumberFormat="1" applyFont="1" applyFill="1" applyBorder="1" applyAlignment="1">
      <alignment horizontal="center" vertical="top"/>
    </xf>
    <xf numFmtId="0" fontId="3" fillId="7" borderId="6" xfId="0" applyFont="1" applyFill="1" applyBorder="1" applyAlignment="1">
      <alignment horizontal="left" vertical="top" wrapText="1"/>
    </xf>
    <xf numFmtId="3" fontId="3" fillId="7" borderId="27" xfId="0" applyNumberFormat="1" applyFont="1" applyFill="1" applyBorder="1" applyAlignment="1">
      <alignment horizontal="center" vertical="top"/>
    </xf>
    <xf numFmtId="166" fontId="3" fillId="7" borderId="6" xfId="0" applyNumberFormat="1" applyFont="1" applyFill="1" applyBorder="1" applyAlignment="1">
      <alignment horizontal="left" vertical="top" wrapText="1"/>
    </xf>
    <xf numFmtId="166" fontId="3" fillId="7" borderId="6" xfId="0" applyNumberFormat="1" applyFont="1" applyFill="1" applyBorder="1" applyAlignment="1">
      <alignment vertical="top" wrapText="1"/>
    </xf>
    <xf numFmtId="3" fontId="3" fillId="7" borderId="47" xfId="0" applyNumberFormat="1" applyFont="1" applyFill="1" applyBorder="1" applyAlignment="1">
      <alignment horizontal="center" vertical="top"/>
    </xf>
    <xf numFmtId="166" fontId="3" fillId="7" borderId="35" xfId="0" applyNumberFormat="1" applyFont="1" applyFill="1" applyBorder="1" applyAlignment="1">
      <alignment vertical="top" wrapText="1"/>
    </xf>
    <xf numFmtId="166" fontId="9" fillId="7" borderId="8" xfId="0" applyNumberFormat="1" applyFont="1" applyFill="1" applyBorder="1" applyAlignment="1">
      <alignment vertical="top" wrapText="1"/>
    </xf>
    <xf numFmtId="166" fontId="3" fillId="7" borderId="28" xfId="0" applyNumberFormat="1" applyFont="1" applyFill="1" applyBorder="1" applyAlignment="1">
      <alignment horizontal="left" vertical="top" wrapText="1"/>
    </xf>
    <xf numFmtId="3" fontId="3" fillId="0" borderId="27" xfId="0" applyNumberFormat="1" applyFont="1" applyFill="1" applyBorder="1" applyAlignment="1">
      <alignment horizontal="center" vertical="top"/>
    </xf>
    <xf numFmtId="3" fontId="3" fillId="0" borderId="34" xfId="0" applyNumberFormat="1" applyFont="1" applyFill="1" applyBorder="1" applyAlignment="1">
      <alignment horizontal="center" vertical="top"/>
    </xf>
    <xf numFmtId="3" fontId="3" fillId="7" borderId="17" xfId="0" applyNumberFormat="1" applyFont="1" applyFill="1" applyBorder="1" applyAlignment="1">
      <alignment horizontal="center" vertical="top"/>
    </xf>
    <xf numFmtId="3" fontId="3" fillId="7" borderId="10" xfId="0" applyNumberFormat="1" applyFont="1" applyFill="1" applyBorder="1" applyAlignment="1">
      <alignment horizontal="center" vertical="top"/>
    </xf>
    <xf numFmtId="3" fontId="3" fillId="11" borderId="41" xfId="0" applyNumberFormat="1" applyFont="1" applyFill="1" applyBorder="1" applyAlignment="1">
      <alignment horizontal="left" vertical="top" wrapText="1"/>
    </xf>
    <xf numFmtId="0" fontId="34" fillId="0" borderId="0" xfId="0" applyFont="1" applyAlignment="1">
      <alignment horizontal="left" vertical="center" wrapText="1"/>
    </xf>
    <xf numFmtId="0" fontId="0" fillId="0" borderId="0" xfId="0" applyAlignment="1">
      <alignment horizontal="left" wrapText="1"/>
    </xf>
    <xf numFmtId="0" fontId="34" fillId="0" borderId="0" xfId="2" applyFont="1" applyFill="1" applyAlignment="1">
      <alignment horizontal="right"/>
    </xf>
    <xf numFmtId="0" fontId="34" fillId="0" borderId="0" xfId="0" applyFont="1" applyAlignment="1">
      <alignment horizontal="right" vertical="top"/>
    </xf>
    <xf numFmtId="0" fontId="34" fillId="0" borderId="0" xfId="0" applyFont="1" applyBorder="1" applyAlignment="1">
      <alignment horizontal="left" vertical="top" wrapText="1"/>
    </xf>
    <xf numFmtId="0" fontId="34" fillId="0" borderId="0" xfId="0" applyFont="1" applyAlignment="1">
      <alignment horizontal="left" vertical="top" wrapText="1"/>
    </xf>
    <xf numFmtId="0" fontId="0" fillId="0" borderId="0" xfId="0" applyAlignment="1">
      <alignment horizontal="left" vertical="top" wrapText="1"/>
    </xf>
    <xf numFmtId="0" fontId="34" fillId="0" borderId="0" xfId="2" applyFont="1" applyFill="1" applyAlignment="1">
      <alignment horizontal="center" vertical="top" wrapText="1"/>
    </xf>
    <xf numFmtId="0" fontId="0" fillId="0" borderId="0" xfId="0" applyFill="1" applyAlignment="1">
      <alignment horizontal="center" vertical="top" wrapText="1"/>
    </xf>
    <xf numFmtId="0" fontId="33" fillId="0" borderId="0" xfId="2" applyFont="1" applyAlignment="1">
      <alignment horizontal="center"/>
    </xf>
    <xf numFmtId="0" fontId="0" fillId="0" borderId="0" xfId="0" applyAlignment="1"/>
    <xf numFmtId="49" fontId="33" fillId="0" borderId="0" xfId="2" applyNumberFormat="1" applyFont="1" applyAlignment="1">
      <alignment horizontal="left" vertical="top" wrapText="1"/>
    </xf>
    <xf numFmtId="0" fontId="34" fillId="0" borderId="0" xfId="2" applyFont="1" applyAlignment="1">
      <alignment horizontal="left" vertical="top" wrapText="1"/>
    </xf>
    <xf numFmtId="166" fontId="3" fillId="0" borderId="0" xfId="0" applyNumberFormat="1" applyFont="1" applyAlignment="1">
      <alignment horizontal="center" vertical="top"/>
    </xf>
    <xf numFmtId="166" fontId="3" fillId="7" borderId="65" xfId="0" applyNumberFormat="1" applyFont="1" applyFill="1" applyBorder="1" applyAlignment="1">
      <alignment horizontal="left" vertical="top" wrapText="1"/>
    </xf>
    <xf numFmtId="166" fontId="3" fillId="7" borderId="60" xfId="0" applyNumberFormat="1" applyFont="1" applyFill="1" applyBorder="1" applyAlignment="1">
      <alignment horizontal="left" vertical="top" wrapText="1"/>
    </xf>
    <xf numFmtId="166" fontId="3" fillId="7" borderId="41" xfId="0" applyNumberFormat="1" applyFont="1" applyFill="1" applyBorder="1" applyAlignment="1">
      <alignment horizontal="left" vertical="top" wrapText="1"/>
    </xf>
    <xf numFmtId="166" fontId="4" fillId="5" borderId="66" xfId="0" applyNumberFormat="1" applyFont="1" applyFill="1" applyBorder="1" applyAlignment="1">
      <alignment horizontal="right" vertical="top" wrapText="1"/>
    </xf>
    <xf numFmtId="166" fontId="4" fillId="5" borderId="71" xfId="0" applyNumberFormat="1" applyFont="1" applyFill="1" applyBorder="1" applyAlignment="1">
      <alignment horizontal="right" vertical="top" wrapText="1"/>
    </xf>
    <xf numFmtId="166" fontId="4" fillId="5" borderId="67" xfId="0" applyNumberFormat="1" applyFont="1" applyFill="1" applyBorder="1" applyAlignment="1">
      <alignment horizontal="right" vertical="top" wrapText="1"/>
    </xf>
    <xf numFmtId="0" fontId="42" fillId="0" borderId="0" xfId="0" applyFont="1" applyAlignment="1">
      <alignment horizontal="center" vertical="top"/>
    </xf>
    <xf numFmtId="0" fontId="21" fillId="0" borderId="0" xfId="0" applyFont="1" applyBorder="1" applyAlignment="1">
      <alignment horizontal="center" vertical="top" wrapText="1"/>
    </xf>
    <xf numFmtId="3" fontId="41" fillId="7" borderId="38" xfId="0" applyNumberFormat="1" applyFont="1" applyFill="1" applyBorder="1" applyAlignment="1">
      <alignment horizontal="center" vertical="center" wrapText="1"/>
    </xf>
    <xf numFmtId="3" fontId="41" fillId="7" borderId="64" xfId="0" applyNumberFormat="1" applyFont="1" applyFill="1" applyBorder="1" applyAlignment="1">
      <alignment horizontal="center" vertical="center" wrapText="1"/>
    </xf>
    <xf numFmtId="3" fontId="3" fillId="0" borderId="38" xfId="0" applyNumberFormat="1" applyFont="1" applyBorder="1" applyAlignment="1">
      <alignment horizontal="center" vertical="center" wrapText="1"/>
    </xf>
    <xf numFmtId="3" fontId="3" fillId="0" borderId="64" xfId="0" applyNumberFormat="1" applyFont="1" applyBorder="1" applyAlignment="1">
      <alignment horizontal="center" vertical="center" wrapText="1"/>
    </xf>
    <xf numFmtId="3" fontId="4" fillId="0" borderId="43" xfId="0" applyNumberFormat="1" applyFont="1" applyBorder="1" applyAlignment="1">
      <alignment horizontal="center" vertical="center" wrapText="1"/>
    </xf>
    <xf numFmtId="3" fontId="4" fillId="0" borderId="50"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0" fontId="0" fillId="0" borderId="7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3" fillId="9" borderId="47" xfId="0" applyFont="1" applyFill="1" applyBorder="1" applyAlignment="1">
      <alignment horizontal="left" vertical="top" wrapText="1"/>
    </xf>
    <xf numFmtId="0" fontId="9" fillId="9" borderId="0" xfId="0" applyFont="1" applyFill="1" applyBorder="1" applyAlignment="1">
      <alignment horizontal="left" vertical="top"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center" wrapText="1"/>
    </xf>
    <xf numFmtId="166" fontId="3" fillId="0" borderId="5" xfId="0" applyNumberFormat="1" applyFont="1" applyBorder="1" applyAlignment="1">
      <alignment horizontal="center" vertical="center" wrapText="1"/>
    </xf>
    <xf numFmtId="166" fontId="3" fillId="0" borderId="64" xfId="0" applyNumberFormat="1" applyFont="1" applyBorder="1" applyAlignment="1">
      <alignment horizontal="center" vertical="center" wrapText="1"/>
    </xf>
    <xf numFmtId="0" fontId="41" fillId="0" borderId="48" xfId="0" applyFont="1" applyBorder="1" applyAlignment="1">
      <alignment horizontal="center" vertical="center" wrapText="1"/>
    </xf>
    <xf numFmtId="0" fontId="41" fillId="0" borderId="70" xfId="0" applyFont="1" applyBorder="1" applyAlignment="1">
      <alignment horizontal="center" vertical="center" wrapText="1"/>
    </xf>
    <xf numFmtId="0" fontId="3" fillId="0" borderId="1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4"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24"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29" xfId="0" applyFont="1" applyBorder="1" applyAlignment="1">
      <alignment horizontal="center" vertical="center" textRotation="90" shrinkToFit="1"/>
    </xf>
    <xf numFmtId="0" fontId="41" fillId="0" borderId="43" xfId="0" applyFont="1" applyBorder="1" applyAlignment="1">
      <alignment horizontal="center" vertical="center" wrapText="1"/>
    </xf>
    <xf numFmtId="0" fontId="41" fillId="0" borderId="50" xfId="0" applyFont="1" applyBorder="1" applyAlignment="1">
      <alignment horizontal="center" vertical="center" wrapText="1"/>
    </xf>
    <xf numFmtId="49" fontId="3" fillId="7" borderId="100" xfId="0" applyNumberFormat="1" applyFont="1" applyFill="1" applyBorder="1" applyAlignment="1">
      <alignment vertical="top" wrapText="1"/>
    </xf>
    <xf numFmtId="0" fontId="0" fillId="0" borderId="27" xfId="0" applyBorder="1" applyAlignment="1">
      <alignment vertical="top" wrapText="1"/>
    </xf>
    <xf numFmtId="166" fontId="3" fillId="7" borderId="99" xfId="0" applyNumberFormat="1" applyFont="1" applyFill="1" applyBorder="1" applyAlignment="1">
      <alignment horizontal="left" vertical="top" wrapText="1"/>
    </xf>
    <xf numFmtId="166" fontId="3" fillId="7" borderId="28" xfId="0" applyNumberFormat="1" applyFont="1" applyFill="1" applyBorder="1" applyAlignment="1">
      <alignment horizontal="left" vertical="top" wrapText="1"/>
    </xf>
    <xf numFmtId="166" fontId="4" fillId="9" borderId="6" xfId="0" applyNumberFormat="1" applyFont="1" applyFill="1" applyBorder="1" applyAlignment="1">
      <alignment horizontal="center" vertical="top"/>
    </xf>
    <xf numFmtId="166" fontId="3" fillId="7" borderId="19" xfId="0" applyNumberFormat="1" applyFont="1" applyFill="1" applyBorder="1" applyAlignment="1">
      <alignment horizontal="left" vertical="top" wrapText="1"/>
    </xf>
    <xf numFmtId="0" fontId="0" fillId="0" borderId="78" xfId="0" applyBorder="1" applyAlignment="1">
      <alignment horizontal="left" vertical="top" wrapText="1"/>
    </xf>
    <xf numFmtId="49" fontId="4" fillId="7" borderId="47" xfId="0" applyNumberFormat="1" applyFont="1" applyFill="1" applyBorder="1" applyAlignment="1">
      <alignment horizontal="center" vertical="top"/>
    </xf>
    <xf numFmtId="166" fontId="4" fillId="4" borderId="70" xfId="0" applyNumberFormat="1" applyFont="1" applyFill="1" applyBorder="1" applyAlignment="1">
      <alignment horizontal="right" vertical="top" wrapText="1"/>
    </xf>
    <xf numFmtId="166" fontId="4" fillId="4" borderId="31" xfId="0" applyNumberFormat="1" applyFont="1" applyFill="1" applyBorder="1" applyAlignment="1">
      <alignment horizontal="right" vertical="top" wrapText="1"/>
    </xf>
    <xf numFmtId="166" fontId="4" fillId="4" borderId="32" xfId="0" applyNumberFormat="1" applyFont="1" applyFill="1" applyBorder="1" applyAlignment="1">
      <alignment horizontal="right" vertical="top" wrapText="1"/>
    </xf>
    <xf numFmtId="166" fontId="4" fillId="2" borderId="72" xfId="0" applyNumberFormat="1" applyFont="1" applyFill="1" applyBorder="1" applyAlignment="1">
      <alignment horizontal="left" vertical="top"/>
    </xf>
    <xf numFmtId="166" fontId="4" fillId="2" borderId="68" xfId="0" applyNumberFormat="1" applyFont="1" applyFill="1" applyBorder="1" applyAlignment="1">
      <alignment horizontal="left" vertical="top"/>
    </xf>
    <xf numFmtId="166" fontId="4" fillId="2" borderId="69" xfId="0" applyNumberFormat="1" applyFont="1" applyFill="1" applyBorder="1" applyAlignment="1">
      <alignment horizontal="left" vertical="top"/>
    </xf>
    <xf numFmtId="49" fontId="3" fillId="7" borderId="10" xfId="0" applyNumberFormat="1" applyFont="1" applyFill="1" applyBorder="1" applyAlignment="1">
      <alignment horizontal="center" vertical="center" textRotation="90"/>
    </xf>
    <xf numFmtId="49" fontId="3" fillId="7" borderId="27" xfId="0" applyNumberFormat="1" applyFont="1" applyFill="1" applyBorder="1" applyAlignment="1">
      <alignment horizontal="center" vertical="center" textRotation="90"/>
    </xf>
    <xf numFmtId="166" fontId="4" fillId="0" borderId="34" xfId="0" applyNumberFormat="1" applyFont="1" applyBorder="1" applyAlignment="1">
      <alignment horizontal="center" vertical="top"/>
    </xf>
    <xf numFmtId="166" fontId="4" fillId="0" borderId="61" xfId="0" applyNumberFormat="1" applyFont="1" applyBorder="1" applyAlignment="1">
      <alignment horizontal="center" vertical="top"/>
    </xf>
    <xf numFmtId="166" fontId="4" fillId="2" borderId="31" xfId="0" applyNumberFormat="1" applyFont="1" applyFill="1" applyBorder="1" applyAlignment="1">
      <alignment horizontal="right" vertical="top"/>
    </xf>
    <xf numFmtId="166" fontId="4" fillId="2" borderId="69" xfId="0" applyNumberFormat="1" applyFont="1" applyFill="1" applyBorder="1" applyAlignment="1">
      <alignment horizontal="right" vertical="top"/>
    </xf>
    <xf numFmtId="166" fontId="3" fillId="2" borderId="54" xfId="0" applyNumberFormat="1" applyFont="1" applyFill="1" applyBorder="1" applyAlignment="1">
      <alignment horizontal="center" vertical="top" wrapText="1"/>
    </xf>
    <xf numFmtId="166" fontId="3" fillId="2" borderId="68" xfId="0" applyNumberFormat="1" applyFont="1" applyFill="1" applyBorder="1" applyAlignment="1">
      <alignment horizontal="center" vertical="top" wrapText="1"/>
    </xf>
    <xf numFmtId="166" fontId="3" fillId="2" borderId="69" xfId="0" applyNumberFormat="1" applyFont="1" applyFill="1" applyBorder="1" applyAlignment="1">
      <alignment horizontal="center" vertical="top" wrapText="1"/>
    </xf>
    <xf numFmtId="166" fontId="4" fillId="9" borderId="72" xfId="0" applyNumberFormat="1" applyFont="1" applyFill="1" applyBorder="1" applyAlignment="1">
      <alignment horizontal="right" vertical="top"/>
    </xf>
    <xf numFmtId="166" fontId="4" fillId="9" borderId="68" xfId="0" applyNumberFormat="1" applyFont="1" applyFill="1" applyBorder="1" applyAlignment="1">
      <alignment horizontal="right" vertical="top"/>
    </xf>
    <xf numFmtId="166" fontId="4" fillId="9" borderId="69" xfId="0" applyNumberFormat="1" applyFont="1" applyFill="1" applyBorder="1" applyAlignment="1">
      <alignment horizontal="right" vertical="top"/>
    </xf>
    <xf numFmtId="166" fontId="3" fillId="9" borderId="54" xfId="0" applyNumberFormat="1" applyFont="1" applyFill="1" applyBorder="1" applyAlignment="1">
      <alignment horizontal="center" vertical="top"/>
    </xf>
    <xf numFmtId="166" fontId="3" fillId="9" borderId="68" xfId="0" applyNumberFormat="1" applyFont="1" applyFill="1" applyBorder="1" applyAlignment="1">
      <alignment horizontal="center" vertical="top"/>
    </xf>
    <xf numFmtId="166" fontId="3" fillId="9" borderId="69" xfId="0" applyNumberFormat="1" applyFont="1" applyFill="1" applyBorder="1" applyAlignment="1">
      <alignment horizontal="center" vertical="top"/>
    </xf>
    <xf numFmtId="166" fontId="4" fillId="0" borderId="10" xfId="0" applyNumberFormat="1" applyFont="1" applyFill="1" applyBorder="1" applyAlignment="1">
      <alignment horizontal="center" vertical="top" wrapText="1"/>
    </xf>
    <xf numFmtId="166" fontId="4" fillId="0" borderId="29" xfId="0" applyNumberFormat="1" applyFont="1" applyFill="1" applyBorder="1" applyAlignment="1">
      <alignment horizontal="center" vertical="top" wrapText="1"/>
    </xf>
    <xf numFmtId="166" fontId="3" fillId="0" borderId="65" xfId="0" applyNumberFormat="1" applyFont="1" applyBorder="1" applyAlignment="1">
      <alignment horizontal="left" vertical="top" wrapText="1"/>
    </xf>
    <xf numFmtId="166" fontId="3" fillId="0" borderId="60" xfId="0" applyNumberFormat="1" applyFont="1" applyBorder="1" applyAlignment="1">
      <alignment horizontal="left" vertical="top" wrapText="1"/>
    </xf>
    <xf numFmtId="166" fontId="3" fillId="0" borderId="41" xfId="0" applyNumberFormat="1" applyFont="1" applyBorder="1" applyAlignment="1">
      <alignment horizontal="left" vertical="top" wrapText="1"/>
    </xf>
    <xf numFmtId="166" fontId="3" fillId="7" borderId="35" xfId="0" applyNumberFormat="1" applyFont="1" applyFill="1" applyBorder="1" applyAlignment="1">
      <alignment horizontal="left" vertical="top" wrapText="1"/>
    </xf>
    <xf numFmtId="0" fontId="0" fillId="0" borderId="77" xfId="0" applyBorder="1" applyAlignment="1">
      <alignment vertical="top" wrapText="1"/>
    </xf>
    <xf numFmtId="1" fontId="3" fillId="0" borderId="10" xfId="0" applyNumberFormat="1" applyFont="1" applyFill="1" applyBorder="1" applyAlignment="1">
      <alignment horizontal="center" vertical="top"/>
    </xf>
    <xf numFmtId="0" fontId="0" fillId="0" borderId="27" xfId="0" applyBorder="1" applyAlignment="1">
      <alignment vertical="top"/>
    </xf>
    <xf numFmtId="166" fontId="3" fillId="3" borderId="65" xfId="0" applyNumberFormat="1" applyFont="1" applyFill="1" applyBorder="1" applyAlignment="1">
      <alignment horizontal="left" vertical="top" wrapText="1"/>
    </xf>
    <xf numFmtId="166" fontId="3" fillId="3" borderId="60" xfId="0" applyNumberFormat="1" applyFont="1" applyFill="1" applyBorder="1" applyAlignment="1">
      <alignment horizontal="left" vertical="top" wrapText="1"/>
    </xf>
    <xf numFmtId="166" fontId="3" fillId="3" borderId="41" xfId="0" applyNumberFormat="1" applyFont="1" applyFill="1" applyBorder="1" applyAlignment="1">
      <alignment horizontal="left" vertical="top" wrapText="1"/>
    </xf>
    <xf numFmtId="0" fontId="3" fillId="3" borderId="62" xfId="0" applyFont="1" applyFill="1" applyBorder="1" applyAlignment="1">
      <alignment horizontal="left" vertical="top" wrapText="1"/>
    </xf>
    <xf numFmtId="0" fontId="3" fillId="3" borderId="73" xfId="0" applyFont="1" applyFill="1" applyBorder="1" applyAlignment="1">
      <alignment horizontal="left" vertical="top" wrapText="1"/>
    </xf>
    <xf numFmtId="0" fontId="3" fillId="3" borderId="52" xfId="0" applyFont="1" applyFill="1" applyBorder="1" applyAlignment="1">
      <alignment horizontal="left" vertical="top" wrapText="1"/>
    </xf>
    <xf numFmtId="166" fontId="3" fillId="8" borderId="65" xfId="0" applyNumberFormat="1" applyFont="1" applyFill="1" applyBorder="1" applyAlignment="1">
      <alignment vertical="top" wrapText="1"/>
    </xf>
    <xf numFmtId="166" fontId="9" fillId="8" borderId="60" xfId="0" applyNumberFormat="1" applyFont="1" applyFill="1" applyBorder="1" applyAlignment="1">
      <alignment vertical="top" wrapText="1"/>
    </xf>
    <xf numFmtId="166" fontId="9" fillId="8" borderId="41" xfId="0" applyNumberFormat="1" applyFont="1" applyFill="1" applyBorder="1" applyAlignment="1">
      <alignment vertical="top" wrapText="1"/>
    </xf>
    <xf numFmtId="166" fontId="4" fillId="5" borderId="65" xfId="0" applyNumberFormat="1" applyFont="1" applyFill="1" applyBorder="1" applyAlignment="1">
      <alignment horizontal="right" vertical="top" wrapText="1"/>
    </xf>
    <xf numFmtId="166" fontId="4" fillId="5" borderId="60" xfId="0" applyNumberFormat="1" applyFont="1" applyFill="1" applyBorder="1" applyAlignment="1">
      <alignment horizontal="right" vertical="top" wrapText="1"/>
    </xf>
    <xf numFmtId="166" fontId="4" fillId="5" borderId="41" xfId="0" applyNumberFormat="1" applyFont="1" applyFill="1" applyBorder="1" applyAlignment="1">
      <alignment horizontal="right" vertical="top" wrapText="1"/>
    </xf>
    <xf numFmtId="166" fontId="3" fillId="3" borderId="62" xfId="0" applyNumberFormat="1" applyFont="1" applyFill="1" applyBorder="1" applyAlignment="1">
      <alignment horizontal="left" vertical="top" wrapText="1"/>
    </xf>
    <xf numFmtId="166" fontId="3" fillId="3" borderId="73" xfId="0" applyNumberFormat="1" applyFont="1" applyFill="1" applyBorder="1" applyAlignment="1">
      <alignment horizontal="left" vertical="top" wrapText="1"/>
    </xf>
    <xf numFmtId="166" fontId="3" fillId="3" borderId="52" xfId="0" applyNumberFormat="1" applyFont="1" applyFill="1" applyBorder="1" applyAlignment="1">
      <alignment horizontal="left" vertical="top" wrapText="1"/>
    </xf>
    <xf numFmtId="166" fontId="4" fillId="8" borderId="65" xfId="0" applyNumberFormat="1" applyFont="1" applyFill="1" applyBorder="1" applyAlignment="1">
      <alignment horizontal="left" vertical="top" wrapText="1"/>
    </xf>
    <xf numFmtId="166" fontId="4" fillId="8" borderId="60" xfId="0" applyNumberFormat="1" applyFont="1" applyFill="1" applyBorder="1" applyAlignment="1">
      <alignment horizontal="left" vertical="top" wrapText="1"/>
    </xf>
    <xf numFmtId="166" fontId="4" fillId="8" borderId="41" xfId="0" applyNumberFormat="1" applyFont="1" applyFill="1" applyBorder="1" applyAlignment="1">
      <alignment horizontal="left" vertical="top" wrapText="1"/>
    </xf>
    <xf numFmtId="166" fontId="3" fillId="8" borderId="65" xfId="0" applyNumberFormat="1" applyFont="1" applyFill="1" applyBorder="1" applyAlignment="1">
      <alignment horizontal="left" vertical="top" wrapText="1"/>
    </xf>
    <xf numFmtId="166" fontId="4" fillId="8" borderId="65" xfId="0" applyNumberFormat="1" applyFont="1" applyFill="1" applyBorder="1" applyAlignment="1">
      <alignment horizontal="right" vertical="top" wrapText="1"/>
    </xf>
    <xf numFmtId="166" fontId="9" fillId="8" borderId="60" xfId="0" applyNumberFormat="1" applyFont="1" applyFill="1" applyBorder="1" applyAlignment="1">
      <alignment horizontal="right" vertical="top" wrapText="1"/>
    </xf>
    <xf numFmtId="166" fontId="9" fillId="8" borderId="41" xfId="0" applyNumberFormat="1" applyFont="1" applyFill="1" applyBorder="1" applyAlignment="1">
      <alignment horizontal="right" vertical="top" wrapText="1"/>
    </xf>
    <xf numFmtId="166" fontId="3" fillId="7" borderId="62" xfId="0" applyNumberFormat="1" applyFont="1" applyFill="1" applyBorder="1" applyAlignment="1">
      <alignment horizontal="left" vertical="top" wrapText="1"/>
    </xf>
    <xf numFmtId="166" fontId="3" fillId="7" borderId="73" xfId="0" applyNumberFormat="1" applyFont="1" applyFill="1" applyBorder="1" applyAlignment="1">
      <alignment horizontal="left" vertical="top" wrapText="1"/>
    </xf>
    <xf numFmtId="166" fontId="3" fillId="7" borderId="52" xfId="0" applyNumberFormat="1" applyFont="1" applyFill="1" applyBorder="1" applyAlignment="1">
      <alignment horizontal="left" vertical="top" wrapText="1"/>
    </xf>
    <xf numFmtId="166" fontId="4" fillId="2" borderId="68" xfId="0" applyNumberFormat="1" applyFont="1" applyFill="1" applyBorder="1" applyAlignment="1">
      <alignment horizontal="right" vertical="top"/>
    </xf>
    <xf numFmtId="166" fontId="4" fillId="2" borderId="10" xfId="0" applyNumberFormat="1" applyFont="1" applyFill="1" applyBorder="1" applyAlignment="1">
      <alignment horizontal="center" vertical="top"/>
    </xf>
    <xf numFmtId="49" fontId="3" fillId="7" borderId="19" xfId="0" applyNumberFormat="1" applyFont="1" applyFill="1" applyBorder="1" applyAlignment="1">
      <alignment horizontal="center" vertical="top"/>
    </xf>
    <xf numFmtId="49" fontId="3" fillId="7" borderId="10" xfId="0" applyNumberFormat="1" applyFont="1" applyFill="1" applyBorder="1" applyAlignment="1">
      <alignment horizontal="center" vertical="top"/>
    </xf>
    <xf numFmtId="49" fontId="3" fillId="7" borderId="27" xfId="0" applyNumberFormat="1" applyFont="1" applyFill="1" applyBorder="1" applyAlignment="1">
      <alignment horizontal="center" vertical="top"/>
    </xf>
    <xf numFmtId="166" fontId="3" fillId="7" borderId="10" xfId="0" applyNumberFormat="1" applyFont="1" applyFill="1" applyBorder="1" applyAlignment="1">
      <alignment horizontal="center" vertical="center" textRotation="90" wrapText="1"/>
    </xf>
    <xf numFmtId="166" fontId="4" fillId="7" borderId="10" xfId="0" applyNumberFormat="1" applyFont="1" applyFill="1" applyBorder="1" applyAlignment="1">
      <alignment horizontal="center" vertical="top"/>
    </xf>
    <xf numFmtId="166" fontId="3" fillId="0" borderId="6" xfId="0" applyNumberFormat="1" applyFont="1" applyFill="1" applyBorder="1" applyAlignment="1">
      <alignment horizontal="left" vertical="top" wrapText="1"/>
    </xf>
    <xf numFmtId="0" fontId="0" fillId="0" borderId="28" xfId="0" applyBorder="1" applyAlignment="1">
      <alignment vertical="top"/>
    </xf>
    <xf numFmtId="166" fontId="3" fillId="7" borderId="10" xfId="0" applyNumberFormat="1" applyFont="1" applyFill="1" applyBorder="1" applyAlignment="1">
      <alignment horizontal="left" vertical="top" wrapText="1"/>
    </xf>
    <xf numFmtId="166" fontId="3" fillId="7" borderId="27" xfId="0" applyNumberFormat="1" applyFont="1" applyFill="1" applyBorder="1" applyAlignment="1">
      <alignment horizontal="left" vertical="top" wrapText="1"/>
    </xf>
    <xf numFmtId="166" fontId="3" fillId="3" borderId="19" xfId="0" applyNumberFormat="1" applyFont="1" applyFill="1" applyBorder="1" applyAlignment="1">
      <alignment vertical="top" wrapText="1"/>
    </xf>
    <xf numFmtId="0" fontId="0" fillId="0" borderId="10" xfId="0" applyBorder="1" applyAlignment="1">
      <alignment vertical="top" wrapText="1"/>
    </xf>
    <xf numFmtId="166" fontId="4" fillId="0" borderId="0" xfId="0" applyNumberFormat="1" applyFont="1" applyFill="1" applyBorder="1" applyAlignment="1">
      <alignment horizontal="center" vertical="top" wrapText="1"/>
    </xf>
    <xf numFmtId="1" fontId="3" fillId="7" borderId="42" xfId="0" applyNumberFormat="1" applyFont="1" applyFill="1" applyBorder="1" applyAlignment="1">
      <alignment horizontal="center" vertical="top"/>
    </xf>
    <xf numFmtId="0" fontId="0" fillId="0" borderId="52" xfId="0" applyBorder="1" applyAlignment="1">
      <alignment vertical="top"/>
    </xf>
    <xf numFmtId="166" fontId="3" fillId="7" borderId="47" xfId="0" applyNumberFormat="1" applyFont="1" applyFill="1" applyBorder="1" applyAlignment="1">
      <alignment vertical="top" wrapText="1"/>
    </xf>
    <xf numFmtId="166" fontId="9" fillId="7" borderId="34" xfId="0" applyNumberFormat="1" applyFont="1" applyFill="1" applyBorder="1" applyAlignment="1">
      <alignment vertical="top" wrapText="1"/>
    </xf>
    <xf numFmtId="166" fontId="3" fillId="7" borderId="6" xfId="0" applyNumberFormat="1" applyFont="1" applyFill="1" applyBorder="1" applyAlignment="1">
      <alignment horizontal="left" vertical="top" wrapText="1"/>
    </xf>
    <xf numFmtId="166" fontId="9" fillId="7" borderId="28" xfId="0" applyNumberFormat="1" applyFont="1" applyFill="1" applyBorder="1" applyAlignment="1">
      <alignment horizontal="left" vertical="top" wrapText="1"/>
    </xf>
    <xf numFmtId="3" fontId="3" fillId="11" borderId="24" xfId="0" applyNumberFormat="1" applyFont="1" applyFill="1" applyBorder="1" applyAlignment="1">
      <alignment horizontal="left" vertical="top" wrapText="1"/>
    </xf>
    <xf numFmtId="0" fontId="0" fillId="11" borderId="27" xfId="0" applyFill="1" applyBorder="1" applyAlignment="1">
      <alignment horizontal="left" vertical="top" wrapText="1"/>
    </xf>
    <xf numFmtId="166" fontId="3" fillId="11" borderId="24" xfId="0" applyNumberFormat="1" applyFont="1" applyFill="1" applyBorder="1" applyAlignment="1">
      <alignment horizontal="left" vertical="top" wrapText="1"/>
    </xf>
    <xf numFmtId="3" fontId="3" fillId="11" borderId="25" xfId="0" applyNumberFormat="1" applyFont="1" applyFill="1" applyBorder="1" applyAlignment="1">
      <alignment horizontal="left" vertical="top" wrapText="1"/>
    </xf>
    <xf numFmtId="0" fontId="0" fillId="11" borderId="26" xfId="0" applyFill="1" applyBorder="1" applyAlignment="1">
      <alignment horizontal="left" vertical="top" wrapText="1"/>
    </xf>
    <xf numFmtId="49" fontId="3" fillId="7" borderId="19" xfId="0" applyNumberFormat="1" applyFont="1" applyFill="1" applyBorder="1" applyAlignment="1">
      <alignment horizontal="left" vertical="top" wrapText="1"/>
    </xf>
    <xf numFmtId="0" fontId="0" fillId="0" borderId="10" xfId="0" applyBorder="1" applyAlignment="1">
      <alignment horizontal="left" vertical="top" wrapText="1"/>
    </xf>
    <xf numFmtId="0" fontId="3" fillId="7" borderId="103" xfId="0" applyFont="1" applyFill="1" applyBorder="1" applyAlignment="1">
      <alignment horizontal="left" vertical="top" wrapText="1"/>
    </xf>
    <xf numFmtId="0" fontId="0" fillId="0" borderId="79" xfId="0" applyBorder="1" applyAlignment="1">
      <alignment vertical="top"/>
    </xf>
    <xf numFmtId="0" fontId="3" fillId="7" borderId="100" xfId="0" applyFont="1" applyFill="1" applyBorder="1" applyAlignment="1">
      <alignment horizontal="left" vertical="top" wrapText="1"/>
    </xf>
    <xf numFmtId="0" fontId="0" fillId="0" borderId="78" xfId="0" applyBorder="1" applyAlignment="1">
      <alignment vertical="top"/>
    </xf>
    <xf numFmtId="0" fontId="0" fillId="0" borderId="27" xfId="0" applyBorder="1" applyAlignment="1">
      <alignment horizontal="left" vertical="top" wrapText="1"/>
    </xf>
    <xf numFmtId="166" fontId="3" fillId="0" borderId="28" xfId="0" applyNumberFormat="1" applyFont="1" applyFill="1" applyBorder="1" applyAlignment="1">
      <alignment horizontal="left" vertical="top" wrapText="1"/>
    </xf>
    <xf numFmtId="166" fontId="4" fillId="5" borderId="72" xfId="0" applyNumberFormat="1" applyFont="1" applyFill="1" applyBorder="1" applyAlignment="1">
      <alignment horizontal="right" vertical="top"/>
    </xf>
    <xf numFmtId="166" fontId="4" fillId="5" borderId="68" xfId="0" applyNumberFormat="1" applyFont="1" applyFill="1" applyBorder="1" applyAlignment="1">
      <alignment horizontal="right" vertical="top"/>
    </xf>
    <xf numFmtId="166" fontId="4" fillId="5" borderId="69" xfId="0" applyNumberFormat="1" applyFont="1" applyFill="1" applyBorder="1" applyAlignment="1">
      <alignment horizontal="right" vertical="top"/>
    </xf>
    <xf numFmtId="166" fontId="3" fillId="7" borderId="45" xfId="0" applyNumberFormat="1" applyFont="1" applyFill="1" applyBorder="1" applyAlignment="1">
      <alignment horizontal="left" vertical="top" wrapText="1"/>
    </xf>
    <xf numFmtId="166" fontId="3" fillId="7" borderId="47" xfId="0" applyNumberFormat="1" applyFont="1" applyFill="1" applyBorder="1" applyAlignment="1">
      <alignment horizontal="left" vertical="top" wrapText="1"/>
    </xf>
    <xf numFmtId="166" fontId="3" fillId="7" borderId="34" xfId="0" applyNumberFormat="1" applyFont="1" applyFill="1" applyBorder="1" applyAlignment="1">
      <alignment horizontal="left" vertical="top" wrapText="1"/>
    </xf>
    <xf numFmtId="0" fontId="24"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166" fontId="3" fillId="5" borderId="54" xfId="0" applyNumberFormat="1" applyFont="1" applyFill="1" applyBorder="1" applyAlignment="1">
      <alignment horizontal="center" vertical="top"/>
    </xf>
    <xf numFmtId="166" fontId="3" fillId="5" borderId="68" xfId="0" applyNumberFormat="1" applyFont="1" applyFill="1" applyBorder="1" applyAlignment="1">
      <alignment horizontal="center" vertical="top"/>
    </xf>
    <xf numFmtId="166" fontId="3" fillId="5" borderId="69"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2" borderId="10" xfId="0" applyNumberFormat="1" applyFont="1" applyFill="1" applyBorder="1" applyAlignment="1">
      <alignment horizontal="center" vertical="top"/>
    </xf>
    <xf numFmtId="166" fontId="3" fillId="11" borderId="45" xfId="0" applyNumberFormat="1" applyFont="1" applyFill="1" applyBorder="1" applyAlignment="1">
      <alignment vertical="top" wrapText="1"/>
    </xf>
    <xf numFmtId="0" fontId="9" fillId="11" borderId="47" xfId="0" applyFont="1" applyFill="1" applyBorder="1" applyAlignment="1">
      <alignment vertical="top" wrapText="1"/>
    </xf>
    <xf numFmtId="0" fontId="9" fillId="11" borderId="34" xfId="0" applyFont="1" applyFill="1" applyBorder="1" applyAlignment="1">
      <alignment vertical="top" wrapText="1"/>
    </xf>
    <xf numFmtId="166" fontId="3" fillId="7" borderId="19" xfId="0" applyNumberFormat="1" applyFont="1" applyFill="1" applyBorder="1" applyAlignment="1">
      <alignment horizontal="center" vertical="center" textRotation="90"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49" fontId="3" fillId="7" borderId="1" xfId="0" applyNumberFormat="1" applyFont="1" applyFill="1" applyBorder="1" applyAlignment="1">
      <alignment horizontal="center" vertical="top"/>
    </xf>
    <xf numFmtId="166" fontId="3" fillId="11" borderId="19" xfId="0" applyNumberFormat="1" applyFont="1" applyFill="1" applyBorder="1" applyAlignment="1">
      <alignment vertical="top" wrapText="1"/>
    </xf>
    <xf numFmtId="0" fontId="9" fillId="11" borderId="27" xfId="0" applyFont="1" applyFill="1" applyBorder="1" applyAlignment="1">
      <alignment vertical="top" wrapText="1"/>
    </xf>
    <xf numFmtId="166" fontId="4" fillId="9" borderId="4" xfId="0" applyNumberFormat="1" applyFont="1" applyFill="1" applyBorder="1" applyAlignment="1">
      <alignment horizontal="center" vertical="top"/>
    </xf>
    <xf numFmtId="166" fontId="4" fillId="9" borderId="8" xfId="0" applyNumberFormat="1" applyFont="1" applyFill="1" applyBorder="1" applyAlignment="1">
      <alignment horizontal="center" vertical="top"/>
    </xf>
    <xf numFmtId="166" fontId="4" fillId="2" borderId="24" xfId="0" applyNumberFormat="1" applyFont="1" applyFill="1" applyBorder="1" applyAlignment="1">
      <alignment horizontal="center" vertical="top"/>
    </xf>
    <xf numFmtId="166" fontId="4" fillId="2" borderId="29" xfId="0" applyNumberFormat="1" applyFont="1" applyFill="1" applyBorder="1" applyAlignment="1">
      <alignment horizontal="center" vertical="top"/>
    </xf>
    <xf numFmtId="49" fontId="4" fillId="7" borderId="24" xfId="0" applyNumberFormat="1" applyFont="1" applyFill="1" applyBorder="1" applyAlignment="1">
      <alignment horizontal="center" vertical="top"/>
    </xf>
    <xf numFmtId="49" fontId="4" fillId="7" borderId="10" xfId="0" applyNumberFormat="1" applyFont="1" applyFill="1" applyBorder="1" applyAlignment="1">
      <alignment horizontal="center" vertical="top"/>
    </xf>
    <xf numFmtId="49" fontId="4" fillId="7" borderId="29" xfId="0" applyNumberFormat="1" applyFont="1" applyFill="1" applyBorder="1" applyAlignment="1">
      <alignment horizontal="center" vertical="top"/>
    </xf>
    <xf numFmtId="166" fontId="4" fillId="2" borderId="72" xfId="0" applyNumberFormat="1" applyFont="1" applyFill="1" applyBorder="1" applyAlignment="1">
      <alignment horizontal="right" vertical="top"/>
    </xf>
    <xf numFmtId="166" fontId="4" fillId="7" borderId="24" xfId="0" applyNumberFormat="1" applyFont="1" applyFill="1" applyBorder="1" applyAlignment="1">
      <alignment vertical="top" wrapText="1"/>
    </xf>
    <xf numFmtId="0" fontId="3" fillId="7" borderId="10" xfId="0" applyFont="1" applyFill="1" applyBorder="1" applyAlignment="1">
      <alignment horizontal="left" vertical="top" wrapText="1"/>
    </xf>
    <xf numFmtId="0" fontId="3" fillId="7" borderId="27" xfId="0" applyFont="1" applyFill="1" applyBorder="1" applyAlignment="1">
      <alignment horizontal="left" vertical="top" wrapText="1"/>
    </xf>
    <xf numFmtId="166" fontId="3" fillId="7" borderId="6" xfId="0" applyNumberFormat="1" applyFont="1" applyFill="1" applyBorder="1" applyAlignment="1">
      <alignment vertical="top" wrapText="1"/>
    </xf>
    <xf numFmtId="166" fontId="9" fillId="7" borderId="28" xfId="0" applyNumberFormat="1" applyFont="1" applyFill="1" applyBorder="1" applyAlignment="1">
      <alignment vertical="top"/>
    </xf>
    <xf numFmtId="3" fontId="3" fillId="7" borderId="47" xfId="0" applyNumberFormat="1" applyFont="1" applyFill="1" applyBorder="1" applyAlignment="1">
      <alignment horizontal="center" vertical="top"/>
    </xf>
    <xf numFmtId="3" fontId="9" fillId="7" borderId="34" xfId="0" applyNumberFormat="1" applyFont="1" applyFill="1" applyBorder="1" applyAlignment="1">
      <alignment vertical="top"/>
    </xf>
    <xf numFmtId="3" fontId="3" fillId="7" borderId="37" xfId="0" applyNumberFormat="1" applyFont="1" applyFill="1" applyBorder="1" applyAlignment="1">
      <alignment horizontal="center" vertical="top"/>
    </xf>
    <xf numFmtId="3" fontId="9" fillId="7" borderId="52" xfId="0" applyNumberFormat="1" applyFont="1" applyFill="1" applyBorder="1" applyAlignment="1">
      <alignment vertical="top"/>
    </xf>
    <xf numFmtId="166" fontId="5" fillId="0" borderId="24" xfId="0" applyNumberFormat="1" applyFont="1" applyFill="1" applyBorder="1" applyAlignment="1">
      <alignment horizontal="center" vertical="top" wrapText="1"/>
    </xf>
    <xf numFmtId="166" fontId="5" fillId="0" borderId="10" xfId="0" applyNumberFormat="1" applyFont="1" applyFill="1" applyBorder="1" applyAlignment="1">
      <alignment horizontal="center" vertical="top" wrapText="1"/>
    </xf>
    <xf numFmtId="166" fontId="5" fillId="0" borderId="29" xfId="0" applyNumberFormat="1" applyFont="1" applyFill="1" applyBorder="1" applyAlignment="1">
      <alignment horizontal="center" vertical="top" wrapText="1"/>
    </xf>
    <xf numFmtId="166" fontId="4" fillId="7" borderId="40" xfId="0" applyNumberFormat="1" applyFont="1" applyFill="1" applyBorder="1" applyAlignment="1">
      <alignment horizontal="center" vertical="top"/>
    </xf>
    <xf numFmtId="166" fontId="4" fillId="7" borderId="47" xfId="0" applyNumberFormat="1" applyFont="1" applyFill="1" applyBorder="1" applyAlignment="1">
      <alignment horizontal="center" vertical="top"/>
    </xf>
    <xf numFmtId="166" fontId="4" fillId="7" borderId="55" xfId="0" applyNumberFormat="1" applyFont="1" applyFill="1" applyBorder="1" applyAlignment="1">
      <alignment horizontal="center" vertical="top"/>
    </xf>
    <xf numFmtId="166" fontId="3" fillId="7" borderId="19" xfId="0" applyNumberFormat="1" applyFont="1" applyFill="1" applyBorder="1" applyAlignment="1">
      <alignment vertical="top" wrapText="1"/>
    </xf>
    <xf numFmtId="166" fontId="3" fillId="7" borderId="10" xfId="0" applyNumberFormat="1" applyFont="1" applyFill="1" applyBorder="1" applyAlignment="1">
      <alignment vertical="top" wrapText="1"/>
    </xf>
    <xf numFmtId="166" fontId="3" fillId="7" borderId="29" xfId="0" applyNumberFormat="1" applyFont="1" applyFill="1" applyBorder="1" applyAlignment="1">
      <alignment vertical="top" wrapText="1"/>
    </xf>
    <xf numFmtId="166" fontId="3" fillId="7" borderId="35" xfId="0" applyNumberFormat="1" applyFont="1" applyFill="1" applyBorder="1" applyAlignment="1">
      <alignment vertical="top" wrapText="1"/>
    </xf>
    <xf numFmtId="166" fontId="9" fillId="7" borderId="8" xfId="0" applyNumberFormat="1" applyFont="1" applyFill="1" applyBorder="1" applyAlignment="1">
      <alignment vertical="top" wrapText="1"/>
    </xf>
    <xf numFmtId="166" fontId="9" fillId="7" borderId="27" xfId="0" applyNumberFormat="1" applyFont="1" applyFill="1" applyBorder="1" applyAlignment="1">
      <alignment vertical="top" wrapText="1"/>
    </xf>
    <xf numFmtId="166" fontId="9" fillId="7" borderId="10" xfId="0" applyNumberFormat="1" applyFont="1" applyFill="1" applyBorder="1" applyAlignment="1">
      <alignment horizontal="center" vertical="center" textRotation="90" wrapText="1"/>
    </xf>
    <xf numFmtId="0" fontId="0" fillId="0" borderId="10" xfId="0" applyBorder="1" applyAlignment="1">
      <alignment horizontal="center" vertical="center" textRotation="90" wrapText="1"/>
    </xf>
    <xf numFmtId="166" fontId="3" fillId="7" borderId="40" xfId="0" applyNumberFormat="1" applyFont="1" applyFill="1" applyBorder="1" applyAlignment="1">
      <alignment vertical="top" wrapText="1"/>
    </xf>
    <xf numFmtId="166" fontId="3" fillId="7" borderId="55" xfId="0" applyNumberFormat="1" applyFont="1" applyFill="1" applyBorder="1" applyAlignment="1">
      <alignment vertical="top" wrapText="1"/>
    </xf>
    <xf numFmtId="49" fontId="4" fillId="9" borderId="4" xfId="0" applyNumberFormat="1" applyFont="1" applyFill="1" applyBorder="1" applyAlignment="1">
      <alignment horizontal="center" vertical="top"/>
    </xf>
    <xf numFmtId="49" fontId="4" fillId="9" borderId="8" xfId="0" applyNumberFormat="1" applyFont="1" applyFill="1" applyBorder="1" applyAlignment="1">
      <alignment horizontal="center" vertical="top"/>
    </xf>
    <xf numFmtId="49" fontId="4" fillId="2" borderId="40" xfId="0" applyNumberFormat="1" applyFont="1" applyFill="1" applyBorder="1" applyAlignment="1">
      <alignment horizontal="center" vertical="top"/>
    </xf>
    <xf numFmtId="49" fontId="4" fillId="2" borderId="47" xfId="0" applyNumberFormat="1" applyFont="1" applyFill="1" applyBorder="1" applyAlignment="1">
      <alignment horizontal="center" vertical="top"/>
    </xf>
    <xf numFmtId="49" fontId="4" fillId="2" borderId="55" xfId="0" applyNumberFormat="1" applyFont="1" applyFill="1" applyBorder="1" applyAlignment="1">
      <alignment horizontal="center" vertical="top"/>
    </xf>
    <xf numFmtId="166" fontId="3" fillId="7" borderId="24" xfId="0" applyNumberFormat="1" applyFont="1" applyFill="1" applyBorder="1" applyAlignment="1">
      <alignment horizontal="left" vertical="top" wrapText="1"/>
    </xf>
    <xf numFmtId="166" fontId="3" fillId="7" borderId="29" xfId="0" applyNumberFormat="1" applyFont="1" applyFill="1" applyBorder="1" applyAlignment="1">
      <alignment horizontal="left" vertical="top" wrapText="1"/>
    </xf>
    <xf numFmtId="166" fontId="3" fillId="8" borderId="45" xfId="0" applyNumberFormat="1" applyFont="1" applyFill="1" applyBorder="1" applyAlignment="1">
      <alignment vertical="top" wrapText="1"/>
    </xf>
    <xf numFmtId="166" fontId="3" fillId="8" borderId="34" xfId="0" applyNumberFormat="1" applyFont="1" applyFill="1" applyBorder="1" applyAlignment="1">
      <alignment vertical="top" wrapText="1"/>
    </xf>
    <xf numFmtId="166" fontId="4" fillId="7" borderId="17" xfId="0" applyNumberFormat="1" applyFont="1" applyFill="1" applyBorder="1" applyAlignment="1">
      <alignment horizontal="center" vertical="top"/>
    </xf>
    <xf numFmtId="3" fontId="3" fillId="7" borderId="19" xfId="0" applyNumberFormat="1" applyFont="1" applyFill="1" applyBorder="1" applyAlignment="1">
      <alignment horizontal="center" vertical="top"/>
    </xf>
    <xf numFmtId="3" fontId="3" fillId="7" borderId="27" xfId="0" applyNumberFormat="1" applyFont="1" applyFill="1" applyBorder="1" applyAlignment="1">
      <alignment horizontal="center" vertical="top"/>
    </xf>
    <xf numFmtId="166" fontId="4" fillId="2" borderId="47" xfId="0" applyNumberFormat="1" applyFont="1" applyFill="1" applyBorder="1" applyAlignment="1">
      <alignment horizontal="center" vertical="top"/>
    </xf>
    <xf numFmtId="166" fontId="3" fillId="7" borderId="45" xfId="0" applyNumberFormat="1" applyFont="1" applyFill="1" applyBorder="1" applyAlignment="1">
      <alignment vertical="top" wrapText="1"/>
    </xf>
    <xf numFmtId="166" fontId="3" fillId="7" borderId="34" xfId="0" applyNumberFormat="1" applyFont="1" applyFill="1" applyBorder="1" applyAlignment="1">
      <alignment vertical="top" wrapText="1"/>
    </xf>
    <xf numFmtId="166" fontId="4" fillId="7" borderId="10" xfId="0" applyNumberFormat="1" applyFont="1" applyFill="1" applyBorder="1" applyAlignment="1">
      <alignment horizontal="center" vertical="top" wrapText="1"/>
    </xf>
    <xf numFmtId="166" fontId="4" fillId="0" borderId="45" xfId="0" applyNumberFormat="1" applyFont="1" applyFill="1" applyBorder="1" applyAlignment="1">
      <alignment horizontal="center" vertical="top" wrapText="1"/>
    </xf>
    <xf numFmtId="166" fontId="4" fillId="0" borderId="47" xfId="0" applyNumberFormat="1" applyFont="1" applyFill="1" applyBorder="1" applyAlignment="1">
      <alignment horizontal="center" vertical="top" wrapText="1"/>
    </xf>
    <xf numFmtId="166" fontId="4" fillId="0" borderId="34" xfId="0" applyNumberFormat="1" applyFont="1" applyFill="1" applyBorder="1" applyAlignment="1">
      <alignment horizontal="center" vertical="top" wrapText="1"/>
    </xf>
    <xf numFmtId="0" fontId="3" fillId="0" borderId="31" xfId="0" applyFont="1" applyBorder="1" applyAlignment="1">
      <alignment horizontal="right" vertical="top"/>
    </xf>
    <xf numFmtId="0" fontId="0" fillId="0" borderId="31" xfId="0" applyFont="1" applyBorder="1" applyAlignment="1">
      <alignment vertical="top"/>
    </xf>
    <xf numFmtId="49" fontId="6" fillId="6" borderId="66" xfId="0" applyNumberFormat="1" applyFont="1" applyFill="1" applyBorder="1" applyAlignment="1">
      <alignment horizontal="left" vertical="top" wrapText="1"/>
    </xf>
    <xf numFmtId="49" fontId="6" fillId="6" borderId="71" xfId="0" applyNumberFormat="1" applyFont="1" applyFill="1" applyBorder="1" applyAlignment="1">
      <alignment horizontal="left" vertical="top" wrapText="1"/>
    </xf>
    <xf numFmtId="49" fontId="6" fillId="6" borderId="67" xfId="0" applyNumberFormat="1" applyFont="1" applyFill="1" applyBorder="1" applyAlignment="1">
      <alignment horizontal="left" vertical="top" wrapText="1"/>
    </xf>
    <xf numFmtId="0" fontId="6" fillId="5" borderId="65" xfId="0" applyFont="1" applyFill="1" applyBorder="1" applyAlignment="1">
      <alignment horizontal="left" vertical="top" wrapText="1"/>
    </xf>
    <xf numFmtId="0" fontId="6" fillId="5" borderId="60" xfId="0" applyFont="1" applyFill="1" applyBorder="1" applyAlignment="1">
      <alignment horizontal="left" vertical="top" wrapText="1"/>
    </xf>
    <xf numFmtId="0" fontId="6" fillId="5" borderId="41"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60" xfId="0" applyFont="1" applyFill="1" applyBorder="1" applyAlignment="1">
      <alignment horizontal="left" vertical="top" wrapText="1"/>
    </xf>
    <xf numFmtId="0" fontId="4" fillId="2" borderId="41" xfId="0" applyFont="1" applyFill="1" applyBorder="1" applyAlignment="1">
      <alignment horizontal="left" vertical="top" wrapText="1"/>
    </xf>
    <xf numFmtId="0" fontId="3" fillId="11" borderId="19" xfId="0" applyFont="1" applyFill="1" applyBorder="1" applyAlignment="1">
      <alignment horizontal="left" vertical="top" wrapText="1"/>
    </xf>
    <xf numFmtId="0" fontId="3" fillId="11" borderId="10" xfId="0" applyFont="1" applyFill="1" applyBorder="1" applyAlignment="1">
      <alignment horizontal="left" vertical="top" wrapText="1"/>
    </xf>
    <xf numFmtId="0" fontId="3" fillId="0" borderId="40"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25" xfId="0" applyNumberFormat="1" applyFont="1" applyBorder="1" applyAlignment="1">
      <alignment horizontal="center" vertical="center" textRotation="90" shrinkToFit="1"/>
    </xf>
    <xf numFmtId="0" fontId="3" fillId="0" borderId="17" xfId="0" applyNumberFormat="1" applyFont="1" applyBorder="1" applyAlignment="1">
      <alignment horizontal="center" vertical="center" textRotation="90" shrinkToFit="1"/>
    </xf>
    <xf numFmtId="0" fontId="3" fillId="0" borderId="30" xfId="0" applyNumberFormat="1" applyFont="1" applyBorder="1" applyAlignment="1">
      <alignment horizontal="center" vertical="center" textRotation="90" shrinkToFit="1"/>
    </xf>
    <xf numFmtId="0" fontId="3" fillId="0" borderId="38" xfId="0" applyFont="1" applyBorder="1" applyAlignment="1">
      <alignment horizontal="center" vertical="center" textRotation="90" shrinkToFit="1"/>
    </xf>
    <xf numFmtId="0" fontId="3" fillId="0" borderId="5" xfId="0" applyFont="1" applyBorder="1" applyAlignment="1">
      <alignment horizontal="center" vertical="center" textRotation="90" shrinkToFit="1"/>
    </xf>
    <xf numFmtId="0" fontId="3" fillId="0" borderId="64" xfId="0" applyFont="1" applyBorder="1" applyAlignment="1">
      <alignment horizontal="center" vertical="center" textRotation="90" shrinkToFit="1"/>
    </xf>
    <xf numFmtId="3" fontId="40" fillId="0" borderId="66" xfId="0" applyNumberFormat="1" applyFont="1" applyBorder="1" applyAlignment="1">
      <alignment horizontal="center" vertical="center" wrapText="1"/>
    </xf>
    <xf numFmtId="0" fontId="0" fillId="0" borderId="71" xfId="0" applyBorder="1" applyAlignment="1">
      <alignment horizontal="center" vertical="center"/>
    </xf>
    <xf numFmtId="0" fontId="0" fillId="0" borderId="67" xfId="0" applyBorder="1" applyAlignment="1">
      <alignment horizontal="center" vertical="center"/>
    </xf>
    <xf numFmtId="166" fontId="4" fillId="7" borderId="10" xfId="0" applyNumberFormat="1" applyFont="1" applyFill="1" applyBorder="1" applyAlignment="1">
      <alignment horizontal="center" vertical="center" textRotation="90" wrapText="1"/>
    </xf>
    <xf numFmtId="0" fontId="0" fillId="0" borderId="10" xfId="0" applyBorder="1" applyAlignment="1">
      <alignment horizontal="center" wrapText="1"/>
    </xf>
    <xf numFmtId="0" fontId="5" fillId="0" borderId="10" xfId="0" applyFont="1" applyFill="1" applyBorder="1" applyAlignment="1">
      <alignment horizontal="center" vertical="center" textRotation="90" wrapText="1"/>
    </xf>
    <xf numFmtId="0" fontId="0" fillId="0" borderId="27" xfId="0" applyBorder="1" applyAlignment="1">
      <alignment horizontal="center" vertical="center" textRotation="90" wrapText="1"/>
    </xf>
    <xf numFmtId="0" fontId="8" fillId="7" borderId="10" xfId="0" applyFont="1" applyFill="1" applyBorder="1" applyAlignment="1">
      <alignment vertical="top" wrapText="1"/>
    </xf>
    <xf numFmtId="0" fontId="3" fillId="9" borderId="36" xfId="0" applyFont="1" applyFill="1" applyBorder="1" applyAlignment="1">
      <alignment vertical="center" wrapText="1"/>
    </xf>
    <xf numFmtId="0" fontId="0" fillId="0" borderId="60" xfId="0" applyBorder="1" applyAlignment="1">
      <alignment vertical="center" wrapText="1"/>
    </xf>
    <xf numFmtId="0" fontId="0" fillId="0" borderId="117" xfId="0" applyBorder="1" applyAlignment="1">
      <alignment vertical="center" wrapText="1"/>
    </xf>
    <xf numFmtId="3" fontId="41" fillId="0" borderId="5" xfId="0" applyNumberFormat="1" applyFont="1" applyBorder="1" applyAlignment="1">
      <alignment horizontal="center" vertical="center" wrapText="1"/>
    </xf>
    <xf numFmtId="3" fontId="41" fillId="0" borderId="64" xfId="0" applyNumberFormat="1" applyFont="1" applyBorder="1" applyAlignment="1">
      <alignment horizontal="center" vertical="center" wrapText="1"/>
    </xf>
    <xf numFmtId="166" fontId="4" fillId="9" borderId="33" xfId="0" applyNumberFormat="1" applyFont="1" applyFill="1" applyBorder="1" applyAlignment="1">
      <alignment horizontal="center" vertical="top"/>
    </xf>
    <xf numFmtId="166" fontId="3" fillId="11" borderId="47" xfId="0" applyNumberFormat="1" applyFont="1" applyFill="1" applyBorder="1" applyAlignment="1">
      <alignment horizontal="left" vertical="top" wrapText="1"/>
    </xf>
    <xf numFmtId="166" fontId="24" fillId="11" borderId="6" xfId="0" applyNumberFormat="1" applyFont="1" applyFill="1" applyBorder="1" applyAlignment="1">
      <alignment horizontal="left" vertical="top" wrapText="1"/>
    </xf>
    <xf numFmtId="0" fontId="0" fillId="11" borderId="28" xfId="0" applyFill="1" applyBorder="1" applyAlignment="1">
      <alignment horizontal="left" vertical="top" wrapText="1"/>
    </xf>
    <xf numFmtId="166" fontId="8" fillId="3" borderId="24" xfId="0" applyNumberFormat="1" applyFont="1" applyFill="1" applyBorder="1" applyAlignment="1">
      <alignment horizontal="left" vertical="top" wrapText="1"/>
    </xf>
    <xf numFmtId="166" fontId="5" fillId="0" borderId="24" xfId="0" applyNumberFormat="1" applyFont="1" applyFill="1" applyBorder="1" applyAlignment="1">
      <alignment horizontal="center" vertical="center" textRotation="90" wrapText="1"/>
    </xf>
    <xf numFmtId="166" fontId="3" fillId="11" borderId="4" xfId="0" applyNumberFormat="1" applyFont="1" applyFill="1" applyBorder="1" applyAlignment="1">
      <alignment horizontal="left" vertical="top" wrapText="1"/>
    </xf>
    <xf numFmtId="166" fontId="4" fillId="3" borderId="19" xfId="0" applyNumberFormat="1" applyFont="1" applyFill="1" applyBorder="1" applyAlignment="1">
      <alignment horizontal="center" vertical="top" wrapText="1"/>
    </xf>
    <xf numFmtId="166" fontId="4" fillId="3" borderId="10" xfId="0" applyNumberFormat="1" applyFont="1" applyFill="1" applyBorder="1" applyAlignment="1">
      <alignment horizontal="center" vertical="top" wrapText="1"/>
    </xf>
    <xf numFmtId="166" fontId="4" fillId="3" borderId="47" xfId="0" applyNumberFormat="1" applyFont="1" applyFill="1" applyBorder="1" applyAlignment="1">
      <alignment horizontal="center" vertical="top"/>
    </xf>
    <xf numFmtId="166" fontId="3" fillId="6" borderId="19" xfId="0" applyNumberFormat="1" applyFont="1" applyFill="1" applyBorder="1" applyAlignment="1">
      <alignment horizontal="left" vertical="top" wrapText="1"/>
    </xf>
    <xf numFmtId="166" fontId="9" fillId="6" borderId="27" xfId="0" applyNumberFormat="1" applyFont="1" applyFill="1" applyBorder="1" applyAlignment="1">
      <alignment horizontal="left" vertical="top" wrapText="1"/>
    </xf>
    <xf numFmtId="166" fontId="9" fillId="7" borderId="95" xfId="0" applyNumberFormat="1" applyFont="1" applyFill="1" applyBorder="1" applyAlignment="1">
      <alignment horizontal="left" vertical="top" wrapText="1"/>
    </xf>
    <xf numFmtId="0" fontId="0" fillId="7" borderId="27" xfId="0" applyFill="1" applyBorder="1" applyAlignment="1">
      <alignment horizontal="left" vertical="top" wrapText="1"/>
    </xf>
    <xf numFmtId="166" fontId="8" fillId="7" borderId="24" xfId="0" applyNumberFormat="1" applyFont="1" applyFill="1" applyBorder="1" applyAlignment="1">
      <alignment horizontal="left" vertical="top" wrapText="1"/>
    </xf>
    <xf numFmtId="166" fontId="8" fillId="7" borderId="10" xfId="0" applyNumberFormat="1" applyFont="1" applyFill="1" applyBorder="1" applyAlignment="1">
      <alignment horizontal="left" vertical="top" wrapText="1"/>
    </xf>
    <xf numFmtId="166" fontId="5" fillId="7" borderId="24" xfId="0" applyNumberFormat="1" applyFont="1" applyFill="1" applyBorder="1" applyAlignment="1">
      <alignment horizontal="center" vertical="center" textRotation="90" wrapText="1"/>
    </xf>
    <xf numFmtId="166" fontId="5" fillId="7" borderId="10" xfId="0" applyNumberFormat="1" applyFont="1" applyFill="1" applyBorder="1" applyAlignment="1">
      <alignment horizontal="center" vertical="center" textRotation="90" wrapText="1"/>
    </xf>
    <xf numFmtId="166" fontId="3" fillId="11" borderId="19" xfId="0" applyNumberFormat="1" applyFont="1" applyFill="1" applyBorder="1" applyAlignment="1">
      <alignment horizontal="left" vertical="top" wrapText="1"/>
    </xf>
    <xf numFmtId="166" fontId="3" fillId="11" borderId="34" xfId="0" applyNumberFormat="1" applyFont="1" applyFill="1" applyBorder="1" applyAlignment="1">
      <alignment horizontal="left" vertical="top" wrapText="1"/>
    </xf>
    <xf numFmtId="166" fontId="4" fillId="7" borderId="27" xfId="0" applyNumberFormat="1" applyFont="1" applyFill="1" applyBorder="1" applyAlignment="1">
      <alignment horizontal="center" vertical="top" wrapText="1"/>
    </xf>
    <xf numFmtId="3" fontId="24" fillId="6" borderId="19" xfId="0" applyNumberFormat="1" applyFont="1" applyFill="1" applyBorder="1" applyAlignment="1">
      <alignment horizontal="left" vertical="top" wrapText="1"/>
    </xf>
    <xf numFmtId="0" fontId="0" fillId="6" borderId="27" xfId="0" applyFill="1" applyBorder="1" applyAlignment="1">
      <alignment horizontal="left" vertical="top" wrapText="1"/>
    </xf>
    <xf numFmtId="166" fontId="24" fillId="7" borderId="35" xfId="0" applyNumberFormat="1" applyFont="1" applyFill="1" applyBorder="1" applyAlignment="1">
      <alignment horizontal="left" vertical="top" wrapText="1"/>
    </xf>
    <xf numFmtId="0" fontId="0" fillId="0" borderId="6" xfId="0" applyBorder="1" applyAlignment="1">
      <alignment horizontal="left" vertical="top" wrapText="1"/>
    </xf>
    <xf numFmtId="3" fontId="3" fillId="8" borderId="20" xfId="0" applyNumberFormat="1" applyFont="1" applyFill="1" applyBorder="1" applyAlignment="1">
      <alignment horizontal="left" vertical="top" wrapText="1"/>
    </xf>
    <xf numFmtId="0" fontId="0" fillId="8" borderId="26" xfId="0" applyFill="1" applyBorder="1" applyAlignment="1">
      <alignment horizontal="left" vertical="top" wrapText="1"/>
    </xf>
    <xf numFmtId="3" fontId="3" fillId="7" borderId="24" xfId="0" applyNumberFormat="1" applyFont="1" applyFill="1" applyBorder="1" applyAlignment="1">
      <alignment horizontal="left" vertical="top" wrapText="1"/>
    </xf>
    <xf numFmtId="3" fontId="3" fillId="7" borderId="10" xfId="0" applyNumberFormat="1" applyFont="1" applyFill="1" applyBorder="1" applyAlignment="1">
      <alignment horizontal="left" vertical="top" wrapText="1"/>
    </xf>
    <xf numFmtId="0" fontId="9" fillId="7" borderId="10" xfId="0" applyFont="1" applyFill="1" applyBorder="1" applyAlignment="1">
      <alignment horizontal="left" vertical="top" wrapText="1"/>
    </xf>
    <xf numFmtId="0" fontId="0" fillId="7" borderId="6" xfId="0" applyFill="1" applyBorder="1" applyAlignment="1">
      <alignment horizontal="left" vertical="top" wrapText="1"/>
    </xf>
    <xf numFmtId="166" fontId="4" fillId="2" borderId="3" xfId="0" applyNumberFormat="1" applyFont="1" applyFill="1" applyBorder="1" applyAlignment="1">
      <alignment horizontal="left" vertical="top"/>
    </xf>
    <xf numFmtId="166" fontId="4" fillId="2" borderId="24" xfId="0" applyNumberFormat="1" applyFont="1" applyFill="1" applyBorder="1" applyAlignment="1">
      <alignment horizontal="left" vertical="top"/>
    </xf>
    <xf numFmtId="166" fontId="4" fillId="2" borderId="74" xfId="0" applyNumberFormat="1" applyFont="1" applyFill="1" applyBorder="1" applyAlignment="1">
      <alignment horizontal="left" vertical="top"/>
    </xf>
    <xf numFmtId="166" fontId="3" fillId="7" borderId="90" xfId="0" applyNumberFormat="1" applyFont="1" applyFill="1" applyBorder="1" applyAlignment="1">
      <alignment horizontal="left" vertical="top" wrapText="1"/>
    </xf>
    <xf numFmtId="166" fontId="7" fillId="7" borderId="24" xfId="0" applyNumberFormat="1" applyFont="1" applyFill="1" applyBorder="1" applyAlignment="1">
      <alignment horizontal="center" vertical="center" textRotation="90" wrapText="1"/>
    </xf>
    <xf numFmtId="3" fontId="3" fillId="7" borderId="42" xfId="0" applyNumberFormat="1" applyFont="1" applyFill="1" applyBorder="1" applyAlignment="1">
      <alignment horizontal="center" vertical="top"/>
    </xf>
    <xf numFmtId="166" fontId="3" fillId="11" borderId="10" xfId="0" applyNumberFormat="1" applyFont="1" applyFill="1" applyBorder="1" applyAlignment="1">
      <alignment vertical="top" wrapText="1"/>
    </xf>
    <xf numFmtId="0" fontId="3" fillId="7" borderId="100" xfId="0" applyNumberFormat="1" applyFont="1" applyFill="1" applyBorder="1" applyAlignment="1">
      <alignment horizontal="left" vertical="top" wrapText="1"/>
    </xf>
    <xf numFmtId="0" fontId="3" fillId="7" borderId="6" xfId="0" applyFont="1" applyFill="1" applyBorder="1" applyAlignment="1">
      <alignment horizontal="left" vertical="top" wrapText="1"/>
    </xf>
    <xf numFmtId="0" fontId="0" fillId="7" borderId="28" xfId="0" applyFill="1" applyBorder="1" applyAlignment="1">
      <alignment horizontal="left" vertical="top" wrapText="1"/>
    </xf>
    <xf numFmtId="166" fontId="4" fillId="7" borderId="10" xfId="0" applyNumberFormat="1" applyFont="1" applyFill="1" applyBorder="1" applyAlignment="1">
      <alignment vertical="top" wrapText="1"/>
    </xf>
    <xf numFmtId="0" fontId="0" fillId="7" borderId="10" xfId="0" applyFill="1" applyBorder="1" applyAlignment="1">
      <alignment vertical="top" wrapText="1"/>
    </xf>
    <xf numFmtId="0" fontId="3" fillId="11" borderId="20" xfId="0" applyFont="1" applyFill="1" applyBorder="1" applyAlignment="1">
      <alignment horizontal="left" vertical="top" wrapText="1"/>
    </xf>
    <xf numFmtId="0" fontId="0" fillId="0" borderId="26" xfId="0" applyBorder="1" applyAlignment="1">
      <alignment horizontal="left" vertical="top" wrapText="1"/>
    </xf>
    <xf numFmtId="3" fontId="3" fillId="7" borderId="19" xfId="0" applyNumberFormat="1" applyFont="1" applyFill="1" applyBorder="1" applyAlignment="1">
      <alignment horizontal="left" vertical="top" wrapText="1"/>
    </xf>
    <xf numFmtId="3" fontId="3" fillId="7" borderId="17" xfId="0" applyNumberFormat="1" applyFont="1" applyFill="1" applyBorder="1" applyAlignment="1">
      <alignment horizontal="left" vertical="top" wrapText="1"/>
    </xf>
    <xf numFmtId="0" fontId="9" fillId="7" borderId="17" xfId="0" applyFont="1" applyFill="1" applyBorder="1" applyAlignment="1">
      <alignment horizontal="left" vertical="top" wrapText="1"/>
    </xf>
    <xf numFmtId="3" fontId="24" fillId="7" borderId="19" xfId="0" applyNumberFormat="1" applyFont="1" applyFill="1" applyBorder="1" applyAlignment="1">
      <alignment horizontal="left" vertical="center" wrapText="1"/>
    </xf>
    <xf numFmtId="0" fontId="9" fillId="0" borderId="27" xfId="0" applyFont="1" applyBorder="1" applyAlignment="1">
      <alignment horizontal="left" wrapText="1"/>
    </xf>
    <xf numFmtId="0" fontId="30" fillId="7" borderId="19" xfId="0" applyFont="1" applyFill="1" applyBorder="1" applyAlignment="1">
      <alignment horizontal="left" vertical="top" wrapText="1"/>
    </xf>
    <xf numFmtId="3" fontId="3" fillId="11" borderId="17" xfId="0" applyNumberFormat="1" applyFont="1" applyFill="1" applyBorder="1" applyAlignment="1">
      <alignment horizontal="left" vertical="top" wrapText="1"/>
    </xf>
    <xf numFmtId="0" fontId="0" fillId="0" borderId="17" xfId="0" applyBorder="1" applyAlignment="1">
      <alignment horizontal="left" vertical="top" wrapText="1"/>
    </xf>
    <xf numFmtId="3" fontId="24" fillId="11" borderId="20" xfId="0" applyNumberFormat="1" applyFont="1" applyFill="1" applyBorder="1" applyAlignment="1">
      <alignment horizontal="left" vertical="top" wrapText="1"/>
    </xf>
    <xf numFmtId="3" fontId="3" fillId="7" borderId="20" xfId="0" applyNumberFormat="1" applyFont="1" applyFill="1" applyBorder="1" applyAlignment="1">
      <alignment horizontal="center" vertical="top" wrapText="1"/>
    </xf>
    <xf numFmtId="0" fontId="0" fillId="7" borderId="17" xfId="0" applyFill="1" applyBorder="1" applyAlignment="1">
      <alignment horizontal="center" vertical="top" wrapText="1"/>
    </xf>
    <xf numFmtId="0" fontId="0" fillId="7" borderId="26" xfId="0" applyFill="1" applyBorder="1" applyAlignment="1">
      <alignment horizontal="center" vertical="top" wrapText="1"/>
    </xf>
    <xf numFmtId="3" fontId="3" fillId="7" borderId="45" xfId="0" applyNumberFormat="1" applyFont="1" applyFill="1" applyBorder="1" applyAlignment="1">
      <alignment horizontal="left" vertical="top" wrapText="1"/>
    </xf>
    <xf numFmtId="0" fontId="0" fillId="7" borderId="47" xfId="0" applyFill="1" applyBorder="1" applyAlignment="1">
      <alignment horizontal="left" vertical="top" wrapText="1"/>
    </xf>
    <xf numFmtId="0" fontId="0" fillId="7" borderId="34" xfId="0" applyFill="1" applyBorder="1" applyAlignment="1">
      <alignment horizontal="left" vertical="top" wrapText="1"/>
    </xf>
    <xf numFmtId="3" fontId="24" fillId="7" borderId="19" xfId="0" applyNumberFormat="1" applyFont="1" applyFill="1" applyBorder="1" applyAlignment="1">
      <alignment horizontal="left" vertical="top" wrapText="1"/>
    </xf>
    <xf numFmtId="166" fontId="24" fillId="7" borderId="6" xfId="0" applyNumberFormat="1" applyFont="1" applyFill="1" applyBorder="1" applyAlignment="1">
      <alignment horizontal="left" vertical="top" wrapText="1"/>
    </xf>
    <xf numFmtId="166" fontId="29" fillId="7" borderId="6" xfId="0" applyNumberFormat="1" applyFont="1" applyFill="1" applyBorder="1" applyAlignment="1">
      <alignment horizontal="left" vertical="top" wrapText="1"/>
    </xf>
    <xf numFmtId="166" fontId="9" fillId="7" borderId="47" xfId="0" applyNumberFormat="1" applyFont="1" applyFill="1" applyBorder="1" applyAlignment="1">
      <alignment horizontal="left" vertical="top" wrapText="1"/>
    </xf>
    <xf numFmtId="166" fontId="4" fillId="3" borderId="24" xfId="0" applyNumberFormat="1" applyFont="1" applyFill="1" applyBorder="1" applyAlignment="1">
      <alignment vertical="top" wrapText="1"/>
    </xf>
    <xf numFmtId="166" fontId="8" fillId="3" borderId="10" xfId="0" applyNumberFormat="1" applyFont="1" applyFill="1" applyBorder="1" applyAlignment="1">
      <alignment horizontal="left" vertical="top" wrapText="1"/>
    </xf>
    <xf numFmtId="166" fontId="5" fillId="3" borderId="24" xfId="0" applyNumberFormat="1" applyFont="1" applyFill="1" applyBorder="1" applyAlignment="1">
      <alignment horizontal="center" vertical="center" textRotation="90" wrapText="1"/>
    </xf>
    <xf numFmtId="166" fontId="5" fillId="3" borderId="10" xfId="0" applyNumberFormat="1" applyFont="1" applyFill="1" applyBorder="1" applyAlignment="1">
      <alignment horizontal="center" vertical="center" textRotation="90" wrapText="1"/>
    </xf>
    <xf numFmtId="0" fontId="24" fillId="7" borderId="35" xfId="0" applyFont="1" applyFill="1" applyBorder="1" applyAlignment="1">
      <alignment vertical="top" wrapText="1"/>
    </xf>
    <xf numFmtId="0" fontId="29" fillId="7" borderId="6" xfId="0" applyFont="1" applyFill="1" applyBorder="1" applyAlignment="1">
      <alignment vertical="top" wrapText="1"/>
    </xf>
    <xf numFmtId="0" fontId="27" fillId="7" borderId="6" xfId="0" applyFont="1" applyFill="1" applyBorder="1" applyAlignment="1">
      <alignment vertical="top" wrapText="1"/>
    </xf>
    <xf numFmtId="49" fontId="4" fillId="7" borderId="47" xfId="0" applyNumberFormat="1" applyFont="1" applyFill="1" applyBorder="1" applyAlignment="1">
      <alignment horizontal="center" vertical="top" wrapText="1"/>
    </xf>
    <xf numFmtId="3" fontId="3" fillId="3" borderId="50" xfId="0" applyNumberFormat="1" applyFont="1" applyFill="1" applyBorder="1" applyAlignment="1">
      <alignment horizontal="left" vertical="top" wrapText="1"/>
    </xf>
    <xf numFmtId="0" fontId="0" fillId="0" borderId="50" xfId="0" applyBorder="1" applyAlignment="1">
      <alignment horizontal="left" vertical="top" wrapText="1"/>
    </xf>
    <xf numFmtId="166" fontId="4" fillId="0" borderId="31" xfId="0" applyNumberFormat="1" applyFont="1" applyFill="1" applyBorder="1" applyAlignment="1">
      <alignment horizontal="center" vertical="top" wrapText="1"/>
    </xf>
    <xf numFmtId="3" fontId="4" fillId="0" borderId="54" xfId="0" applyNumberFormat="1" applyFont="1" applyBorder="1" applyAlignment="1">
      <alignment horizontal="center" vertical="center" wrapText="1"/>
    </xf>
    <xf numFmtId="3" fontId="4" fillId="0" borderId="68" xfId="0" applyNumberFormat="1" applyFont="1" applyBorder="1" applyAlignment="1">
      <alignment horizontal="center" vertical="center" wrapText="1"/>
    </xf>
    <xf numFmtId="3" fontId="4" fillId="0" borderId="69" xfId="0" applyNumberFormat="1" applyFont="1" applyBorder="1" applyAlignment="1">
      <alignment horizontal="center" vertical="center" wrapText="1"/>
    </xf>
    <xf numFmtId="166" fontId="3" fillId="7" borderId="46" xfId="0" applyNumberFormat="1" applyFont="1" applyFill="1" applyBorder="1" applyAlignment="1">
      <alignment vertical="top" wrapText="1"/>
    </xf>
    <xf numFmtId="0" fontId="0" fillId="7" borderId="51" xfId="0" applyFill="1" applyBorder="1" applyAlignment="1">
      <alignment vertical="top" wrapText="1"/>
    </xf>
    <xf numFmtId="166" fontId="4" fillId="2" borderId="32" xfId="0" applyNumberFormat="1" applyFont="1" applyFill="1" applyBorder="1" applyAlignment="1">
      <alignment horizontal="right" vertical="top"/>
    </xf>
    <xf numFmtId="166" fontId="3" fillId="2" borderId="31" xfId="0" applyNumberFormat="1" applyFont="1" applyFill="1" applyBorder="1" applyAlignment="1">
      <alignment horizontal="center" vertical="top" wrapText="1"/>
    </xf>
    <xf numFmtId="166" fontId="3" fillId="2" borderId="32" xfId="0" applyNumberFormat="1" applyFont="1" applyFill="1" applyBorder="1" applyAlignment="1">
      <alignment horizontal="center" vertical="top" wrapText="1"/>
    </xf>
    <xf numFmtId="0" fontId="0" fillId="0" borderId="29" xfId="0" applyFont="1" applyBorder="1" applyAlignment="1">
      <alignment vertical="top"/>
    </xf>
    <xf numFmtId="49" fontId="2" fillId="7" borderId="24" xfId="0" applyNumberFormat="1" applyFont="1" applyFill="1" applyBorder="1" applyAlignment="1">
      <alignment horizontal="center" vertical="center" textRotation="90" wrapText="1"/>
    </xf>
    <xf numFmtId="49" fontId="2" fillId="7" borderId="10" xfId="0" applyNumberFormat="1" applyFont="1" applyFill="1" applyBorder="1" applyAlignment="1">
      <alignment horizontal="center" vertical="center" textRotation="90" wrapText="1"/>
    </xf>
    <xf numFmtId="0" fontId="0" fillId="7" borderId="10" xfId="0" applyFont="1" applyFill="1" applyBorder="1" applyAlignment="1">
      <alignment horizontal="center" vertical="center" textRotation="90" wrapText="1"/>
    </xf>
    <xf numFmtId="0" fontId="0" fillId="0" borderId="29" xfId="0" applyFont="1" applyBorder="1" applyAlignment="1">
      <alignment horizontal="center" vertical="center" wrapText="1"/>
    </xf>
    <xf numFmtId="166" fontId="4" fillId="0" borderId="36" xfId="0" applyNumberFormat="1" applyFont="1" applyBorder="1" applyAlignment="1">
      <alignment horizontal="center" vertical="top"/>
    </xf>
    <xf numFmtId="166" fontId="3" fillId="0" borderId="25" xfId="0" applyNumberFormat="1" applyFont="1" applyBorder="1" applyAlignment="1">
      <alignment horizontal="center" vertical="top" wrapText="1"/>
    </xf>
    <xf numFmtId="166" fontId="3" fillId="0" borderId="17" xfId="0" applyNumberFormat="1" applyFont="1" applyBorder="1" applyAlignment="1">
      <alignment horizontal="center" vertical="top" wrapText="1"/>
    </xf>
    <xf numFmtId="0" fontId="0" fillId="0" borderId="30" xfId="0" applyFont="1" applyBorder="1" applyAlignment="1">
      <alignment horizontal="center" vertical="top"/>
    </xf>
    <xf numFmtId="1" fontId="3" fillId="7" borderId="47" xfId="0" applyNumberFormat="1" applyFont="1" applyFill="1" applyBorder="1" applyAlignment="1">
      <alignment horizontal="center" vertical="top"/>
    </xf>
    <xf numFmtId="0" fontId="0" fillId="0" borderId="34" xfId="0" applyBorder="1" applyAlignment="1">
      <alignment vertical="top"/>
    </xf>
    <xf numFmtId="1" fontId="3" fillId="7" borderId="17" xfId="0" applyNumberFormat="1" applyFont="1" applyFill="1" applyBorder="1" applyAlignment="1">
      <alignment horizontal="center" vertical="top"/>
    </xf>
    <xf numFmtId="0" fontId="0" fillId="0" borderId="26" xfId="0" applyBorder="1" applyAlignment="1">
      <alignment vertical="top"/>
    </xf>
    <xf numFmtId="49" fontId="2" fillId="0" borderId="10" xfId="0" applyNumberFormat="1" applyFont="1" applyBorder="1" applyAlignment="1">
      <alignment horizontal="center" vertical="top" textRotation="90" wrapText="1"/>
    </xf>
    <xf numFmtId="0" fontId="9" fillId="0" borderId="27" xfId="0" applyFont="1" applyBorder="1" applyAlignment="1">
      <alignment horizontal="center" textRotation="90" wrapText="1"/>
    </xf>
    <xf numFmtId="49" fontId="2" fillId="0" borderId="19" xfId="0" applyNumberFormat="1" applyFont="1" applyBorder="1" applyAlignment="1">
      <alignment horizontal="center" vertical="center" textRotation="90" wrapText="1"/>
    </xf>
    <xf numFmtId="49" fontId="2" fillId="0" borderId="10" xfId="0" applyNumberFormat="1" applyFont="1" applyBorder="1" applyAlignment="1">
      <alignment horizontal="center" vertical="center" textRotation="90" wrapText="1"/>
    </xf>
    <xf numFmtId="166" fontId="3" fillId="7" borderId="44" xfId="0" applyNumberFormat="1" applyFont="1" applyFill="1" applyBorder="1" applyAlignment="1">
      <alignment horizontal="left" vertical="top" wrapText="1"/>
    </xf>
    <xf numFmtId="0" fontId="0" fillId="0" borderId="46" xfId="0" applyBorder="1" applyAlignment="1">
      <alignment vertical="top" wrapText="1"/>
    </xf>
    <xf numFmtId="1" fontId="3" fillId="7" borderId="10" xfId="0" applyNumberFormat="1" applyFont="1" applyFill="1" applyBorder="1" applyAlignment="1">
      <alignment horizontal="center" vertical="top"/>
    </xf>
    <xf numFmtId="166" fontId="4" fillId="8" borderId="10" xfId="0" applyNumberFormat="1" applyFont="1" applyFill="1" applyBorder="1" applyAlignment="1">
      <alignment horizontal="center" vertical="top"/>
    </xf>
    <xf numFmtId="49" fontId="4" fillId="7" borderId="19" xfId="0" applyNumberFormat="1" applyFont="1" applyFill="1" applyBorder="1" applyAlignment="1">
      <alignment horizontal="center" vertical="top"/>
    </xf>
    <xf numFmtId="49" fontId="4" fillId="7" borderId="27" xfId="0" applyNumberFormat="1" applyFont="1" applyFill="1" applyBorder="1" applyAlignment="1">
      <alignment horizontal="center" vertical="top"/>
    </xf>
    <xf numFmtId="166" fontId="3" fillId="7" borderId="27" xfId="0" applyNumberFormat="1" applyFont="1" applyFill="1" applyBorder="1" applyAlignment="1">
      <alignment horizontal="center" vertical="center" textRotation="90" wrapText="1"/>
    </xf>
    <xf numFmtId="49" fontId="2" fillId="0" borderId="19" xfId="0" applyNumberFormat="1" applyFont="1" applyBorder="1" applyAlignment="1">
      <alignment horizontal="center" vertical="top" textRotation="90" wrapText="1"/>
    </xf>
    <xf numFmtId="49" fontId="2" fillId="0" borderId="27" xfId="0" applyNumberFormat="1" applyFont="1" applyBorder="1" applyAlignment="1">
      <alignment horizontal="center" vertical="top" textRotation="90" wrapText="1"/>
    </xf>
    <xf numFmtId="166" fontId="3" fillId="0" borderId="35" xfId="0" applyNumberFormat="1" applyFont="1" applyFill="1" applyBorder="1" applyAlignment="1">
      <alignment horizontal="left" vertical="top" wrapText="1"/>
    </xf>
    <xf numFmtId="166" fontId="3" fillId="7" borderId="17" xfId="0" applyNumberFormat="1" applyFont="1" applyFill="1" applyBorder="1" applyAlignment="1">
      <alignment horizontal="center" vertical="top" wrapText="1"/>
    </xf>
    <xf numFmtId="0" fontId="0" fillId="0" borderId="17" xfId="0" applyBorder="1" applyAlignment="1">
      <alignment horizontal="center" vertical="top" wrapText="1"/>
    </xf>
    <xf numFmtId="166" fontId="4" fillId="7" borderId="10" xfId="0" applyNumberFormat="1" applyFont="1" applyFill="1" applyBorder="1" applyAlignment="1">
      <alignment horizontal="center" vertical="center" textRotation="90"/>
    </xf>
    <xf numFmtId="166" fontId="4" fillId="7" borderId="27" xfId="0" applyNumberFormat="1" applyFont="1" applyFill="1" applyBorder="1" applyAlignment="1">
      <alignment horizontal="center" vertical="center" textRotation="90"/>
    </xf>
    <xf numFmtId="166" fontId="4" fillId="7" borderId="19" xfId="0" applyNumberFormat="1" applyFont="1" applyFill="1" applyBorder="1" applyAlignment="1">
      <alignment horizontal="center" vertical="center" textRotation="90"/>
    </xf>
    <xf numFmtId="0" fontId="1" fillId="0" borderId="10"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49" fontId="7" fillId="0" borderId="19" xfId="0" applyNumberFormat="1" applyFont="1" applyBorder="1" applyAlignment="1">
      <alignment horizontal="center" vertical="center" textRotation="90" wrapText="1"/>
    </xf>
    <xf numFmtId="49" fontId="7" fillId="0" borderId="10" xfId="0" applyNumberFormat="1" applyFont="1" applyBorder="1" applyAlignment="1">
      <alignment horizontal="center" vertical="center" textRotation="90" wrapText="1"/>
    </xf>
    <xf numFmtId="49" fontId="7" fillId="0" borderId="27" xfId="0" applyNumberFormat="1" applyFont="1" applyBorder="1" applyAlignment="1">
      <alignment horizontal="center" vertical="center" textRotation="90" wrapText="1"/>
    </xf>
    <xf numFmtId="49" fontId="4" fillId="7" borderId="45" xfId="0" applyNumberFormat="1" applyFont="1" applyFill="1" applyBorder="1" applyAlignment="1">
      <alignment horizontal="center" vertical="top"/>
    </xf>
    <xf numFmtId="49" fontId="4" fillId="7" borderId="34" xfId="0" applyNumberFormat="1" applyFont="1" applyFill="1" applyBorder="1" applyAlignment="1">
      <alignment horizontal="center" vertical="top"/>
    </xf>
    <xf numFmtId="166" fontId="3" fillId="7" borderId="26" xfId="0" applyNumberFormat="1" applyFont="1" applyFill="1" applyBorder="1" applyAlignment="1">
      <alignment horizontal="center" vertical="top" wrapText="1"/>
    </xf>
    <xf numFmtId="0" fontId="0" fillId="0" borderId="6" xfId="0" applyBorder="1" applyAlignment="1">
      <alignment vertical="top" wrapText="1"/>
    </xf>
    <xf numFmtId="49" fontId="4" fillId="8" borderId="10" xfId="0" applyNumberFormat="1" applyFont="1" applyFill="1" applyBorder="1" applyAlignment="1">
      <alignment horizontal="center" vertical="top"/>
    </xf>
    <xf numFmtId="49" fontId="4" fillId="0" borderId="19" xfId="0" applyNumberFormat="1" applyFont="1" applyBorder="1" applyAlignment="1">
      <alignment horizontal="center" vertical="top"/>
    </xf>
    <xf numFmtId="49" fontId="4" fillId="0" borderId="10" xfId="0" applyNumberFormat="1" applyFont="1" applyBorder="1" applyAlignment="1">
      <alignment horizontal="center" vertical="top"/>
    </xf>
    <xf numFmtId="49" fontId="4" fillId="0" borderId="27" xfId="0" applyNumberFormat="1" applyFont="1" applyBorder="1" applyAlignment="1">
      <alignment horizontal="center" vertical="top"/>
    </xf>
    <xf numFmtId="0" fontId="9" fillId="7" borderId="10" xfId="0" applyFont="1" applyFill="1" applyBorder="1" applyAlignment="1">
      <alignment vertical="top" wrapText="1"/>
    </xf>
    <xf numFmtId="0" fontId="9" fillId="7" borderId="27" xfId="0" applyFont="1" applyFill="1" applyBorder="1" applyAlignment="1">
      <alignment vertical="top" wrapText="1"/>
    </xf>
    <xf numFmtId="166" fontId="7" fillId="7" borderId="19" xfId="0" applyNumberFormat="1" applyFont="1" applyFill="1" applyBorder="1" applyAlignment="1">
      <alignment horizontal="center" vertical="center" textRotation="90" wrapText="1"/>
    </xf>
    <xf numFmtId="0" fontId="9" fillId="0" borderId="10" xfId="0" applyFont="1" applyBorder="1" applyAlignment="1">
      <alignment vertical="center" textRotation="90" wrapText="1"/>
    </xf>
    <xf numFmtId="0" fontId="0" fillId="0" borderId="27" xfId="0" applyBorder="1" applyAlignment="1">
      <alignment textRotation="90" wrapText="1"/>
    </xf>
    <xf numFmtId="0" fontId="0" fillId="0" borderId="27" xfId="0" applyBorder="1" applyAlignment="1">
      <alignment horizontal="center" wrapText="1"/>
    </xf>
    <xf numFmtId="49" fontId="7" fillId="7" borderId="10" xfId="0" applyNumberFormat="1" applyFont="1" applyFill="1" applyBorder="1" applyAlignment="1">
      <alignment horizontal="center" vertical="center" textRotation="90" wrapText="1"/>
    </xf>
    <xf numFmtId="0" fontId="13" fillId="7" borderId="10" xfId="0" applyFont="1" applyFill="1" applyBorder="1" applyAlignment="1">
      <alignment horizontal="center" vertical="center" textRotation="90" wrapText="1"/>
    </xf>
    <xf numFmtId="0" fontId="0" fillId="7" borderId="27" xfId="0" applyFill="1" applyBorder="1" applyAlignment="1">
      <alignment vertical="top" wrapText="1"/>
    </xf>
    <xf numFmtId="166" fontId="12" fillId="7" borderId="24" xfId="0" applyNumberFormat="1" applyFont="1" applyFill="1" applyBorder="1" applyAlignment="1">
      <alignment horizontal="center" vertical="top" wrapText="1"/>
    </xf>
    <xf numFmtId="0" fontId="0" fillId="0" borderId="27" xfId="0" applyBorder="1" applyAlignment="1">
      <alignment wrapText="1"/>
    </xf>
    <xf numFmtId="0" fontId="9" fillId="7" borderId="47" xfId="0" applyFont="1" applyFill="1" applyBorder="1" applyAlignment="1">
      <alignment vertical="top" wrapText="1"/>
    </xf>
    <xf numFmtId="0" fontId="9" fillId="7" borderId="34" xfId="0" applyFont="1" applyFill="1" applyBorder="1" applyAlignment="1">
      <alignment vertical="top" wrapText="1"/>
    </xf>
    <xf numFmtId="49" fontId="7" fillId="3" borderId="19" xfId="0" applyNumberFormat="1" applyFont="1" applyFill="1" applyBorder="1" applyAlignment="1">
      <alignment horizontal="center" textRotation="90" wrapText="1"/>
    </xf>
    <xf numFmtId="0" fontId="0" fillId="0" borderId="27" xfId="0" applyBorder="1" applyAlignment="1">
      <alignment horizontal="center" textRotation="90" wrapText="1"/>
    </xf>
    <xf numFmtId="166" fontId="9" fillId="7" borderId="26" xfId="0" applyNumberFormat="1" applyFont="1" applyFill="1" applyBorder="1" applyAlignment="1">
      <alignment vertical="top" wrapText="1"/>
    </xf>
    <xf numFmtId="166" fontId="9" fillId="7" borderId="28" xfId="0" applyNumberFormat="1" applyFont="1" applyFill="1" applyBorder="1" applyAlignment="1">
      <alignment vertical="top" wrapText="1"/>
    </xf>
    <xf numFmtId="166" fontId="4" fillId="0" borderId="24" xfId="0" applyNumberFormat="1" applyFont="1" applyBorder="1" applyAlignment="1">
      <alignment horizontal="center" vertical="top"/>
    </xf>
    <xf numFmtId="166" fontId="4" fillId="0" borderId="10" xfId="0" applyNumberFormat="1" applyFont="1" applyBorder="1" applyAlignment="1">
      <alignment horizontal="center" vertical="top"/>
    </xf>
    <xf numFmtId="166" fontId="4" fillId="0" borderId="29" xfId="0" applyNumberFormat="1" applyFont="1" applyBorder="1" applyAlignment="1">
      <alignment horizontal="center" vertical="top"/>
    </xf>
    <xf numFmtId="49" fontId="7" fillId="0" borderId="24"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166" fontId="3" fillId="7" borderId="25" xfId="0" applyNumberFormat="1" applyFont="1" applyFill="1" applyBorder="1" applyAlignment="1">
      <alignment horizontal="center" vertical="top" wrapText="1"/>
    </xf>
    <xf numFmtId="3" fontId="3" fillId="7" borderId="45" xfId="0" applyNumberFormat="1" applyFont="1" applyFill="1" applyBorder="1" applyAlignment="1">
      <alignment horizontal="center" vertical="top"/>
    </xf>
    <xf numFmtId="3" fontId="3" fillId="7" borderId="20" xfId="0" applyNumberFormat="1" applyFont="1" applyFill="1" applyBorder="1" applyAlignment="1">
      <alignment horizontal="center" vertical="top"/>
    </xf>
    <xf numFmtId="3" fontId="3" fillId="7" borderId="17" xfId="0" applyNumberFormat="1" applyFont="1" applyFill="1" applyBorder="1" applyAlignment="1">
      <alignment horizontal="center" vertical="top"/>
    </xf>
    <xf numFmtId="166" fontId="9" fillId="7" borderId="47" xfId="0" applyNumberFormat="1" applyFont="1" applyFill="1" applyBorder="1" applyAlignment="1">
      <alignment vertical="top" wrapText="1"/>
    </xf>
    <xf numFmtId="49" fontId="7" fillId="7" borderId="10" xfId="0" applyNumberFormat="1" applyFont="1" applyFill="1" applyBorder="1" applyAlignment="1">
      <alignment horizontal="right" vertical="center" textRotation="90" wrapText="1"/>
    </xf>
    <xf numFmtId="0" fontId="9" fillId="7" borderId="10" xfId="0" applyFont="1" applyFill="1" applyBorder="1" applyAlignment="1">
      <alignment horizontal="right" vertical="center" textRotation="90" wrapText="1"/>
    </xf>
    <xf numFmtId="166" fontId="9" fillId="7" borderId="79" xfId="0" applyNumberFormat="1" applyFont="1" applyFill="1" applyBorder="1" applyAlignment="1">
      <alignment horizontal="center" vertical="top" wrapText="1"/>
    </xf>
    <xf numFmtId="166" fontId="3" fillId="7" borderId="77" xfId="0" applyNumberFormat="1" applyFont="1" applyFill="1" applyBorder="1" applyAlignment="1">
      <alignment horizontal="left" vertical="top" wrapText="1"/>
    </xf>
    <xf numFmtId="3" fontId="3" fillId="7" borderId="45" xfId="0" applyNumberFormat="1" applyFont="1" applyFill="1" applyBorder="1" applyAlignment="1">
      <alignment horizontal="center" vertical="top" wrapText="1"/>
    </xf>
    <xf numFmtId="3" fontId="3" fillId="7" borderId="95" xfId="0" applyNumberFormat="1" applyFont="1" applyFill="1" applyBorder="1" applyAlignment="1">
      <alignment horizontal="center" vertical="top" wrapText="1"/>
    </xf>
    <xf numFmtId="3" fontId="9" fillId="7" borderId="95" xfId="0" applyNumberFormat="1" applyFont="1" applyFill="1" applyBorder="1" applyAlignment="1">
      <alignment horizontal="center" vertical="top" wrapText="1"/>
    </xf>
    <xf numFmtId="3" fontId="9" fillId="7" borderId="79" xfId="0" applyNumberFormat="1" applyFont="1" applyFill="1" applyBorder="1" applyAlignment="1">
      <alignment horizontal="center" vertical="top" wrapText="1"/>
    </xf>
    <xf numFmtId="0" fontId="3" fillId="7" borderId="19" xfId="0" applyFont="1" applyFill="1" applyBorder="1" applyAlignment="1">
      <alignment horizontal="left" vertical="top" wrapText="1"/>
    </xf>
    <xf numFmtId="49" fontId="25" fillId="0" borderId="19" xfId="0" applyNumberFormat="1" applyFont="1" applyBorder="1" applyAlignment="1">
      <alignment horizontal="center" vertical="center" textRotation="90"/>
    </xf>
    <xf numFmtId="49" fontId="25" fillId="0" borderId="10" xfId="0" applyNumberFormat="1" applyFont="1" applyBorder="1" applyAlignment="1">
      <alignment horizontal="center" vertical="center" textRotation="90"/>
    </xf>
    <xf numFmtId="166" fontId="19" fillId="7" borderId="17" xfId="0" applyNumberFormat="1" applyFont="1" applyFill="1" applyBorder="1" applyAlignment="1">
      <alignment horizontal="center" vertical="center" wrapText="1"/>
    </xf>
    <xf numFmtId="3" fontId="3" fillId="7" borderId="10" xfId="0" applyNumberFormat="1" applyFont="1" applyFill="1" applyBorder="1" applyAlignment="1">
      <alignment horizontal="center" vertical="top"/>
    </xf>
    <xf numFmtId="166" fontId="3" fillId="0" borderId="20" xfId="0" applyNumberFormat="1" applyFont="1" applyBorder="1" applyAlignment="1">
      <alignment horizontal="center" vertical="top" wrapText="1"/>
    </xf>
    <xf numFmtId="166" fontId="3" fillId="7" borderId="99" xfId="0" applyNumberFormat="1" applyFont="1" applyFill="1" applyBorder="1" applyAlignment="1">
      <alignment vertical="top" wrapText="1"/>
    </xf>
    <xf numFmtId="49" fontId="2" fillId="0" borderId="27" xfId="0" applyNumberFormat="1" applyFont="1" applyBorder="1" applyAlignment="1">
      <alignment horizontal="center" vertical="center" textRotation="90" wrapText="1"/>
    </xf>
    <xf numFmtId="49" fontId="32" fillId="7" borderId="24" xfId="0" applyNumberFormat="1" applyFont="1" applyFill="1" applyBorder="1" applyAlignment="1">
      <alignment horizontal="center" vertical="top"/>
    </xf>
    <xf numFmtId="49" fontId="32" fillId="7" borderId="10" xfId="0" applyNumberFormat="1" applyFont="1" applyFill="1" applyBorder="1" applyAlignment="1">
      <alignment horizontal="center" vertical="top"/>
    </xf>
    <xf numFmtId="49" fontId="32" fillId="7" borderId="29" xfId="0" applyNumberFormat="1" applyFont="1" applyFill="1" applyBorder="1" applyAlignment="1">
      <alignment horizontal="center" vertical="top"/>
    </xf>
    <xf numFmtId="166" fontId="14" fillId="7" borderId="25" xfId="0" applyNumberFormat="1" applyFont="1" applyFill="1" applyBorder="1" applyAlignment="1">
      <alignment horizontal="center" vertical="top" wrapText="1"/>
    </xf>
    <xf numFmtId="166" fontId="14" fillId="7" borderId="17" xfId="0" applyNumberFormat="1" applyFont="1" applyFill="1" applyBorder="1" applyAlignment="1">
      <alignment horizontal="center" vertical="top" wrapText="1"/>
    </xf>
    <xf numFmtId="166" fontId="14" fillId="7" borderId="30" xfId="0" applyNumberFormat="1" applyFont="1" applyFill="1" applyBorder="1" applyAlignment="1">
      <alignment horizontal="center" vertical="top" wrapText="1"/>
    </xf>
    <xf numFmtId="0" fontId="3" fillId="7" borderId="39" xfId="0" applyFont="1" applyFill="1" applyBorder="1" applyAlignment="1">
      <alignment vertical="top" wrapText="1"/>
    </xf>
    <xf numFmtId="166" fontId="4" fillId="7" borderId="24" xfId="0" applyNumberFormat="1" applyFont="1" applyFill="1" applyBorder="1" applyAlignment="1">
      <alignment horizontal="center" vertical="top"/>
    </xf>
    <xf numFmtId="166" fontId="4" fillId="7" borderId="29" xfId="0" applyNumberFormat="1" applyFont="1" applyFill="1" applyBorder="1" applyAlignment="1">
      <alignment horizontal="center" vertical="top"/>
    </xf>
    <xf numFmtId="166" fontId="14" fillId="7" borderId="24" xfId="0" applyNumberFormat="1" applyFont="1" applyFill="1" applyBorder="1" applyAlignment="1">
      <alignment vertical="top" wrapText="1"/>
    </xf>
    <xf numFmtId="166" fontId="14" fillId="7" borderId="10" xfId="0" applyNumberFormat="1" applyFont="1" applyFill="1" applyBorder="1" applyAlignment="1">
      <alignment vertical="top" wrapText="1"/>
    </xf>
    <xf numFmtId="166" fontId="38" fillId="0" borderId="24" xfId="0" applyNumberFormat="1" applyFont="1" applyFill="1" applyBorder="1" applyAlignment="1">
      <alignment horizontal="center" vertical="top" wrapText="1"/>
    </xf>
    <xf numFmtId="166" fontId="38" fillId="0" borderId="10" xfId="0" applyNumberFormat="1" applyFont="1" applyFill="1" applyBorder="1" applyAlignment="1">
      <alignment horizontal="center" vertical="top" wrapText="1"/>
    </xf>
    <xf numFmtId="166" fontId="38" fillId="0" borderId="29" xfId="0" applyNumberFormat="1" applyFont="1" applyFill="1" applyBorder="1" applyAlignment="1">
      <alignment horizontal="center" vertical="top" wrapText="1"/>
    </xf>
    <xf numFmtId="49" fontId="39" fillId="0" borderId="24" xfId="0" applyNumberFormat="1" applyFont="1" applyBorder="1" applyAlignment="1">
      <alignment horizontal="center" vertical="center" textRotation="90" wrapText="1"/>
    </xf>
    <xf numFmtId="49" fontId="39" fillId="0" borderId="10" xfId="0" applyNumberFormat="1" applyFont="1" applyBorder="1" applyAlignment="1">
      <alignment horizontal="center" vertical="center" textRotation="90" wrapText="1"/>
    </xf>
    <xf numFmtId="49" fontId="39" fillId="0" borderId="29" xfId="0" applyNumberFormat="1" applyFont="1" applyBorder="1" applyAlignment="1">
      <alignment horizontal="center" vertical="center" textRotation="90" wrapText="1"/>
    </xf>
    <xf numFmtId="0" fontId="3" fillId="7" borderId="10" xfId="0" applyFont="1" applyFill="1" applyBorder="1" applyAlignment="1">
      <alignment vertical="top" wrapText="1"/>
    </xf>
    <xf numFmtId="166" fontId="3" fillId="7" borderId="24" xfId="0" applyNumberFormat="1" applyFont="1" applyFill="1" applyBorder="1" applyAlignment="1">
      <alignment vertical="top" wrapText="1"/>
    </xf>
    <xf numFmtId="0" fontId="13" fillId="0" borderId="29" xfId="0" applyFont="1" applyBorder="1" applyAlignment="1">
      <alignment horizontal="center" vertical="center" wrapText="1"/>
    </xf>
    <xf numFmtId="166" fontId="3" fillId="7" borderId="30" xfId="0" applyNumberFormat="1" applyFont="1" applyFill="1" applyBorder="1" applyAlignment="1">
      <alignment horizontal="center" vertical="top" wrapText="1"/>
    </xf>
    <xf numFmtId="49" fontId="7" fillId="7" borderId="10" xfId="0" applyNumberFormat="1" applyFont="1" applyFill="1" applyBorder="1" applyAlignment="1">
      <alignment horizontal="center" vertical="top" textRotation="90" wrapText="1"/>
    </xf>
    <xf numFmtId="0" fontId="0" fillId="0" borderId="10" xfId="0" applyFont="1" applyBorder="1" applyAlignment="1">
      <alignment horizontal="center" vertical="center" textRotation="90" wrapText="1"/>
    </xf>
    <xf numFmtId="166" fontId="4" fillId="7" borderId="19" xfId="0" applyNumberFormat="1" applyFont="1" applyFill="1" applyBorder="1" applyAlignment="1">
      <alignment horizontal="center" vertical="top" wrapText="1"/>
    </xf>
    <xf numFmtId="166" fontId="3" fillId="7" borderId="103" xfId="0" applyNumberFormat="1" applyFont="1" applyFill="1" applyBorder="1" applyAlignment="1">
      <alignment horizontal="center" vertical="top" wrapText="1"/>
    </xf>
    <xf numFmtId="166" fontId="3" fillId="7" borderId="27" xfId="0" applyNumberFormat="1" applyFont="1" applyFill="1" applyBorder="1" applyAlignment="1">
      <alignment vertical="top" wrapText="1"/>
    </xf>
    <xf numFmtId="3" fontId="3" fillId="0" borderId="20"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45" xfId="0" applyNumberFormat="1" applyFont="1" applyFill="1" applyBorder="1" applyAlignment="1">
      <alignment horizontal="center" vertical="top"/>
    </xf>
    <xf numFmtId="3" fontId="3" fillId="0" borderId="34" xfId="0" applyNumberFormat="1" applyFont="1" applyFill="1" applyBorder="1" applyAlignment="1">
      <alignment horizontal="center" vertical="top"/>
    </xf>
    <xf numFmtId="49" fontId="7" fillId="0" borderId="19" xfId="0" applyNumberFormat="1" applyFont="1" applyBorder="1" applyAlignment="1">
      <alignment vertical="center" textRotation="90" wrapText="1"/>
    </xf>
    <xf numFmtId="0" fontId="7" fillId="0" borderId="10" xfId="0" applyFont="1" applyBorder="1" applyAlignment="1">
      <alignment vertical="center" textRotation="90" wrapText="1"/>
    </xf>
    <xf numFmtId="0" fontId="0" fillId="0" borderId="28" xfId="0" applyBorder="1" applyAlignment="1">
      <alignment horizontal="left" vertical="top" wrapText="1"/>
    </xf>
    <xf numFmtId="166" fontId="9" fillId="0" borderId="34" xfId="0" applyNumberFormat="1" applyFont="1" applyBorder="1" applyAlignment="1">
      <alignment horizontal="left" vertical="top" wrapText="1"/>
    </xf>
    <xf numFmtId="0" fontId="13" fillId="0" borderId="27" xfId="0" applyFont="1" applyBorder="1" applyAlignment="1">
      <alignment horizontal="center" vertical="center" textRotation="90"/>
    </xf>
    <xf numFmtId="166" fontId="9" fillId="7" borderId="17" xfId="0" applyNumberFormat="1" applyFont="1" applyFill="1" applyBorder="1" applyAlignment="1">
      <alignment horizontal="center" vertical="top" wrapText="1"/>
    </xf>
    <xf numFmtId="166" fontId="14" fillId="7" borderId="45" xfId="0" applyNumberFormat="1" applyFont="1" applyFill="1" applyBorder="1" applyAlignment="1">
      <alignment horizontal="left" vertical="top" wrapText="1"/>
    </xf>
    <xf numFmtId="166" fontId="35" fillId="7" borderId="47" xfId="0" applyNumberFormat="1" applyFont="1" applyFill="1" applyBorder="1" applyAlignment="1">
      <alignment horizontal="left" vertical="top" wrapText="1"/>
    </xf>
    <xf numFmtId="3" fontId="14" fillId="7" borderId="19" xfId="0" applyNumberFormat="1" applyFont="1" applyFill="1" applyBorder="1" applyAlignment="1">
      <alignment horizontal="center" vertical="top" wrapText="1"/>
    </xf>
    <xf numFmtId="3" fontId="14" fillId="7" borderId="27" xfId="0" applyNumberFormat="1" applyFont="1" applyFill="1" applyBorder="1" applyAlignment="1">
      <alignment horizontal="center" vertical="top" wrapText="1"/>
    </xf>
    <xf numFmtId="49" fontId="7" fillId="0" borderId="19" xfId="0" applyNumberFormat="1" applyFont="1" applyBorder="1" applyAlignment="1">
      <alignment horizontal="center" vertical="top" textRotation="90"/>
    </xf>
    <xf numFmtId="0" fontId="13" fillId="0" borderId="27" xfId="0" applyFont="1" applyBorder="1" applyAlignment="1">
      <alignment horizontal="center" vertical="top" textRotation="90"/>
    </xf>
    <xf numFmtId="3" fontId="2" fillId="0" borderId="10" xfId="0" applyNumberFormat="1" applyFont="1" applyBorder="1" applyAlignment="1">
      <alignment vertical="top" textRotation="90" wrapText="1"/>
    </xf>
    <xf numFmtId="0" fontId="2" fillId="0" borderId="27" xfId="0" applyFont="1" applyBorder="1" applyAlignment="1">
      <alignment vertical="top" textRotation="90" wrapText="1"/>
    </xf>
    <xf numFmtId="166" fontId="3" fillId="7" borderId="20" xfId="0" applyNumberFormat="1" applyFont="1" applyFill="1" applyBorder="1" applyAlignment="1">
      <alignment horizontal="center" vertical="top" wrapText="1"/>
    </xf>
    <xf numFmtId="166" fontId="15" fillId="7" borderId="10" xfId="0" applyNumberFormat="1" applyFont="1" applyFill="1" applyBorder="1" applyAlignment="1">
      <alignment horizontal="center" vertical="center" textRotation="90" wrapText="1"/>
    </xf>
    <xf numFmtId="166" fontId="9" fillId="7" borderId="34" xfId="0" applyNumberFormat="1" applyFont="1" applyFill="1" applyBorder="1" applyAlignment="1">
      <alignment horizontal="left" vertical="top" wrapText="1"/>
    </xf>
    <xf numFmtId="49" fontId="3" fillId="7" borderId="6" xfId="0" applyNumberFormat="1" applyFont="1" applyFill="1" applyBorder="1" applyAlignment="1">
      <alignment horizontal="left" vertical="top" wrapText="1"/>
    </xf>
    <xf numFmtId="0" fontId="9" fillId="7" borderId="28" xfId="0" applyFont="1" applyFill="1" applyBorder="1" applyAlignment="1">
      <alignment horizontal="left" vertical="top" wrapText="1"/>
    </xf>
    <xf numFmtId="0" fontId="13" fillId="0" borderId="10" xfId="0" applyFont="1" applyBorder="1" applyAlignment="1">
      <alignment horizontal="center" vertical="center" textRotation="90"/>
    </xf>
    <xf numFmtId="166" fontId="4" fillId="0" borderId="19" xfId="0" applyNumberFormat="1" applyFont="1" applyFill="1" applyBorder="1" applyAlignment="1">
      <alignment horizontal="center" vertical="top" wrapText="1"/>
    </xf>
    <xf numFmtId="166" fontId="4" fillId="0" borderId="27" xfId="0" applyNumberFormat="1" applyFont="1" applyFill="1" applyBorder="1" applyAlignment="1">
      <alignment horizontal="center" vertical="top" wrapText="1"/>
    </xf>
    <xf numFmtId="49" fontId="2" fillId="3" borderId="10" xfId="0" applyNumberFormat="1" applyFont="1" applyFill="1" applyBorder="1" applyAlignment="1">
      <alignment horizontal="center" vertical="center" textRotation="90" wrapText="1"/>
    </xf>
    <xf numFmtId="0" fontId="0" fillId="0" borderId="27" xfId="0" applyFont="1" applyBorder="1" applyAlignment="1">
      <alignment horizontal="center" vertical="center" wrapText="1"/>
    </xf>
    <xf numFmtId="49" fontId="4" fillId="0" borderId="47" xfId="0" applyNumberFormat="1" applyFont="1" applyBorder="1" applyAlignment="1">
      <alignment horizontal="center" vertical="top"/>
    </xf>
    <xf numFmtId="49" fontId="4" fillId="0" borderId="34" xfId="0" applyNumberFormat="1" applyFont="1" applyBorder="1" applyAlignment="1">
      <alignment horizontal="center" vertical="top"/>
    </xf>
    <xf numFmtId="0" fontId="13" fillId="0" borderId="10" xfId="0" applyFont="1" applyBorder="1" applyAlignment="1">
      <alignment horizontal="center" vertical="top" textRotation="90"/>
    </xf>
    <xf numFmtId="0" fontId="24" fillId="7" borderId="6" xfId="0" applyFont="1" applyFill="1" applyBorder="1" applyAlignment="1">
      <alignment vertical="top" wrapText="1"/>
    </xf>
    <xf numFmtId="0" fontId="27" fillId="7" borderId="28" xfId="0" applyFont="1" applyFill="1" applyBorder="1" applyAlignment="1">
      <alignment vertical="top" wrapText="1"/>
    </xf>
    <xf numFmtId="49" fontId="2" fillId="3" borderId="19" xfId="0" applyNumberFormat="1" applyFont="1" applyFill="1" applyBorder="1" applyAlignment="1">
      <alignment horizontal="center" vertical="center" textRotation="90" wrapText="1"/>
    </xf>
    <xf numFmtId="49" fontId="2" fillId="3" borderId="27" xfId="0" applyNumberFormat="1" applyFont="1" applyFill="1" applyBorder="1" applyAlignment="1">
      <alignment horizontal="center" vertical="center" textRotation="90" wrapText="1"/>
    </xf>
    <xf numFmtId="166" fontId="4" fillId="7" borderId="27" xfId="0" applyNumberFormat="1" applyFont="1" applyFill="1" applyBorder="1" applyAlignment="1">
      <alignment horizontal="center" vertical="top"/>
    </xf>
    <xf numFmtId="0" fontId="0" fillId="7" borderId="10" xfId="0" applyFill="1" applyBorder="1" applyAlignment="1">
      <alignment horizontal="left" vertical="top" wrapText="1"/>
    </xf>
    <xf numFmtId="49" fontId="2" fillId="3" borderId="45" xfId="0" applyNumberFormat="1" applyFont="1" applyFill="1" applyBorder="1" applyAlignment="1">
      <alignment horizontal="center" vertical="top" textRotation="90" wrapText="1"/>
    </xf>
    <xf numFmtId="49" fontId="2" fillId="3" borderId="34" xfId="0" applyNumberFormat="1" applyFont="1" applyFill="1" applyBorder="1" applyAlignment="1">
      <alignment horizontal="center" vertical="top" textRotation="90" wrapText="1"/>
    </xf>
    <xf numFmtId="166" fontId="3" fillId="7" borderId="17" xfId="0" applyNumberFormat="1" applyFont="1" applyFill="1" applyBorder="1" applyAlignment="1">
      <alignment horizontal="center" vertical="center" wrapText="1"/>
    </xf>
    <xf numFmtId="166" fontId="9" fillId="7" borderId="17" xfId="0" applyNumberFormat="1" applyFont="1" applyFill="1" applyBorder="1" applyAlignment="1">
      <alignment horizontal="center" vertical="center" wrapText="1"/>
    </xf>
    <xf numFmtId="166" fontId="3" fillId="7" borderId="20" xfId="0" applyNumberFormat="1" applyFont="1" applyFill="1" applyBorder="1" applyAlignment="1">
      <alignment horizontal="center" vertical="center" wrapText="1"/>
    </xf>
    <xf numFmtId="166" fontId="4" fillId="3" borderId="45" xfId="0" applyNumberFormat="1" applyFont="1" applyFill="1" applyBorder="1" applyAlignment="1">
      <alignment horizontal="center" vertical="top" wrapText="1"/>
    </xf>
    <xf numFmtId="166" fontId="4" fillId="3" borderId="34" xfId="0" applyNumberFormat="1" applyFont="1" applyFill="1" applyBorder="1" applyAlignment="1">
      <alignment horizontal="center" vertical="top" wrapText="1"/>
    </xf>
    <xf numFmtId="166" fontId="4" fillId="7" borderId="19" xfId="0" applyNumberFormat="1" applyFont="1" applyFill="1" applyBorder="1" applyAlignment="1">
      <alignment horizontal="center" vertical="top"/>
    </xf>
    <xf numFmtId="166" fontId="4" fillId="3" borderId="27" xfId="0" applyNumberFormat="1" applyFont="1" applyFill="1" applyBorder="1" applyAlignment="1">
      <alignment horizontal="center" vertical="top" wrapText="1"/>
    </xf>
    <xf numFmtId="49" fontId="2" fillId="3" borderId="47" xfId="0" applyNumberFormat="1" applyFont="1" applyFill="1" applyBorder="1" applyAlignment="1">
      <alignment horizontal="center" vertical="top" textRotation="90" wrapText="1"/>
    </xf>
    <xf numFmtId="49" fontId="7" fillId="7" borderId="19" xfId="0" applyNumberFormat="1" applyFont="1" applyFill="1" applyBorder="1" applyAlignment="1">
      <alignment horizontal="center" vertical="center" textRotation="90"/>
    </xf>
    <xf numFmtId="49" fontId="7" fillId="7" borderId="10" xfId="0" applyNumberFormat="1" applyFont="1" applyFill="1" applyBorder="1" applyAlignment="1">
      <alignment horizontal="center" vertical="center" textRotation="90"/>
    </xf>
    <xf numFmtId="49" fontId="7" fillId="7" borderId="27" xfId="0" applyNumberFormat="1" applyFont="1" applyFill="1" applyBorder="1" applyAlignment="1">
      <alignment horizontal="center" vertical="center" textRotation="90"/>
    </xf>
    <xf numFmtId="0" fontId="0" fillId="7" borderId="17" xfId="0" applyFill="1" applyBorder="1" applyAlignment="1">
      <alignment horizontal="center" vertical="center" wrapText="1"/>
    </xf>
    <xf numFmtId="0" fontId="29" fillId="7" borderId="6" xfId="0" applyFont="1" applyFill="1" applyBorder="1" applyAlignment="1">
      <alignment horizontal="left" vertical="top" wrapText="1"/>
    </xf>
    <xf numFmtId="49" fontId="7" fillId="7" borderId="19" xfId="0" applyNumberFormat="1" applyFont="1" applyFill="1" applyBorder="1" applyAlignment="1">
      <alignment horizontal="center" vertical="top" textRotation="90" wrapText="1"/>
    </xf>
    <xf numFmtId="0" fontId="13" fillId="7" borderId="27" xfId="0" applyFont="1" applyFill="1" applyBorder="1" applyAlignment="1">
      <alignment horizontal="center" vertical="top" textRotation="90" wrapText="1"/>
    </xf>
    <xf numFmtId="49" fontId="7" fillId="0" borderId="10" xfId="0" applyNumberFormat="1" applyFont="1" applyBorder="1" applyAlignment="1">
      <alignment horizontal="center" vertical="top" textRotation="90"/>
    </xf>
    <xf numFmtId="49" fontId="7" fillId="0" borderId="27" xfId="0" applyNumberFormat="1" applyFont="1" applyBorder="1" applyAlignment="1">
      <alignment horizontal="center" vertical="top" textRotation="90"/>
    </xf>
    <xf numFmtId="166" fontId="4" fillId="7" borderId="19" xfId="0" applyNumberFormat="1" applyFont="1" applyFill="1" applyBorder="1" applyAlignment="1">
      <alignment horizontal="center" vertical="center" textRotation="90" wrapText="1"/>
    </xf>
    <xf numFmtId="0" fontId="0" fillId="7" borderId="27" xfId="0" applyFill="1" applyBorder="1" applyAlignment="1">
      <alignment horizontal="center" vertical="center" textRotation="90" wrapText="1"/>
    </xf>
    <xf numFmtId="0" fontId="3" fillId="7" borderId="99" xfId="0" applyFont="1" applyFill="1" applyBorder="1" applyAlignment="1">
      <alignment horizontal="left" vertical="top" wrapText="1"/>
    </xf>
    <xf numFmtId="49" fontId="7" fillId="7" borderId="45" xfId="0" applyNumberFormat="1" applyFont="1" applyFill="1" applyBorder="1" applyAlignment="1">
      <alignment horizontal="center" vertical="center" textRotation="90"/>
    </xf>
    <xf numFmtId="49" fontId="7" fillId="7" borderId="47" xfId="0" applyNumberFormat="1" applyFont="1" applyFill="1" applyBorder="1" applyAlignment="1">
      <alignment horizontal="center" vertical="center" textRotation="90"/>
    </xf>
    <xf numFmtId="49" fontId="13" fillId="7" borderId="27" xfId="0" applyNumberFormat="1" applyFont="1" applyFill="1" applyBorder="1" applyAlignment="1">
      <alignment horizontal="center" vertical="top" textRotation="90" wrapText="1"/>
    </xf>
    <xf numFmtId="0" fontId="13" fillId="7" borderId="27" xfId="0" applyFont="1" applyFill="1" applyBorder="1" applyAlignment="1">
      <alignment horizontal="center" vertical="center" textRotation="90"/>
    </xf>
    <xf numFmtId="49" fontId="13" fillId="7" borderId="10" xfId="0" applyNumberFormat="1" applyFont="1" applyFill="1" applyBorder="1" applyAlignment="1">
      <alignment horizontal="center" vertical="top" textRotation="90" wrapText="1"/>
    </xf>
    <xf numFmtId="0" fontId="4" fillId="9" borderId="36" xfId="0" applyFont="1" applyFill="1" applyBorder="1" applyAlignment="1">
      <alignment horizontal="left" vertical="top"/>
    </xf>
    <xf numFmtId="0" fontId="4" fillId="9" borderId="60" xfId="0" applyFont="1" applyFill="1" applyBorder="1" applyAlignment="1">
      <alignment horizontal="left" vertical="top"/>
    </xf>
    <xf numFmtId="0" fontId="4" fillId="9" borderId="41" xfId="0" applyFont="1" applyFill="1" applyBorder="1" applyAlignment="1">
      <alignment horizontal="left" vertical="top"/>
    </xf>
    <xf numFmtId="0" fontId="0" fillId="7" borderId="17" xfId="0" applyFont="1" applyFill="1" applyBorder="1" applyAlignment="1">
      <alignment horizontal="center" vertical="top" wrapText="1"/>
    </xf>
    <xf numFmtId="0" fontId="24" fillId="7" borderId="6" xfId="0" applyFont="1" applyFill="1" applyBorder="1" applyAlignment="1">
      <alignment horizontal="left" vertical="top" wrapText="1"/>
    </xf>
    <xf numFmtId="166" fontId="4" fillId="7" borderId="19" xfId="0" applyNumberFormat="1" applyFont="1" applyFill="1" applyBorder="1" applyAlignment="1">
      <alignment horizontal="center" vertical="top" textRotation="90" wrapText="1"/>
    </xf>
    <xf numFmtId="0" fontId="0" fillId="7" borderId="10" xfId="0" applyFont="1" applyFill="1" applyBorder="1" applyAlignment="1">
      <alignment horizontal="center" vertical="top" textRotation="90" wrapText="1"/>
    </xf>
    <xf numFmtId="0" fontId="0" fillId="7" borderId="27" xfId="0" applyFont="1" applyFill="1" applyBorder="1" applyAlignment="1">
      <alignment horizontal="center" vertical="top" textRotation="90" wrapText="1"/>
    </xf>
    <xf numFmtId="0" fontId="3" fillId="0" borderId="0" xfId="0" applyFont="1" applyAlignment="1">
      <alignment horizontal="right" wrapText="1"/>
    </xf>
    <xf numFmtId="0" fontId="9" fillId="0" borderId="0" xfId="0" applyFont="1" applyAlignment="1">
      <alignment horizontal="right"/>
    </xf>
    <xf numFmtId="3" fontId="20" fillId="0" borderId="0" xfId="0" applyNumberFormat="1" applyFont="1" applyAlignment="1">
      <alignment horizontal="center" vertical="top" wrapText="1"/>
    </xf>
    <xf numFmtId="0" fontId="20" fillId="0" borderId="0" xfId="0" applyFont="1" applyBorder="1" applyAlignment="1">
      <alignment horizontal="center" vertical="top"/>
    </xf>
    <xf numFmtId="3" fontId="3" fillId="0" borderId="4" xfId="0" applyNumberFormat="1" applyFont="1" applyBorder="1" applyAlignment="1">
      <alignment horizontal="center" vertical="center" textRotation="90" shrinkToFit="1"/>
    </xf>
    <xf numFmtId="3" fontId="3" fillId="0" borderId="6" xfId="0" applyNumberFormat="1" applyFont="1" applyBorder="1" applyAlignment="1">
      <alignment horizontal="center" vertical="center" textRotation="90" shrinkToFit="1"/>
    </xf>
    <xf numFmtId="3" fontId="3" fillId="0" borderId="8" xfId="0" applyNumberFormat="1" applyFont="1" applyBorder="1" applyAlignment="1">
      <alignment horizontal="center" vertical="center" textRotation="90" shrinkToFit="1"/>
    </xf>
    <xf numFmtId="3" fontId="3" fillId="0" borderId="24"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29" xfId="0" applyNumberFormat="1" applyFont="1" applyBorder="1" applyAlignment="1">
      <alignment horizontal="center" vertical="center" textRotation="90" shrinkToFit="1"/>
    </xf>
    <xf numFmtId="3" fontId="3" fillId="0" borderId="40" xfId="0" applyNumberFormat="1" applyFont="1" applyBorder="1" applyAlignment="1">
      <alignment horizontal="center" vertical="center" shrinkToFit="1"/>
    </xf>
    <xf numFmtId="3" fontId="3" fillId="0" borderId="47" xfId="0" applyNumberFormat="1" applyFont="1" applyBorder="1" applyAlignment="1">
      <alignment horizontal="center" vertical="center" shrinkToFit="1"/>
    </xf>
    <xf numFmtId="3" fontId="3" fillId="0" borderId="55" xfId="0" applyNumberFormat="1" applyFont="1" applyBorder="1" applyAlignment="1">
      <alignment horizontal="center" vertical="center" shrinkToFit="1"/>
    </xf>
    <xf numFmtId="0" fontId="4" fillId="0" borderId="38"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0" borderId="64" xfId="0" applyFont="1" applyBorder="1" applyAlignment="1">
      <alignment horizontal="center" vertical="center" textRotation="90" wrapText="1"/>
    </xf>
    <xf numFmtId="0" fontId="4" fillId="0" borderId="66" xfId="0" applyFont="1" applyBorder="1" applyAlignment="1">
      <alignment horizontal="center" vertical="center"/>
    </xf>
    <xf numFmtId="0" fontId="4" fillId="0" borderId="71" xfId="0" applyFont="1" applyBorder="1" applyAlignment="1">
      <alignment horizontal="center" vertical="center"/>
    </xf>
    <xf numFmtId="0" fontId="4" fillId="0" borderId="67" xfId="0" applyFont="1" applyBorder="1" applyAlignment="1">
      <alignment horizontal="center" vertical="center"/>
    </xf>
    <xf numFmtId="0" fontId="3" fillId="0" borderId="3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0" xfId="0" applyFont="1" applyBorder="1" applyAlignment="1">
      <alignment horizontal="center" vertical="center"/>
    </xf>
    <xf numFmtId="0" fontId="3" fillId="0" borderId="41" xfId="0" applyFont="1" applyBorder="1" applyAlignment="1">
      <alignment horizontal="center" vertical="center"/>
    </xf>
    <xf numFmtId="3" fontId="3" fillId="0" borderId="40" xfId="0" applyNumberFormat="1" applyFont="1" applyBorder="1" applyAlignment="1">
      <alignment horizontal="center" vertical="center" textRotation="90" shrinkToFit="1"/>
    </xf>
    <xf numFmtId="3" fontId="3" fillId="0" borderId="47" xfId="0" applyNumberFormat="1" applyFont="1" applyBorder="1" applyAlignment="1">
      <alignment horizontal="center" vertical="center" textRotation="90" shrinkToFit="1"/>
    </xf>
    <xf numFmtId="3" fontId="3" fillId="0" borderId="55" xfId="0" applyNumberFormat="1" applyFont="1" applyBorder="1" applyAlignment="1">
      <alignment horizontal="center" vertical="center" textRotation="90" shrinkToFit="1"/>
    </xf>
    <xf numFmtId="0" fontId="3" fillId="0" borderId="24" xfId="0" applyFont="1" applyBorder="1" applyAlignment="1">
      <alignment horizontal="center" vertical="center" textRotation="90" wrapText="1" shrinkToFit="1"/>
    </xf>
    <xf numFmtId="0" fontId="0" fillId="0" borderId="10" xfId="0" applyFont="1" applyBorder="1" applyAlignment="1">
      <alignment horizontal="center" vertical="center" textRotation="90" wrapText="1" shrinkToFit="1"/>
    </xf>
    <xf numFmtId="0" fontId="0" fillId="0" borderId="29" xfId="0" applyFont="1" applyBorder="1" applyAlignment="1">
      <alignment horizontal="center" vertical="center" textRotation="90" wrapText="1" shrinkToFit="1"/>
    </xf>
    <xf numFmtId="3" fontId="3" fillId="0" borderId="40" xfId="0" applyNumberFormat="1" applyFont="1" applyBorder="1" applyAlignment="1">
      <alignment horizontal="center" vertical="center" textRotation="90" wrapText="1"/>
    </xf>
    <xf numFmtId="3" fontId="3" fillId="0" borderId="47" xfId="0" applyNumberFormat="1" applyFont="1" applyBorder="1" applyAlignment="1">
      <alignment horizontal="center" vertical="center" textRotation="90" wrapText="1"/>
    </xf>
    <xf numFmtId="3" fontId="3" fillId="0" borderId="55" xfId="0" applyNumberFormat="1" applyFont="1" applyBorder="1" applyAlignment="1">
      <alignment horizontal="center" vertical="center" textRotation="90" wrapText="1"/>
    </xf>
    <xf numFmtId="3" fontId="3" fillId="0" borderId="25" xfId="0" applyNumberFormat="1" applyFont="1" applyFill="1" applyBorder="1" applyAlignment="1">
      <alignment horizontal="center" vertical="center" textRotation="90" wrapText="1" shrinkToFit="1"/>
    </xf>
    <xf numFmtId="3" fontId="3" fillId="0" borderId="17" xfId="0" applyNumberFormat="1" applyFont="1" applyFill="1" applyBorder="1" applyAlignment="1">
      <alignment horizontal="center" vertical="center" textRotation="90" wrapText="1" shrinkToFit="1"/>
    </xf>
    <xf numFmtId="3" fontId="3" fillId="0" borderId="30" xfId="0" applyNumberFormat="1" applyFont="1" applyFill="1" applyBorder="1" applyAlignment="1">
      <alignment horizontal="center" vertical="center" textRotation="90" wrapText="1" shrinkToFit="1"/>
    </xf>
    <xf numFmtId="3" fontId="3" fillId="0" borderId="38" xfId="0" applyNumberFormat="1" applyFont="1" applyBorder="1" applyAlignment="1">
      <alignment horizontal="center" vertical="center" textRotation="90" wrapText="1" shrinkToFit="1"/>
    </xf>
    <xf numFmtId="3" fontId="3" fillId="0" borderId="5" xfId="0" applyNumberFormat="1" applyFont="1" applyBorder="1" applyAlignment="1">
      <alignment horizontal="center" vertical="center" textRotation="90" wrapText="1" shrinkToFit="1"/>
    </xf>
    <xf numFmtId="3" fontId="3" fillId="0" borderId="64" xfId="0" applyNumberFormat="1" applyFont="1" applyBorder="1" applyAlignment="1">
      <alignment horizontal="center" vertical="center" textRotation="90" wrapText="1" shrinkToFit="1"/>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FFCCFF"/>
      <color rgb="FFCCECFF"/>
      <color rgb="FFCCFFCC"/>
      <color rgb="FFE9C9C7"/>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2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0.17171296296296298"/>
          <c:w val="0.93888888888888888"/>
          <c:h val="0.6714577865266842"/>
        </c:manualLayout>
      </c:layout>
      <c:pie3DChart>
        <c:varyColors val="1"/>
        <c:ser>
          <c:idx val="0"/>
          <c:order val="0"/>
          <c:dPt>
            <c:idx val="0"/>
            <c:bubble3D val="0"/>
            <c:spPr>
              <a:solidFill>
                <a:schemeClr val="bg1"/>
              </a:solidFill>
              <a:ln w="25400">
                <a:solidFill>
                  <a:schemeClr val="bg1">
                    <a:lumMod val="75000"/>
                  </a:schemeClr>
                </a:solidFill>
              </a:ln>
              <a:effectLst/>
              <a:sp3d contourW="25400">
                <a:contourClr>
                  <a:schemeClr val="bg1">
                    <a:lumMod val="75000"/>
                  </a:schemeClr>
                </a:contourClr>
              </a:sp3d>
            </c:spPr>
            <c:extLst>
              <c:ext xmlns:c16="http://schemas.microsoft.com/office/drawing/2014/chart" uri="{C3380CC4-5D6E-409C-BE32-E72D297353CC}">
                <c16:uniqueId val="{00000001-D2D0-4923-94B7-FD9049AD3804}"/>
              </c:ext>
            </c:extLst>
          </c:dPt>
          <c:dPt>
            <c:idx val="1"/>
            <c:bubble3D val="0"/>
            <c:spPr>
              <a:solidFill>
                <a:schemeClr val="accent1">
                  <a:lumMod val="20000"/>
                  <a:lumOff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D2D0-4923-94B7-FD9049AD3804}"/>
              </c:ext>
            </c:extLst>
          </c:dPt>
          <c:dPt>
            <c:idx val="2"/>
            <c:bubble3D val="0"/>
            <c:spPr>
              <a:solidFill>
                <a:srgbClr val="FF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2-D2D0-4923-94B7-FD9049AD3804}"/>
              </c:ext>
            </c:extLst>
          </c:dPt>
          <c:dPt>
            <c:idx val="3"/>
            <c:bubble3D val="0"/>
            <c:spPr>
              <a:solidFill>
                <a:schemeClr val="bg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886C-4112-A791-AAA48E367F26}"/>
              </c:ext>
            </c:extLst>
          </c:dPt>
          <c:dLbls>
            <c:dLbl>
              <c:idx val="1"/>
              <c:layout>
                <c:manualLayout>
                  <c:x val="-2.8326228007626215E-3"/>
                  <c:y val="6.89125838436862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2D0-4923-94B7-FD9049AD3804}"/>
                </c:ext>
              </c:extLst>
            </c:dLbl>
            <c:dLbl>
              <c:idx val="2"/>
              <c:layout>
                <c:manualLayout>
                  <c:x val="-7.1685808060119649E-2"/>
                  <c:y val="4.51622193059200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2D0-4923-94B7-FD9049AD3804}"/>
                </c:ext>
              </c:extLst>
            </c:dLbl>
            <c:dLbl>
              <c:idx val="3"/>
              <c:layout>
                <c:manualLayout>
                  <c:x val="0.12738680786288997"/>
                  <c:y val="3.168926800816564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86C-4112-A791-AAA48E367F2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Ataskaita!$B$11:$D$14</c:f>
              <c:multiLvlStrCache>
                <c:ptCount val="4"/>
                <c:lvl>
                  <c:pt idx="0">
                    <c:v>–</c:v>
                  </c:pt>
                  <c:pt idx="1">
                    <c:v>–</c:v>
                  </c:pt>
                  <c:pt idx="2">
                    <c:v>–</c:v>
                  </c:pt>
                  <c:pt idx="3">
                    <c:v>–</c:v>
                  </c:pt>
                </c:lvl>
                <c:lvl>
                  <c:pt idx="0">
                    <c:v>faktiškai įvykdyta</c:v>
                  </c:pt>
                  <c:pt idx="1">
                    <c:v>iš dalies įvykdyta</c:v>
                  </c:pt>
                  <c:pt idx="2">
                    <c:v>neįvykdyta</c:v>
                  </c:pt>
                  <c:pt idx="3">
                    <c:v>nevykdytina</c:v>
                  </c:pt>
                </c:lvl>
              </c:multiLvlStrCache>
            </c:multiLvlStrRef>
          </c:cat>
          <c:val>
            <c:numRef>
              <c:f>Ataskaita!$E$11:$E$14</c:f>
              <c:numCache>
                <c:formatCode>General</c:formatCode>
                <c:ptCount val="4"/>
                <c:pt idx="0">
                  <c:v>31</c:v>
                </c:pt>
                <c:pt idx="1">
                  <c:v>12</c:v>
                </c:pt>
                <c:pt idx="2">
                  <c:v>1</c:v>
                </c:pt>
                <c:pt idx="3">
                  <c:v>1</c:v>
                </c:pt>
              </c:numCache>
            </c:numRef>
          </c:val>
          <c:extLst>
            <c:ext xmlns:c16="http://schemas.microsoft.com/office/drawing/2014/chart" uri="{C3380CC4-5D6E-409C-BE32-E72D297353CC}">
              <c16:uniqueId val="{00000000-D2D0-4923-94B7-FD9049AD3804}"/>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17</xdr:row>
      <xdr:rowOff>66675</xdr:rowOff>
    </xdr:from>
    <xdr:to>
      <xdr:col>9</xdr:col>
      <xdr:colOff>9525</xdr:colOff>
      <xdr:row>31</xdr:row>
      <xdr:rowOff>9525</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zoomScaleSheetLayoutView="100" workbookViewId="0">
      <selection activeCell="N9" sqref="N9"/>
    </sheetView>
  </sheetViews>
  <sheetFormatPr defaultRowHeight="12.75" x14ac:dyDescent="0.2"/>
  <cols>
    <col min="5" max="5" width="8.140625" customWidth="1"/>
    <col min="9" max="9" width="11.28515625" customWidth="1"/>
    <col min="10" max="10" width="12.28515625" customWidth="1"/>
  </cols>
  <sheetData>
    <row r="1" spans="1:12" ht="15.75" x14ac:dyDescent="0.25">
      <c r="A1" s="1383" t="s">
        <v>389</v>
      </c>
      <c r="B1" s="1384"/>
      <c r="C1" s="1384"/>
      <c r="D1" s="1384"/>
      <c r="E1" s="1384"/>
      <c r="F1" s="1384"/>
      <c r="G1" s="1384"/>
      <c r="H1" s="1384"/>
      <c r="I1" s="1384"/>
      <c r="J1" s="1384"/>
      <c r="K1" s="882"/>
    </row>
    <row r="2" spans="1:12" ht="15.75" x14ac:dyDescent="0.25">
      <c r="A2" s="1383" t="s">
        <v>29</v>
      </c>
      <c r="B2" s="1384"/>
      <c r="C2" s="1384"/>
      <c r="D2" s="1384"/>
      <c r="E2" s="1384"/>
      <c r="F2" s="1384"/>
      <c r="G2" s="1384"/>
      <c r="H2" s="1384"/>
      <c r="I2" s="1384"/>
      <c r="J2" s="1384"/>
      <c r="K2" s="882"/>
    </row>
    <row r="3" spans="1:12" ht="15.75" x14ac:dyDescent="0.25">
      <c r="A3" s="1383" t="s">
        <v>376</v>
      </c>
      <c r="B3" s="1384"/>
      <c r="C3" s="1384"/>
      <c r="D3" s="1384"/>
      <c r="E3" s="1384"/>
      <c r="F3" s="1384"/>
      <c r="G3" s="1384"/>
      <c r="H3" s="1384"/>
      <c r="I3" s="1384"/>
      <c r="J3" s="1384"/>
      <c r="K3" s="882"/>
    </row>
    <row r="5" spans="1:12" ht="33" customHeight="1" x14ac:dyDescent="0.2">
      <c r="A5" s="1385" t="s">
        <v>377</v>
      </c>
      <c r="B5" s="1384"/>
      <c r="C5" s="1384"/>
      <c r="D5" s="1384"/>
      <c r="E5" s="1384"/>
      <c r="F5" s="1384"/>
      <c r="G5" s="1384"/>
      <c r="H5" s="1384"/>
      <c r="I5" s="1384"/>
      <c r="J5" s="1384"/>
      <c r="K5" s="883"/>
    </row>
    <row r="7" spans="1:12" ht="49.5" customHeight="1" x14ac:dyDescent="0.2">
      <c r="A7" s="1386" t="s">
        <v>378</v>
      </c>
      <c r="B7" s="1384"/>
      <c r="C7" s="1384"/>
      <c r="D7" s="1384"/>
      <c r="E7" s="1384"/>
      <c r="F7" s="1384"/>
      <c r="G7" s="1384"/>
      <c r="H7" s="1384"/>
      <c r="I7" s="1384"/>
      <c r="J7" s="1384"/>
      <c r="K7" s="884"/>
      <c r="L7" s="885"/>
    </row>
    <row r="8" spans="1:12" x14ac:dyDescent="0.2">
      <c r="A8" s="885"/>
      <c r="B8" s="885"/>
      <c r="C8" s="885"/>
      <c r="D8" s="885"/>
      <c r="E8" s="885"/>
      <c r="F8" s="885"/>
      <c r="G8" s="885"/>
      <c r="H8" s="885"/>
      <c r="I8" s="885"/>
      <c r="J8" s="885"/>
      <c r="K8" s="885"/>
      <c r="L8" s="885"/>
    </row>
    <row r="9" spans="1:12" ht="19.5" customHeight="1" x14ac:dyDescent="0.2">
      <c r="A9" s="1381" t="s">
        <v>424</v>
      </c>
      <c r="B9" s="1382"/>
      <c r="C9" s="1382"/>
      <c r="D9" s="1382"/>
      <c r="E9" s="1382"/>
      <c r="F9" s="1382"/>
      <c r="G9" s="1382"/>
      <c r="H9" s="1382"/>
      <c r="I9" s="1382"/>
      <c r="J9" s="1382"/>
      <c r="K9" s="884"/>
      <c r="L9" s="885"/>
    </row>
    <row r="10" spans="1:12" ht="15.75" x14ac:dyDescent="0.2">
      <c r="A10" s="884"/>
      <c r="B10" s="729"/>
      <c r="C10" s="729"/>
      <c r="D10" s="729"/>
      <c r="E10" s="729"/>
      <c r="F10" s="729"/>
      <c r="G10" s="729"/>
      <c r="H10" s="729"/>
      <c r="I10" s="729"/>
      <c r="J10" s="729"/>
      <c r="K10" s="884"/>
      <c r="L10" s="885"/>
    </row>
    <row r="11" spans="1:12" ht="15.75" x14ac:dyDescent="0.25">
      <c r="A11" s="886"/>
      <c r="B11" s="1376" t="s">
        <v>379</v>
      </c>
      <c r="C11" s="1376"/>
      <c r="D11" s="887" t="s">
        <v>380</v>
      </c>
      <c r="E11" s="1249">
        <v>31</v>
      </c>
      <c r="F11" s="888" t="s">
        <v>381</v>
      </c>
      <c r="G11" s="888"/>
      <c r="H11" s="888"/>
      <c r="I11" s="888"/>
      <c r="J11" s="888"/>
      <c r="K11" s="888"/>
      <c r="L11" s="885"/>
    </row>
    <row r="12" spans="1:12" ht="15.75" x14ac:dyDescent="0.25">
      <c r="A12" s="886"/>
      <c r="B12" s="1376" t="s">
        <v>382</v>
      </c>
      <c r="C12" s="1376"/>
      <c r="D12" s="887" t="s">
        <v>380</v>
      </c>
      <c r="E12" s="1249">
        <v>12</v>
      </c>
      <c r="F12" s="888" t="s">
        <v>383</v>
      </c>
      <c r="G12" s="888"/>
      <c r="H12" s="888"/>
      <c r="I12" s="888"/>
      <c r="J12" s="888"/>
      <c r="K12" s="888"/>
      <c r="L12" s="885"/>
    </row>
    <row r="13" spans="1:12" s="889" customFormat="1" ht="15.75" x14ac:dyDescent="0.25">
      <c r="B13" s="1377" t="s">
        <v>384</v>
      </c>
      <c r="C13" s="1377"/>
      <c r="D13" s="891" t="s">
        <v>380</v>
      </c>
      <c r="E13" s="895">
        <v>1</v>
      </c>
      <c r="F13" s="1234" t="s">
        <v>435</v>
      </c>
      <c r="G13" s="1234"/>
      <c r="H13" s="1234"/>
      <c r="I13" s="1234"/>
    </row>
    <row r="14" spans="1:12" s="889" customFormat="1" ht="34.5" customHeight="1" x14ac:dyDescent="0.25">
      <c r="B14" s="1377" t="s">
        <v>434</v>
      </c>
      <c r="C14" s="1377"/>
      <c r="D14" s="891" t="s">
        <v>380</v>
      </c>
      <c r="E14" s="895">
        <v>1</v>
      </c>
      <c r="F14" s="1379" t="s">
        <v>436</v>
      </c>
      <c r="G14" s="1380"/>
      <c r="H14" s="1380"/>
      <c r="I14" s="1380"/>
    </row>
    <row r="15" spans="1:12" s="889" customFormat="1" ht="15.75" x14ac:dyDescent="0.25">
      <c r="B15" s="1234"/>
      <c r="C15" s="1234"/>
      <c r="D15" s="890"/>
      <c r="E15" s="891"/>
      <c r="F15" s="1234"/>
    </row>
    <row r="16" spans="1:12" s="889" customFormat="1" ht="15.75" x14ac:dyDescent="0.25">
      <c r="B16" s="892"/>
      <c r="C16" s="892"/>
      <c r="D16" s="890"/>
      <c r="E16" s="891"/>
      <c r="F16" s="892"/>
    </row>
    <row r="17" spans="2:7" s="889" customFormat="1" ht="15.75" x14ac:dyDescent="0.25">
      <c r="B17" s="893"/>
      <c r="C17" s="893" t="s">
        <v>390</v>
      </c>
      <c r="D17" s="893"/>
      <c r="E17" s="894"/>
      <c r="F17" s="893"/>
      <c r="G17" s="893"/>
    </row>
    <row r="18" spans="2:7" s="889" customFormat="1" ht="15.75" x14ac:dyDescent="0.25">
      <c r="B18" s="893"/>
      <c r="C18" s="893"/>
      <c r="D18" s="893"/>
      <c r="E18" s="894"/>
      <c r="F18" s="893"/>
      <c r="G18" s="893"/>
    </row>
    <row r="19" spans="2:7" s="889" customFormat="1" ht="15.75" x14ac:dyDescent="0.25">
      <c r="E19" s="895"/>
    </row>
    <row r="20" spans="2:7" s="889" customFormat="1" ht="15.75" x14ac:dyDescent="0.25">
      <c r="E20" s="895"/>
    </row>
    <row r="21" spans="2:7" s="889" customFormat="1" ht="15.75" x14ac:dyDescent="0.25">
      <c r="E21" s="895"/>
    </row>
    <row r="22" spans="2:7" s="889" customFormat="1" ht="15.75" x14ac:dyDescent="0.25">
      <c r="E22" s="895"/>
    </row>
    <row r="23" spans="2:7" s="889" customFormat="1" ht="15.75" x14ac:dyDescent="0.25">
      <c r="E23" s="895"/>
    </row>
    <row r="24" spans="2:7" s="889" customFormat="1" ht="15.75" x14ac:dyDescent="0.25">
      <c r="E24" s="895"/>
    </row>
    <row r="25" spans="2:7" s="889" customFormat="1" ht="15.75" x14ac:dyDescent="0.25">
      <c r="E25" s="895"/>
    </row>
    <row r="26" spans="2:7" s="889" customFormat="1" ht="15.75" x14ac:dyDescent="0.25">
      <c r="E26" s="895"/>
    </row>
    <row r="27" spans="2:7" s="889" customFormat="1" ht="15.75" x14ac:dyDescent="0.25">
      <c r="E27" s="895"/>
    </row>
    <row r="28" spans="2:7" s="889" customFormat="1" ht="15.75" x14ac:dyDescent="0.25">
      <c r="E28" s="895"/>
    </row>
    <row r="29" spans="2:7" s="889" customFormat="1" ht="15.75" x14ac:dyDescent="0.25">
      <c r="E29" s="895"/>
    </row>
    <row r="30" spans="2:7" s="889" customFormat="1" ht="15.75" x14ac:dyDescent="0.25">
      <c r="E30" s="895"/>
    </row>
    <row r="31" spans="2:7" s="889" customFormat="1" ht="15.75" x14ac:dyDescent="0.25">
      <c r="E31" s="895"/>
    </row>
    <row r="32" spans="2:7" s="889" customFormat="1" ht="15.75" x14ac:dyDescent="0.25">
      <c r="E32" s="895"/>
    </row>
    <row r="34" spans="1:11" ht="35.25" customHeight="1" x14ac:dyDescent="0.2">
      <c r="A34" s="1378" t="s">
        <v>385</v>
      </c>
      <c r="B34" s="1375"/>
      <c r="C34" s="1375"/>
      <c r="D34" s="1375"/>
      <c r="E34" s="1375"/>
      <c r="F34" s="1375"/>
      <c r="G34" s="1375"/>
      <c r="H34" s="1375"/>
      <c r="I34" s="1375"/>
      <c r="J34" s="1375"/>
      <c r="K34" s="896"/>
    </row>
    <row r="35" spans="1:11" ht="30.95" customHeight="1" x14ac:dyDescent="0.2">
      <c r="A35" s="1374" t="s">
        <v>386</v>
      </c>
      <c r="B35" s="1375"/>
      <c r="C35" s="1375"/>
      <c r="D35" s="1375"/>
      <c r="E35" s="1375"/>
      <c r="F35" s="1375"/>
      <c r="G35" s="1375"/>
      <c r="H35" s="1375"/>
      <c r="I35" s="1375"/>
      <c r="J35" s="1375"/>
      <c r="K35" s="897"/>
    </row>
    <row r="36" spans="1:11" ht="30.95" customHeight="1" x14ac:dyDescent="0.2">
      <c r="A36" s="1374" t="s">
        <v>387</v>
      </c>
      <c r="B36" s="1375"/>
      <c r="C36" s="1375"/>
      <c r="D36" s="1375"/>
      <c r="E36" s="1375"/>
      <c r="F36" s="1375"/>
      <c r="G36" s="1375"/>
      <c r="H36" s="1375"/>
      <c r="I36" s="1375"/>
      <c r="J36" s="1375"/>
      <c r="K36" s="897"/>
    </row>
    <row r="37" spans="1:11" ht="30.95" customHeight="1" x14ac:dyDescent="0.2">
      <c r="A37" s="1374" t="s">
        <v>388</v>
      </c>
      <c r="B37" s="1375"/>
      <c r="C37" s="1375"/>
      <c r="D37" s="1375"/>
      <c r="E37" s="1375"/>
      <c r="F37" s="1375"/>
      <c r="G37" s="1375"/>
      <c r="H37" s="1375"/>
      <c r="I37" s="1375"/>
      <c r="J37" s="1375"/>
      <c r="K37" s="897"/>
    </row>
    <row r="38" spans="1:11" s="889" customFormat="1" ht="15.75" x14ac:dyDescent="0.25">
      <c r="E38" s="895"/>
    </row>
    <row r="39" spans="1:11" s="889" customFormat="1" ht="15.75" x14ac:dyDescent="0.25">
      <c r="E39" s="895"/>
    </row>
    <row r="40" spans="1:11" s="889" customFormat="1" ht="15.75" x14ac:dyDescent="0.25">
      <c r="E40" s="895"/>
    </row>
    <row r="41" spans="1:11" s="889" customFormat="1" ht="15.75" x14ac:dyDescent="0.25">
      <c r="E41" s="895"/>
    </row>
    <row r="42" spans="1:11" s="889" customFormat="1" ht="15.75" x14ac:dyDescent="0.25">
      <c r="E42" s="895"/>
    </row>
    <row r="43" spans="1:11" s="889" customFormat="1" ht="15.75" x14ac:dyDescent="0.25">
      <c r="E43" s="895"/>
    </row>
    <row r="44" spans="1:11" s="889" customFormat="1" ht="15.75" x14ac:dyDescent="0.25">
      <c r="E44" s="895"/>
    </row>
    <row r="45" spans="1:11" s="889" customFormat="1" ht="15.75" x14ac:dyDescent="0.25">
      <c r="E45" s="895"/>
    </row>
    <row r="46" spans="1:11" s="889" customFormat="1" ht="15.75" x14ac:dyDescent="0.25">
      <c r="E46" s="895"/>
    </row>
    <row r="47" spans="1:11" s="889" customFormat="1" ht="15.75" x14ac:dyDescent="0.25">
      <c r="E47" s="895"/>
    </row>
    <row r="48" spans="1:11" s="889" customFormat="1" ht="15.75" x14ac:dyDescent="0.25">
      <c r="E48" s="895"/>
    </row>
  </sheetData>
  <mergeCells count="15">
    <mergeCell ref="A9:J9"/>
    <mergeCell ref="A1:J1"/>
    <mergeCell ref="A2:J2"/>
    <mergeCell ref="A3:J3"/>
    <mergeCell ref="A5:J5"/>
    <mergeCell ref="A7:J7"/>
    <mergeCell ref="A37:J37"/>
    <mergeCell ref="B11:C11"/>
    <mergeCell ref="B12:C12"/>
    <mergeCell ref="B13:C13"/>
    <mergeCell ref="A34:J34"/>
    <mergeCell ref="A35:J35"/>
    <mergeCell ref="A36:J36"/>
    <mergeCell ref="B14:C14"/>
    <mergeCell ref="F14:I14"/>
  </mergeCells>
  <pageMargins left="1.1811023622047245" right="0.39370078740157483" top="0.78740157480314965" bottom="0.3937007874015748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29"/>
  <sheetViews>
    <sheetView tabSelected="1" topLeftCell="A112" zoomScaleNormal="100" zoomScaleSheetLayoutView="100" workbookViewId="0">
      <selection activeCell="O122" sqref="O122"/>
    </sheetView>
  </sheetViews>
  <sheetFormatPr defaultRowHeight="12.75" x14ac:dyDescent="0.2"/>
  <cols>
    <col min="1" max="2" width="2.7109375" style="2" customWidth="1"/>
    <col min="3" max="3" width="2.7109375" style="539" customWidth="1"/>
    <col min="4" max="4" width="36.28515625" style="2" customWidth="1"/>
    <col min="5" max="5" width="2.85546875" style="8" customWidth="1"/>
    <col min="6" max="6" width="5.140625" style="11" customWidth="1"/>
    <col min="7" max="7" width="9.42578125" style="3" customWidth="1"/>
    <col min="8" max="9" width="9.42578125" style="2" customWidth="1"/>
    <col min="10" max="10" width="10.28515625" style="2" customWidth="1"/>
    <col min="11" max="11" width="38.7109375" style="2" customWidth="1"/>
    <col min="12" max="12" width="4.5703125" style="2" customWidth="1"/>
    <col min="13" max="13" width="4.42578125" style="2" customWidth="1"/>
    <col min="14" max="14" width="33.7109375" style="2" customWidth="1"/>
    <col min="15" max="15" width="37" style="2" customWidth="1"/>
    <col min="16" max="16" width="6.7109375" style="709" customWidth="1"/>
    <col min="17" max="53" width="9.140625" style="709"/>
    <col min="54" max="16384" width="9.140625" style="1"/>
  </cols>
  <sheetData>
    <row r="1" spans="1:53" s="49" customFormat="1" ht="15.75" customHeight="1" x14ac:dyDescent="0.2">
      <c r="A1" s="1394" t="s">
        <v>374</v>
      </c>
      <c r="B1" s="1394"/>
      <c r="C1" s="1394"/>
      <c r="D1" s="1394"/>
      <c r="E1" s="1394"/>
      <c r="F1" s="1394"/>
      <c r="G1" s="1394"/>
      <c r="H1" s="1394"/>
      <c r="I1" s="1394"/>
      <c r="J1" s="1394"/>
      <c r="K1" s="1394"/>
      <c r="L1" s="1394"/>
      <c r="M1" s="1394"/>
      <c r="N1" s="1394"/>
      <c r="O1" s="1394"/>
    </row>
    <row r="2" spans="1:53" ht="15.75" customHeight="1" x14ac:dyDescent="0.2">
      <c r="A2" s="1395" t="s">
        <v>375</v>
      </c>
      <c r="B2" s="1395"/>
      <c r="C2" s="1395"/>
      <c r="D2" s="1395"/>
      <c r="E2" s="1395"/>
      <c r="F2" s="1395"/>
      <c r="G2" s="1395"/>
      <c r="H2" s="1395"/>
      <c r="I2" s="1395"/>
      <c r="J2" s="1395"/>
      <c r="K2" s="1395"/>
      <c r="L2" s="1395"/>
      <c r="M2" s="1395"/>
      <c r="N2" s="1395"/>
      <c r="O2" s="139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15" customHeight="1" thickBot="1" x14ac:dyDescent="0.25">
      <c r="A3" s="15"/>
      <c r="B3" s="15"/>
      <c r="C3" s="538"/>
      <c r="D3" s="15"/>
      <c r="E3" s="16"/>
      <c r="F3" s="17"/>
      <c r="G3" s="254"/>
      <c r="H3" s="15"/>
      <c r="I3" s="15"/>
      <c r="J3" s="15"/>
      <c r="K3" s="1598" t="s">
        <v>117</v>
      </c>
      <c r="L3" s="1598"/>
      <c r="M3" s="1598"/>
      <c r="N3" s="1598"/>
      <c r="O3" s="1599"/>
    </row>
    <row r="4" spans="1:53" s="49" customFormat="1" ht="30" customHeight="1" x14ac:dyDescent="0.2">
      <c r="A4" s="1420" t="s">
        <v>18</v>
      </c>
      <c r="B4" s="1423" t="s">
        <v>0</v>
      </c>
      <c r="C4" s="1423" t="s">
        <v>1</v>
      </c>
      <c r="D4" s="1611" t="s">
        <v>12</v>
      </c>
      <c r="E4" s="1423" t="s">
        <v>2</v>
      </c>
      <c r="F4" s="1614" t="s">
        <v>3</v>
      </c>
      <c r="G4" s="1617" t="s">
        <v>4</v>
      </c>
      <c r="H4" s="1620" t="s">
        <v>365</v>
      </c>
      <c r="I4" s="1621"/>
      <c r="J4" s="1622"/>
      <c r="K4" s="1426" t="s">
        <v>366</v>
      </c>
      <c r="L4" s="1427"/>
      <c r="M4" s="1427"/>
      <c r="N4" s="1408" t="s">
        <v>367</v>
      </c>
      <c r="O4" s="1411" t="s">
        <v>368</v>
      </c>
    </row>
    <row r="5" spans="1:53" s="49" customFormat="1" ht="33.75" customHeight="1" x14ac:dyDescent="0.2">
      <c r="A5" s="1421"/>
      <c r="B5" s="1424"/>
      <c r="C5" s="1424"/>
      <c r="D5" s="1612"/>
      <c r="E5" s="1424"/>
      <c r="F5" s="1615"/>
      <c r="G5" s="1618"/>
      <c r="H5" s="1631" t="s">
        <v>369</v>
      </c>
      <c r="I5" s="1414" t="s">
        <v>407</v>
      </c>
      <c r="J5" s="1414" t="s">
        <v>370</v>
      </c>
      <c r="K5" s="1416" t="s">
        <v>371</v>
      </c>
      <c r="L5" s="1418" t="s">
        <v>372</v>
      </c>
      <c r="M5" s="1418" t="s">
        <v>373</v>
      </c>
      <c r="N5" s="1409"/>
      <c r="O5" s="1412"/>
    </row>
    <row r="6" spans="1:53" s="49" customFormat="1" ht="48" customHeight="1" thickBot="1" x14ac:dyDescent="0.25">
      <c r="A6" s="1422"/>
      <c r="B6" s="1425"/>
      <c r="C6" s="1425"/>
      <c r="D6" s="1613"/>
      <c r="E6" s="1425"/>
      <c r="F6" s="1616"/>
      <c r="G6" s="1619"/>
      <c r="H6" s="1632"/>
      <c r="I6" s="1415"/>
      <c r="J6" s="1415"/>
      <c r="K6" s="1417"/>
      <c r="L6" s="1419"/>
      <c r="M6" s="1419"/>
      <c r="N6" s="1410"/>
      <c r="O6" s="1413"/>
    </row>
    <row r="7" spans="1:53" s="10" customFormat="1" ht="14.25" customHeight="1" x14ac:dyDescent="0.2">
      <c r="A7" s="1600" t="s">
        <v>63</v>
      </c>
      <c r="B7" s="1601"/>
      <c r="C7" s="1601"/>
      <c r="D7" s="1601"/>
      <c r="E7" s="1601"/>
      <c r="F7" s="1601"/>
      <c r="G7" s="1601"/>
      <c r="H7" s="1601"/>
      <c r="I7" s="1601"/>
      <c r="J7" s="1601"/>
      <c r="K7" s="1601"/>
      <c r="L7" s="1601"/>
      <c r="M7" s="1601"/>
      <c r="N7" s="1601"/>
      <c r="O7" s="1602"/>
      <c r="P7" s="730"/>
      <c r="Q7" s="730"/>
      <c r="R7" s="730"/>
      <c r="S7" s="730"/>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730"/>
      <c r="AX7" s="730"/>
      <c r="AY7" s="730"/>
      <c r="AZ7" s="730"/>
      <c r="BA7" s="730"/>
    </row>
    <row r="8" spans="1:53" s="10" customFormat="1" ht="14.25" customHeight="1" x14ac:dyDescent="0.2">
      <c r="A8" s="1603" t="s">
        <v>26</v>
      </c>
      <c r="B8" s="1604"/>
      <c r="C8" s="1604"/>
      <c r="D8" s="1604"/>
      <c r="E8" s="1604"/>
      <c r="F8" s="1604"/>
      <c r="G8" s="1604"/>
      <c r="H8" s="1604"/>
      <c r="I8" s="1604"/>
      <c r="J8" s="1604"/>
      <c r="K8" s="1604"/>
      <c r="L8" s="1604"/>
      <c r="M8" s="1604"/>
      <c r="N8" s="1604"/>
      <c r="O8" s="1605"/>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c r="AV8" s="730"/>
      <c r="AW8" s="730"/>
      <c r="AX8" s="730"/>
      <c r="AY8" s="730"/>
      <c r="AZ8" s="730"/>
      <c r="BA8" s="730"/>
    </row>
    <row r="9" spans="1:53" ht="26.25" customHeight="1" x14ac:dyDescent="0.2">
      <c r="A9" s="849" t="s">
        <v>5</v>
      </c>
      <c r="B9" s="898" t="s">
        <v>30</v>
      </c>
      <c r="C9" s="899"/>
      <c r="D9" s="899"/>
      <c r="E9" s="899"/>
      <c r="F9" s="899"/>
      <c r="G9" s="899"/>
      <c r="H9" s="1628" t="s">
        <v>425</v>
      </c>
      <c r="I9" s="1629"/>
      <c r="J9" s="1630"/>
      <c r="K9" s="1205" t="s">
        <v>391</v>
      </c>
      <c r="L9" s="1206">
        <v>83.3</v>
      </c>
      <c r="M9" s="1207">
        <v>84.5</v>
      </c>
      <c r="N9" s="1203"/>
      <c r="O9" s="900"/>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27.75" customHeight="1" x14ac:dyDescent="0.2">
      <c r="A10" s="849"/>
      <c r="B10" s="1406"/>
      <c r="C10" s="1407"/>
      <c r="D10" s="1407"/>
      <c r="E10" s="1407"/>
      <c r="F10" s="1407"/>
      <c r="G10" s="1407"/>
      <c r="H10" s="1628" t="s">
        <v>425</v>
      </c>
      <c r="I10" s="1629"/>
      <c r="J10" s="1630"/>
      <c r="K10" s="1205" t="s">
        <v>392</v>
      </c>
      <c r="L10" s="1206">
        <v>3.05</v>
      </c>
      <c r="M10" s="1206">
        <v>3</v>
      </c>
      <c r="N10" s="1204"/>
      <c r="O10" s="900"/>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27.75" customHeight="1" x14ac:dyDescent="0.2">
      <c r="A11" s="849"/>
      <c r="B11" s="901"/>
      <c r="C11" s="899"/>
      <c r="D11" s="899"/>
      <c r="E11" s="899"/>
      <c r="F11" s="899"/>
      <c r="G11" s="899"/>
      <c r="H11" s="1628" t="s">
        <v>289</v>
      </c>
      <c r="I11" s="1629"/>
      <c r="J11" s="1630"/>
      <c r="K11" s="1205" t="s">
        <v>393</v>
      </c>
      <c r="L11" s="1206">
        <v>60</v>
      </c>
      <c r="M11" s="1208">
        <v>66</v>
      </c>
      <c r="N11" s="902"/>
      <c r="O11" s="90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25.5" customHeight="1" x14ac:dyDescent="0.2">
      <c r="A12" s="904"/>
      <c r="B12" s="905"/>
      <c r="C12" s="906"/>
      <c r="D12" s="906"/>
      <c r="E12" s="906"/>
      <c r="F12" s="906"/>
      <c r="G12" s="906"/>
      <c r="H12" s="1628" t="s">
        <v>289</v>
      </c>
      <c r="I12" s="1629"/>
      <c r="J12" s="1630"/>
      <c r="K12" s="1205" t="s">
        <v>394</v>
      </c>
      <c r="L12" s="1206">
        <v>121</v>
      </c>
      <c r="M12" s="1208">
        <v>121</v>
      </c>
      <c r="N12" s="907"/>
      <c r="O12" s="908"/>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15" customHeight="1" x14ac:dyDescent="0.2">
      <c r="A13" s="253" t="s">
        <v>5</v>
      </c>
      <c r="B13" s="13" t="s">
        <v>5</v>
      </c>
      <c r="C13" s="1606" t="s">
        <v>31</v>
      </c>
      <c r="D13" s="1607"/>
      <c r="E13" s="1607"/>
      <c r="F13" s="1607"/>
      <c r="G13" s="1607"/>
      <c r="H13" s="1607"/>
      <c r="I13" s="1607"/>
      <c r="J13" s="1607"/>
      <c r="K13" s="1607"/>
      <c r="L13" s="1607"/>
      <c r="M13" s="1607"/>
      <c r="N13" s="1607"/>
      <c r="O13" s="1608"/>
    </row>
    <row r="14" spans="1:53" ht="12.95" customHeight="1" x14ac:dyDescent="0.2">
      <c r="A14" s="523" t="s">
        <v>5</v>
      </c>
      <c r="B14" s="524" t="s">
        <v>5</v>
      </c>
      <c r="C14" s="511" t="s">
        <v>5</v>
      </c>
      <c r="D14" s="1627" t="s">
        <v>49</v>
      </c>
      <c r="E14" s="1625" t="s">
        <v>90</v>
      </c>
      <c r="F14" s="532" t="s">
        <v>43</v>
      </c>
      <c r="G14" s="35" t="s">
        <v>25</v>
      </c>
      <c r="H14" s="1044">
        <v>426</v>
      </c>
      <c r="I14" s="1045">
        <f>426-125</f>
        <v>301</v>
      </c>
      <c r="J14" s="1045">
        <v>200.9</v>
      </c>
      <c r="K14" s="317"/>
      <c r="L14" s="318"/>
      <c r="M14" s="319"/>
      <c r="N14" s="319"/>
      <c r="O14" s="1105"/>
    </row>
    <row r="15" spans="1:53" ht="12.95" customHeight="1" x14ac:dyDescent="0.2">
      <c r="A15" s="523"/>
      <c r="B15" s="524"/>
      <c r="C15" s="511"/>
      <c r="D15" s="1503"/>
      <c r="E15" s="1576"/>
      <c r="F15" s="532"/>
      <c r="G15" s="35" t="s">
        <v>104</v>
      </c>
      <c r="H15" s="1044">
        <v>557.70000000000005</v>
      </c>
      <c r="I15" s="541">
        <v>557.70000000000005</v>
      </c>
      <c r="J15" s="541">
        <v>3</v>
      </c>
      <c r="K15" s="317"/>
      <c r="L15" s="318"/>
      <c r="M15" s="319"/>
      <c r="N15" s="319"/>
      <c r="O15" s="320"/>
    </row>
    <row r="16" spans="1:53" ht="12.95" customHeight="1" x14ac:dyDescent="0.2">
      <c r="A16" s="523"/>
      <c r="B16" s="524"/>
      <c r="C16" s="511"/>
      <c r="D16" s="53"/>
      <c r="E16" s="1626"/>
      <c r="F16" s="618"/>
      <c r="G16" s="540" t="s">
        <v>62</v>
      </c>
      <c r="H16" s="1016"/>
      <c r="I16" s="542">
        <v>1.5</v>
      </c>
      <c r="J16" s="542"/>
      <c r="K16" s="321"/>
      <c r="L16" s="322"/>
      <c r="M16" s="323"/>
      <c r="N16" s="323"/>
      <c r="O16" s="1094"/>
    </row>
    <row r="17" spans="1:18" ht="11.25" customHeight="1" x14ac:dyDescent="0.2">
      <c r="A17" s="1432"/>
      <c r="B17" s="1492"/>
      <c r="C17" s="1493" t="s">
        <v>5</v>
      </c>
      <c r="D17" s="1609" t="s">
        <v>170</v>
      </c>
      <c r="E17" s="1067" t="s">
        <v>47</v>
      </c>
      <c r="F17" s="1497"/>
      <c r="G17" s="1307" t="s">
        <v>438</v>
      </c>
      <c r="H17" s="1308"/>
      <c r="I17" s="1308"/>
      <c r="J17" s="1309">
        <v>3</v>
      </c>
      <c r="K17" s="1102"/>
      <c r="L17" s="1082"/>
      <c r="M17" s="1103"/>
      <c r="N17" s="1104"/>
      <c r="O17" s="1106"/>
    </row>
    <row r="18" spans="1:18" ht="271.5" customHeight="1" x14ac:dyDescent="0.2">
      <c r="A18" s="1432"/>
      <c r="B18" s="1492"/>
      <c r="C18" s="1494"/>
      <c r="D18" s="1610"/>
      <c r="E18" s="1623" t="s">
        <v>116</v>
      </c>
      <c r="F18" s="1497"/>
      <c r="G18" s="1307"/>
      <c r="H18" s="1308"/>
      <c r="I18" s="1308"/>
      <c r="J18" s="1309"/>
      <c r="K18" s="1098" t="s">
        <v>186</v>
      </c>
      <c r="L18" s="1099" t="s">
        <v>266</v>
      </c>
      <c r="M18" s="1100" t="s">
        <v>415</v>
      </c>
      <c r="N18" s="1101" t="s">
        <v>416</v>
      </c>
      <c r="O18" s="1107" t="s">
        <v>448</v>
      </c>
    </row>
    <row r="19" spans="1:18" ht="45" customHeight="1" x14ac:dyDescent="0.2">
      <c r="A19" s="1432"/>
      <c r="B19" s="1492"/>
      <c r="C19" s="1495"/>
      <c r="D19" s="1610"/>
      <c r="E19" s="1624"/>
      <c r="F19" s="1497"/>
      <c r="G19" s="1310"/>
      <c r="H19" s="1311"/>
      <c r="I19" s="1311"/>
      <c r="J19" s="1312"/>
      <c r="K19" s="1108" t="s">
        <v>359</v>
      </c>
      <c r="L19" s="1096" t="s">
        <v>56</v>
      </c>
      <c r="M19" s="1097" t="s">
        <v>415</v>
      </c>
      <c r="N19" s="1097"/>
      <c r="O19" s="1109" t="s">
        <v>417</v>
      </c>
    </row>
    <row r="20" spans="1:18" ht="15.75" customHeight="1" x14ac:dyDescent="0.2">
      <c r="A20" s="1432"/>
      <c r="B20" s="1492"/>
      <c r="C20" s="1493" t="s">
        <v>7</v>
      </c>
      <c r="D20" s="1433" t="s">
        <v>198</v>
      </c>
      <c r="E20" s="1067" t="s">
        <v>47</v>
      </c>
      <c r="F20" s="1588"/>
      <c r="G20" s="1307" t="s">
        <v>437</v>
      </c>
      <c r="H20" s="1313"/>
      <c r="I20" s="1313"/>
      <c r="J20" s="1314">
        <v>0</v>
      </c>
      <c r="K20" s="1065" t="s">
        <v>46</v>
      </c>
      <c r="L20" s="500"/>
      <c r="M20" s="863"/>
      <c r="N20" s="1681" t="s">
        <v>450</v>
      </c>
      <c r="O20" s="502"/>
    </row>
    <row r="21" spans="1:18" ht="51" customHeight="1" x14ac:dyDescent="0.2">
      <c r="A21" s="1432"/>
      <c r="B21" s="1492"/>
      <c r="C21" s="1495"/>
      <c r="D21" s="1501"/>
      <c r="E21" s="568"/>
      <c r="F21" s="1588"/>
      <c r="G21" s="1315"/>
      <c r="H21" s="1316"/>
      <c r="I21" s="1316"/>
      <c r="J21" s="1317"/>
      <c r="K21" s="1075"/>
      <c r="L21" s="20"/>
      <c r="M21" s="46"/>
      <c r="N21" s="1682"/>
      <c r="O21" s="30"/>
    </row>
    <row r="22" spans="1:18" ht="93" customHeight="1" x14ac:dyDescent="0.2">
      <c r="A22" s="509"/>
      <c r="B22" s="519"/>
      <c r="C22" s="1110" t="s">
        <v>28</v>
      </c>
      <c r="D22" s="1114" t="s">
        <v>293</v>
      </c>
      <c r="E22" s="284" t="s">
        <v>47</v>
      </c>
      <c r="F22" s="90"/>
      <c r="G22" s="1318" t="s">
        <v>437</v>
      </c>
      <c r="H22" s="1319"/>
      <c r="I22" s="1319"/>
      <c r="J22" s="1320">
        <v>0.9</v>
      </c>
      <c r="K22" s="1115" t="s">
        <v>190</v>
      </c>
      <c r="L22" s="1116">
        <v>1</v>
      </c>
      <c r="M22" s="1117">
        <v>0</v>
      </c>
      <c r="N22" s="1117"/>
      <c r="O22" s="1118" t="s">
        <v>449</v>
      </c>
    </row>
    <row r="23" spans="1:18" ht="15" customHeight="1" x14ac:dyDescent="0.2">
      <c r="A23" s="1432"/>
      <c r="B23" s="1492"/>
      <c r="C23" s="1494" t="s">
        <v>33</v>
      </c>
      <c r="D23" s="1433" t="s">
        <v>294</v>
      </c>
      <c r="E23" s="566" t="s">
        <v>47</v>
      </c>
      <c r="F23" s="1567"/>
      <c r="G23" s="1307" t="s">
        <v>437</v>
      </c>
      <c r="H23" s="1321"/>
      <c r="I23" s="1321"/>
      <c r="J23" s="1322">
        <v>200</v>
      </c>
      <c r="K23" s="569" t="s">
        <v>215</v>
      </c>
      <c r="L23" s="454">
        <v>20</v>
      </c>
      <c r="M23" s="202">
        <v>20</v>
      </c>
      <c r="N23" s="1119" t="s">
        <v>451</v>
      </c>
      <c r="O23" s="170"/>
    </row>
    <row r="24" spans="1:18" ht="14.25" customHeight="1" x14ac:dyDescent="0.2">
      <c r="A24" s="1432"/>
      <c r="B24" s="1492"/>
      <c r="C24" s="1495"/>
      <c r="D24" s="1501"/>
      <c r="E24" s="481"/>
      <c r="F24" s="1567"/>
      <c r="G24" s="57"/>
      <c r="H24" s="61"/>
      <c r="I24" s="61"/>
      <c r="J24" s="181"/>
      <c r="K24" s="431"/>
      <c r="L24" s="171"/>
      <c r="M24" s="673"/>
      <c r="N24" s="1120"/>
      <c r="O24" s="1236"/>
    </row>
    <row r="25" spans="1:18" ht="29.25" customHeight="1" x14ac:dyDescent="0.2">
      <c r="A25" s="509"/>
      <c r="B25" s="519"/>
      <c r="C25" s="1110" t="s">
        <v>34</v>
      </c>
      <c r="D25" s="403" t="s">
        <v>304</v>
      </c>
      <c r="E25" s="1059" t="s">
        <v>47</v>
      </c>
      <c r="F25" s="567"/>
      <c r="G25" s="631" t="s">
        <v>45</v>
      </c>
      <c r="H25" s="631">
        <v>31.2</v>
      </c>
      <c r="I25" s="631">
        <v>31.2</v>
      </c>
      <c r="J25" s="1111">
        <v>0</v>
      </c>
      <c r="K25" s="1156" t="s">
        <v>46</v>
      </c>
      <c r="L25" s="1112"/>
      <c r="M25" s="1113"/>
      <c r="N25" s="1157" t="s">
        <v>419</v>
      </c>
      <c r="O25" s="1235"/>
      <c r="R25" s="731"/>
    </row>
    <row r="26" spans="1:18" ht="16.5" customHeight="1" thickBot="1" x14ac:dyDescent="0.25">
      <c r="A26" s="68"/>
      <c r="B26" s="531"/>
      <c r="C26" s="1091"/>
      <c r="D26" s="589"/>
      <c r="E26" s="590"/>
      <c r="F26" s="591"/>
      <c r="G26" s="146" t="s">
        <v>6</v>
      </c>
      <c r="H26" s="146">
        <f>SUM(H14:H25)</f>
        <v>1014.9</v>
      </c>
      <c r="I26" s="146">
        <f>SUM(I14:I25)</f>
        <v>891.4</v>
      </c>
      <c r="J26" s="146">
        <f>J14+J15</f>
        <v>203.9</v>
      </c>
      <c r="K26" s="592"/>
      <c r="L26" s="593"/>
      <c r="M26" s="864"/>
      <c r="N26" s="593"/>
      <c r="O26" s="1121"/>
    </row>
    <row r="27" spans="1:18" ht="12.95" customHeight="1" x14ac:dyDescent="0.2">
      <c r="A27" s="528" t="s">
        <v>5</v>
      </c>
      <c r="B27" s="530" t="s">
        <v>5</v>
      </c>
      <c r="C27" s="518" t="s">
        <v>7</v>
      </c>
      <c r="D27" s="1637" t="s">
        <v>50</v>
      </c>
      <c r="E27" s="1638" t="s">
        <v>93</v>
      </c>
      <c r="F27" s="526" t="s">
        <v>43</v>
      </c>
      <c r="G27" s="324" t="s">
        <v>25</v>
      </c>
      <c r="H27" s="237">
        <v>744.6</v>
      </c>
      <c r="I27" s="191">
        <f>744.6-87.4-5</f>
        <v>652.20000000000005</v>
      </c>
      <c r="J27" s="191">
        <v>647.9</v>
      </c>
      <c r="K27" s="544"/>
      <c r="L27" s="265"/>
      <c r="M27" s="649"/>
      <c r="N27" s="265"/>
      <c r="O27" s="193"/>
    </row>
    <row r="28" spans="1:18" ht="12.95" customHeight="1" x14ac:dyDescent="0.2">
      <c r="A28" s="520"/>
      <c r="B28" s="519"/>
      <c r="C28" s="513"/>
      <c r="D28" s="1517"/>
      <c r="E28" s="1576"/>
      <c r="F28" s="516"/>
      <c r="G28" s="249" t="s">
        <v>105</v>
      </c>
      <c r="H28" s="38">
        <v>1500</v>
      </c>
      <c r="I28" s="62">
        <v>100</v>
      </c>
      <c r="J28" s="62">
        <v>100</v>
      </c>
      <c r="K28" s="515"/>
      <c r="L28" s="855"/>
      <c r="M28" s="292"/>
      <c r="N28" s="855"/>
      <c r="O28" s="169"/>
    </row>
    <row r="29" spans="1:18" ht="12.95" customHeight="1" x14ac:dyDescent="0.2">
      <c r="A29" s="715"/>
      <c r="B29" s="711"/>
      <c r="C29" s="712"/>
      <c r="D29" s="719"/>
      <c r="E29" s="1576"/>
      <c r="F29" s="714"/>
      <c r="G29" s="249" t="s">
        <v>62</v>
      </c>
      <c r="H29" s="38"/>
      <c r="I29" s="62">
        <v>5.9</v>
      </c>
      <c r="J29" s="62">
        <v>5.9</v>
      </c>
      <c r="K29" s="713"/>
      <c r="L29" s="855"/>
      <c r="M29" s="292"/>
      <c r="N29" s="855"/>
      <c r="O29" s="169"/>
    </row>
    <row r="30" spans="1:18" ht="12.95" customHeight="1" x14ac:dyDescent="0.2">
      <c r="A30" s="520"/>
      <c r="B30" s="519"/>
      <c r="C30" s="513"/>
      <c r="D30" s="720"/>
      <c r="E30" s="1576"/>
      <c r="F30" s="516"/>
      <c r="G30" s="73" t="s">
        <v>104</v>
      </c>
      <c r="H30" s="40">
        <v>366.6</v>
      </c>
      <c r="I30" s="61">
        <v>366.6</v>
      </c>
      <c r="J30" s="61">
        <v>366.6</v>
      </c>
      <c r="K30" s="1072"/>
      <c r="L30" s="20"/>
      <c r="M30" s="294"/>
      <c r="N30" s="20"/>
      <c r="O30" s="168"/>
    </row>
    <row r="31" spans="1:18" ht="42.75" customHeight="1" x14ac:dyDescent="0.2">
      <c r="A31" s="1633"/>
      <c r="B31" s="1492"/>
      <c r="C31" s="1493" t="s">
        <v>5</v>
      </c>
      <c r="D31" s="1634" t="s">
        <v>291</v>
      </c>
      <c r="E31" s="517" t="s">
        <v>47</v>
      </c>
      <c r="F31" s="1497"/>
      <c r="G31" s="1323" t="s">
        <v>439</v>
      </c>
      <c r="H31" s="1324"/>
      <c r="I31" s="1324"/>
      <c r="J31" s="1313">
        <v>100</v>
      </c>
      <c r="K31" s="1095" t="s">
        <v>201</v>
      </c>
      <c r="L31" s="1125">
        <v>1</v>
      </c>
      <c r="M31" s="1126" t="s">
        <v>418</v>
      </c>
      <c r="N31" s="1125"/>
      <c r="O31" s="1127" t="s">
        <v>452</v>
      </c>
    </row>
    <row r="32" spans="1:18" ht="42" customHeight="1" x14ac:dyDescent="0.2">
      <c r="A32" s="1633"/>
      <c r="B32" s="1492"/>
      <c r="C32" s="1494"/>
      <c r="D32" s="1634"/>
      <c r="E32" s="517"/>
      <c r="F32" s="1497"/>
      <c r="G32" s="1313" t="s">
        <v>437</v>
      </c>
      <c r="H32" s="1324"/>
      <c r="I32" s="1324"/>
      <c r="J32" s="1313">
        <v>633.29999999999995</v>
      </c>
      <c r="K32" s="29" t="s">
        <v>268</v>
      </c>
      <c r="L32" s="47">
        <v>100</v>
      </c>
      <c r="M32" s="650">
        <v>85</v>
      </c>
      <c r="N32" s="47"/>
      <c r="O32" s="1124"/>
    </row>
    <row r="33" spans="1:15" ht="28.5" customHeight="1" x14ac:dyDescent="0.2">
      <c r="A33" s="1633"/>
      <c r="B33" s="1492"/>
      <c r="C33" s="1495"/>
      <c r="D33" s="1634"/>
      <c r="E33" s="517"/>
      <c r="F33" s="1497"/>
      <c r="G33" s="1325" t="s">
        <v>438</v>
      </c>
      <c r="H33" s="1326"/>
      <c r="I33" s="1326"/>
      <c r="J33" s="1315">
        <v>366.6</v>
      </c>
      <c r="K33" s="1128" t="s">
        <v>269</v>
      </c>
      <c r="L33" s="1129">
        <v>40</v>
      </c>
      <c r="M33" s="1130">
        <v>0</v>
      </c>
      <c r="N33" s="1129"/>
      <c r="O33" s="1131" t="s">
        <v>453</v>
      </c>
    </row>
    <row r="34" spans="1:15" ht="25.5" customHeight="1" x14ac:dyDescent="0.2">
      <c r="A34" s="1633"/>
      <c r="B34" s="1492"/>
      <c r="C34" s="1493" t="s">
        <v>7</v>
      </c>
      <c r="D34" s="1527" t="s">
        <v>59</v>
      </c>
      <c r="E34" s="113" t="s">
        <v>47</v>
      </c>
      <c r="F34" s="1567"/>
      <c r="G34" s="1313" t="s">
        <v>437</v>
      </c>
      <c r="H34" s="1324"/>
      <c r="I34" s="1324"/>
      <c r="J34" s="1313">
        <v>9.5</v>
      </c>
      <c r="K34" s="1063" t="s">
        <v>195</v>
      </c>
      <c r="L34" s="854">
        <v>0</v>
      </c>
      <c r="M34" s="657">
        <v>0</v>
      </c>
      <c r="N34" s="1678" t="s">
        <v>454</v>
      </c>
      <c r="O34" s="1123"/>
    </row>
    <row r="35" spans="1:15" ht="66.75" customHeight="1" x14ac:dyDescent="0.2">
      <c r="A35" s="1633"/>
      <c r="B35" s="1492"/>
      <c r="C35" s="1495"/>
      <c r="D35" s="1529"/>
      <c r="E35" s="114"/>
      <c r="F35" s="1567"/>
      <c r="G35" s="1311"/>
      <c r="H35" s="1326"/>
      <c r="I35" s="1315"/>
      <c r="J35" s="1315"/>
      <c r="K35" s="260"/>
      <c r="L35" s="853"/>
      <c r="M35" s="652"/>
      <c r="N35" s="1522"/>
      <c r="O35" s="170"/>
    </row>
    <row r="36" spans="1:15" ht="17.25" customHeight="1" x14ac:dyDescent="0.2">
      <c r="A36" s="509"/>
      <c r="B36" s="519"/>
      <c r="C36" s="343" t="s">
        <v>28</v>
      </c>
      <c r="D36" s="1527" t="s">
        <v>296</v>
      </c>
      <c r="E36" s="1640" t="s">
        <v>47</v>
      </c>
      <c r="F36" s="1642"/>
      <c r="G36" s="1313" t="s">
        <v>437</v>
      </c>
      <c r="H36" s="1327"/>
      <c r="I36" s="1327"/>
      <c r="J36" s="1308">
        <v>5.0999999999999996</v>
      </c>
      <c r="K36" s="432" t="s">
        <v>98</v>
      </c>
      <c r="L36" s="433">
        <v>1</v>
      </c>
      <c r="M36" s="865">
        <v>1</v>
      </c>
      <c r="N36" s="1683" t="s">
        <v>455</v>
      </c>
      <c r="O36" s="1077"/>
    </row>
    <row r="37" spans="1:15" ht="24" customHeight="1" x14ac:dyDescent="0.2">
      <c r="A37" s="509"/>
      <c r="B37" s="519"/>
      <c r="C37" s="298"/>
      <c r="D37" s="1528"/>
      <c r="E37" s="1641"/>
      <c r="F37" s="1642"/>
      <c r="G37" s="1325" t="s">
        <v>440</v>
      </c>
      <c r="H37" s="1328"/>
      <c r="I37" s="1328"/>
      <c r="J37" s="1311">
        <v>5.9</v>
      </c>
      <c r="K37" s="1132"/>
      <c r="L37" s="423"/>
      <c r="M37" s="866"/>
      <c r="N37" s="1522"/>
      <c r="O37" s="1077"/>
    </row>
    <row r="38" spans="1:15" ht="17.25" customHeight="1" x14ac:dyDescent="0.2">
      <c r="A38" s="509"/>
      <c r="B38" s="519"/>
      <c r="C38" s="343" t="s">
        <v>33</v>
      </c>
      <c r="D38" s="1433" t="s">
        <v>327</v>
      </c>
      <c r="E38" s="521"/>
      <c r="F38" s="522"/>
      <c r="G38" s="1313" t="s">
        <v>437</v>
      </c>
      <c r="H38" s="1324"/>
      <c r="I38" s="1324"/>
      <c r="J38" s="1313">
        <v>0</v>
      </c>
      <c r="K38" s="1074" t="s">
        <v>309</v>
      </c>
      <c r="L38" s="458">
        <v>1</v>
      </c>
      <c r="M38" s="867">
        <v>1</v>
      </c>
      <c r="N38" s="881"/>
      <c r="O38" s="169"/>
    </row>
    <row r="39" spans="1:15" ht="17.25" customHeight="1" x14ac:dyDescent="0.2">
      <c r="A39" s="509"/>
      <c r="B39" s="519"/>
      <c r="C39" s="298"/>
      <c r="D39" s="1646"/>
      <c r="E39" s="521"/>
      <c r="F39" s="522"/>
      <c r="G39" s="67"/>
      <c r="H39" s="88"/>
      <c r="I39" s="61"/>
      <c r="J39" s="61"/>
      <c r="K39" s="459"/>
      <c r="L39" s="460"/>
      <c r="M39" s="868"/>
      <c r="N39" s="460"/>
      <c r="O39" s="169"/>
    </row>
    <row r="40" spans="1:15" ht="17.25" customHeight="1" thickBot="1" x14ac:dyDescent="0.25">
      <c r="A40" s="68"/>
      <c r="B40" s="578"/>
      <c r="C40" s="97"/>
      <c r="D40" s="589"/>
      <c r="E40" s="590"/>
      <c r="F40" s="591"/>
      <c r="G40" s="146" t="s">
        <v>6</v>
      </c>
      <c r="H40" s="218">
        <f>SUM(H27:H39)</f>
        <v>2611.1999999999998</v>
      </c>
      <c r="I40" s="146">
        <f>SUM(I27:I39)</f>
        <v>1124.7</v>
      </c>
      <c r="J40" s="146">
        <f>J27+J28+J29+J30</f>
        <v>1120.4000000000001</v>
      </c>
      <c r="K40" s="592"/>
      <c r="L40" s="593"/>
      <c r="M40" s="864"/>
      <c r="N40" s="593"/>
      <c r="O40" s="871"/>
    </row>
    <row r="41" spans="1:15" ht="12" customHeight="1" x14ac:dyDescent="0.2">
      <c r="A41" s="819" t="s">
        <v>5</v>
      </c>
      <c r="B41" s="267" t="s">
        <v>5</v>
      </c>
      <c r="C41" s="823" t="s">
        <v>28</v>
      </c>
      <c r="D41" s="1647" t="s">
        <v>100</v>
      </c>
      <c r="E41" s="1649" t="s">
        <v>95</v>
      </c>
      <c r="F41" s="820" t="s">
        <v>43</v>
      </c>
      <c r="G41" s="191" t="s">
        <v>25</v>
      </c>
      <c r="H41" s="191">
        <v>326</v>
      </c>
      <c r="I41" s="191">
        <v>224.4</v>
      </c>
      <c r="J41" s="683">
        <f>13.4+16.4</f>
        <v>29.8</v>
      </c>
      <c r="K41" s="325"/>
      <c r="L41" s="328"/>
      <c r="M41" s="545"/>
      <c r="N41" s="328"/>
      <c r="O41" s="329"/>
    </row>
    <row r="42" spans="1:15" ht="12" customHeight="1" x14ac:dyDescent="0.2">
      <c r="A42" s="1049"/>
      <c r="B42" s="1052"/>
      <c r="C42" s="1050"/>
      <c r="D42" s="1648"/>
      <c r="E42" s="1650"/>
      <c r="F42" s="1051"/>
      <c r="G42" s="62" t="s">
        <v>104</v>
      </c>
      <c r="H42" s="62">
        <v>198.4</v>
      </c>
      <c r="I42" s="62"/>
      <c r="J42" s="101"/>
      <c r="K42" s="1053"/>
      <c r="L42" s="854"/>
      <c r="M42" s="370"/>
      <c r="N42" s="854"/>
      <c r="O42" s="170"/>
    </row>
    <row r="43" spans="1:15" ht="12" customHeight="1" x14ac:dyDescent="0.2">
      <c r="A43" s="815"/>
      <c r="B43" s="818"/>
      <c r="C43" s="816"/>
      <c r="D43" s="1648"/>
      <c r="E43" s="1650"/>
      <c r="F43" s="817"/>
      <c r="G43" s="62" t="s">
        <v>105</v>
      </c>
      <c r="H43" s="62">
        <v>860</v>
      </c>
      <c r="I43" s="62">
        <v>260</v>
      </c>
      <c r="J43" s="101">
        <v>260</v>
      </c>
      <c r="K43" s="821"/>
      <c r="L43" s="854"/>
      <c r="M43" s="370"/>
      <c r="N43" s="854"/>
      <c r="O43" s="170"/>
    </row>
    <row r="44" spans="1:15" ht="12" customHeight="1" x14ac:dyDescent="0.2">
      <c r="A44" s="923"/>
      <c r="B44" s="948"/>
      <c r="C44" s="921"/>
      <c r="D44" s="1648"/>
      <c r="E44" s="1650"/>
      <c r="F44" s="942"/>
      <c r="G44" s="62" t="s">
        <v>347</v>
      </c>
      <c r="H44" s="64">
        <v>984.5</v>
      </c>
      <c r="I44" s="64">
        <v>984.5</v>
      </c>
      <c r="J44" s="101">
        <v>375.6</v>
      </c>
      <c r="K44" s="932"/>
      <c r="L44" s="854"/>
      <c r="M44" s="370"/>
      <c r="N44" s="854"/>
      <c r="O44" s="170"/>
    </row>
    <row r="45" spans="1:15" ht="12" customHeight="1" x14ac:dyDescent="0.2">
      <c r="A45" s="923"/>
      <c r="B45" s="948"/>
      <c r="C45" s="921"/>
      <c r="D45" s="1648"/>
      <c r="E45" s="1650"/>
      <c r="F45" s="942"/>
      <c r="G45" s="62" t="s">
        <v>48</v>
      </c>
      <c r="H45" s="64">
        <v>300</v>
      </c>
      <c r="I45" s="64">
        <v>117.6</v>
      </c>
      <c r="J45" s="101">
        <v>117.6</v>
      </c>
      <c r="K45" s="932"/>
      <c r="L45" s="854"/>
      <c r="M45" s="370"/>
      <c r="N45" s="854"/>
      <c r="O45" s="170"/>
    </row>
    <row r="46" spans="1:15" ht="12" customHeight="1" x14ac:dyDescent="0.2">
      <c r="A46" s="815"/>
      <c r="B46" s="818"/>
      <c r="C46" s="816"/>
      <c r="D46" s="1648"/>
      <c r="E46" s="1650"/>
      <c r="F46" s="817"/>
      <c r="G46" s="64" t="s">
        <v>45</v>
      </c>
      <c r="H46" s="62">
        <v>40</v>
      </c>
      <c r="I46" s="62">
        <v>40</v>
      </c>
      <c r="J46" s="101">
        <v>75</v>
      </c>
      <c r="K46" s="821"/>
      <c r="L46" s="854"/>
      <c r="M46" s="370"/>
      <c r="N46" s="854"/>
      <c r="O46" s="170"/>
    </row>
    <row r="47" spans="1:15" ht="13.5" customHeight="1" x14ac:dyDescent="0.2">
      <c r="A47" s="923"/>
      <c r="B47" s="948"/>
      <c r="C47" s="921"/>
      <c r="D47" s="1646"/>
      <c r="E47" s="1626"/>
      <c r="F47" s="1062"/>
      <c r="G47" s="61" t="s">
        <v>62</v>
      </c>
      <c r="H47" s="61">
        <v>420</v>
      </c>
      <c r="I47" s="61">
        <v>423</v>
      </c>
      <c r="J47" s="181">
        <f>158.1+58.5</f>
        <v>216.6</v>
      </c>
      <c r="K47" s="1072"/>
      <c r="L47" s="853"/>
      <c r="M47" s="166"/>
      <c r="N47" s="853"/>
      <c r="O47" s="1122"/>
    </row>
    <row r="48" spans="1:15" ht="17.25" customHeight="1" x14ac:dyDescent="0.2">
      <c r="A48" s="1056"/>
      <c r="B48" s="1061"/>
      <c r="C48" s="1261" t="s">
        <v>5</v>
      </c>
      <c r="D48" s="1433" t="s">
        <v>420</v>
      </c>
      <c r="E48" s="1059" t="s">
        <v>47</v>
      </c>
      <c r="F48" s="1062"/>
      <c r="G48" s="1329" t="s">
        <v>437</v>
      </c>
      <c r="H48" s="1330"/>
      <c r="I48" s="1330"/>
      <c r="J48" s="1331">
        <v>13.4</v>
      </c>
      <c r="K48" s="1462" t="s">
        <v>271</v>
      </c>
      <c r="L48" s="1295">
        <v>80</v>
      </c>
      <c r="M48" s="1281">
        <v>57</v>
      </c>
      <c r="N48" s="1678" t="s">
        <v>456</v>
      </c>
      <c r="O48" s="1267"/>
    </row>
    <row r="49" spans="1:15" ht="15.95" customHeight="1" x14ac:dyDescent="0.2">
      <c r="A49" s="1259"/>
      <c r="B49" s="1268"/>
      <c r="C49" s="1265"/>
      <c r="D49" s="1517"/>
      <c r="E49" s="1257"/>
      <c r="F49" s="1254"/>
      <c r="G49" s="1313" t="s">
        <v>439</v>
      </c>
      <c r="H49" s="1308"/>
      <c r="I49" s="1308"/>
      <c r="J49" s="1332">
        <v>260</v>
      </c>
      <c r="K49" s="1657"/>
      <c r="L49" s="1295"/>
      <c r="M49" s="292"/>
      <c r="N49" s="1517"/>
      <c r="O49" s="1267"/>
    </row>
    <row r="50" spans="1:15" ht="15.95" customHeight="1" x14ac:dyDescent="0.2">
      <c r="A50" s="1259"/>
      <c r="B50" s="1268"/>
      <c r="C50" s="1265"/>
      <c r="D50" s="1517"/>
      <c r="E50" s="1257"/>
      <c r="F50" s="1254"/>
      <c r="G50" s="1313" t="s">
        <v>441</v>
      </c>
      <c r="H50" s="1308"/>
      <c r="I50" s="1308"/>
      <c r="J50" s="1332">
        <v>375.6</v>
      </c>
      <c r="K50" s="1270"/>
      <c r="L50" s="1295"/>
      <c r="M50" s="292"/>
      <c r="N50" s="1517"/>
      <c r="O50" s="1267"/>
    </row>
    <row r="51" spans="1:15" ht="15.95" customHeight="1" x14ac:dyDescent="0.2">
      <c r="A51" s="1259"/>
      <c r="B51" s="1268"/>
      <c r="C51" s="1265"/>
      <c r="D51" s="1517"/>
      <c r="E51" s="1257"/>
      <c r="F51" s="1254"/>
      <c r="G51" s="1313" t="s">
        <v>442</v>
      </c>
      <c r="H51" s="1308"/>
      <c r="I51" s="1308"/>
      <c r="J51" s="1332">
        <v>117.6</v>
      </c>
      <c r="K51" s="1270"/>
      <c r="L51" s="1295"/>
      <c r="M51" s="292"/>
      <c r="N51" s="1250"/>
      <c r="O51" s="1267"/>
    </row>
    <row r="52" spans="1:15" ht="15.95" customHeight="1" x14ac:dyDescent="0.2">
      <c r="A52" s="1259"/>
      <c r="B52" s="1268"/>
      <c r="C52" s="1265"/>
      <c r="D52" s="1255"/>
      <c r="E52" s="1257"/>
      <c r="F52" s="1254"/>
      <c r="G52" s="1313" t="s">
        <v>443</v>
      </c>
      <c r="H52" s="1313"/>
      <c r="I52" s="1313"/>
      <c r="J52" s="1309">
        <v>75</v>
      </c>
      <c r="K52" s="1270"/>
      <c r="L52" s="1295"/>
      <c r="M52" s="292"/>
      <c r="N52" s="1250"/>
      <c r="O52" s="1267"/>
    </row>
    <row r="53" spans="1:15" ht="15.95" customHeight="1" x14ac:dyDescent="0.2">
      <c r="A53" s="1259"/>
      <c r="B53" s="1268"/>
      <c r="C53" s="1265"/>
      <c r="D53" s="1253"/>
      <c r="E53" s="1258"/>
      <c r="F53" s="588"/>
      <c r="G53" s="1315" t="s">
        <v>440</v>
      </c>
      <c r="H53" s="1315"/>
      <c r="I53" s="1315"/>
      <c r="J53" s="1312">
        <v>158.1</v>
      </c>
      <c r="K53" s="1289"/>
      <c r="L53" s="1276"/>
      <c r="M53" s="294"/>
      <c r="N53" s="1133"/>
      <c r="O53" s="168"/>
    </row>
    <row r="54" spans="1:15" ht="17.25" customHeight="1" x14ac:dyDescent="0.2">
      <c r="A54" s="509"/>
      <c r="B54" s="510"/>
      <c r="C54" s="343" t="s">
        <v>7</v>
      </c>
      <c r="D54" s="1634" t="s">
        <v>122</v>
      </c>
      <c r="E54" s="1594" t="s">
        <v>47</v>
      </c>
      <c r="F54" s="1567"/>
      <c r="G54" s="1321"/>
      <c r="H54" s="1321"/>
      <c r="I54" s="1321"/>
      <c r="J54" s="1322"/>
      <c r="K54" s="1134" t="s">
        <v>46</v>
      </c>
      <c r="L54" s="1135">
        <v>1</v>
      </c>
      <c r="M54" s="1139" t="s">
        <v>418</v>
      </c>
      <c r="N54" s="1135"/>
      <c r="O54" s="1684" t="s">
        <v>421</v>
      </c>
    </row>
    <row r="55" spans="1:15" ht="15.75" customHeight="1" x14ac:dyDescent="0.2">
      <c r="A55" s="509"/>
      <c r="B55" s="510"/>
      <c r="C55" s="36"/>
      <c r="D55" s="1634"/>
      <c r="E55" s="1594"/>
      <c r="F55" s="1567"/>
      <c r="G55" s="1321"/>
      <c r="H55" s="1321"/>
      <c r="I55" s="1321"/>
      <c r="J55" s="1322"/>
      <c r="K55" s="1635" t="s">
        <v>196</v>
      </c>
      <c r="L55" s="1135">
        <v>40</v>
      </c>
      <c r="M55" s="1136">
        <v>0</v>
      </c>
      <c r="N55" s="1135"/>
      <c r="O55" s="1685"/>
    </row>
    <row r="56" spans="1:15" ht="33" customHeight="1" x14ac:dyDescent="0.2">
      <c r="A56" s="509"/>
      <c r="B56" s="510"/>
      <c r="C56" s="298"/>
      <c r="D56" s="1652"/>
      <c r="E56" s="1653"/>
      <c r="F56" s="1567"/>
      <c r="G56" s="1315" t="s">
        <v>440</v>
      </c>
      <c r="H56" s="1315"/>
      <c r="I56" s="1315"/>
      <c r="J56" s="1312">
        <v>58.5</v>
      </c>
      <c r="K56" s="1636"/>
      <c r="L56" s="1137"/>
      <c r="M56" s="1138"/>
      <c r="N56" s="1137"/>
      <c r="O56" s="1677"/>
    </row>
    <row r="57" spans="1:15" ht="19.5" customHeight="1" x14ac:dyDescent="0.2">
      <c r="A57" s="509"/>
      <c r="B57" s="510"/>
      <c r="C57" s="207" t="s">
        <v>28</v>
      </c>
      <c r="D57" s="1651" t="s">
        <v>328</v>
      </c>
      <c r="E57" s="824" t="s">
        <v>47</v>
      </c>
      <c r="F57" s="1588"/>
      <c r="G57" s="1313" t="s">
        <v>437</v>
      </c>
      <c r="H57" s="1313"/>
      <c r="I57" s="1313"/>
      <c r="J57" s="1314">
        <v>16.399999999999999</v>
      </c>
      <c r="K57" s="1140" t="s">
        <v>46</v>
      </c>
      <c r="L57" s="1141">
        <v>1</v>
      </c>
      <c r="M57" s="1142" t="s">
        <v>418</v>
      </c>
      <c r="N57" s="1141"/>
      <c r="O57" s="1686" t="s">
        <v>457</v>
      </c>
    </row>
    <row r="58" spans="1:15" ht="175.5" customHeight="1" x14ac:dyDescent="0.2">
      <c r="A58" s="509"/>
      <c r="B58" s="510"/>
      <c r="C58" s="207"/>
      <c r="D58" s="1512"/>
      <c r="E58" s="706"/>
      <c r="F58" s="1588"/>
      <c r="G58" s="57"/>
      <c r="H58" s="61"/>
      <c r="I58" s="61"/>
      <c r="J58" s="131"/>
      <c r="K58" s="1143"/>
      <c r="L58" s="1144"/>
      <c r="M58" s="1145"/>
      <c r="N58" s="1144"/>
      <c r="O58" s="1677"/>
    </row>
    <row r="59" spans="1:15" ht="17.25" customHeight="1" thickBot="1" x14ac:dyDescent="0.25">
      <c r="A59" s="68"/>
      <c r="B59" s="578"/>
      <c r="C59" s="97"/>
      <c r="D59" s="598"/>
      <c r="E59" s="590"/>
      <c r="F59" s="591"/>
      <c r="G59" s="146" t="s">
        <v>6</v>
      </c>
      <c r="H59" s="146">
        <f>SUM(H41:H58)</f>
        <v>3128.9</v>
      </c>
      <c r="I59" s="146">
        <f>SUM(I41:I58)</f>
        <v>2049.5</v>
      </c>
      <c r="J59" s="338">
        <f>J41+J42+J43+J44+J45+J46+J47</f>
        <v>1074.5999999999999</v>
      </c>
      <c r="K59" s="592"/>
      <c r="L59" s="593"/>
      <c r="M59" s="864"/>
      <c r="N59" s="593"/>
      <c r="O59" s="871"/>
    </row>
    <row r="60" spans="1:15" ht="30.75" customHeight="1" x14ac:dyDescent="0.2">
      <c r="A60" s="528" t="s">
        <v>5</v>
      </c>
      <c r="B60" s="267" t="s">
        <v>5</v>
      </c>
      <c r="C60" s="99" t="s">
        <v>33</v>
      </c>
      <c r="D60" s="825" t="s">
        <v>51</v>
      </c>
      <c r="E60" s="826" t="s">
        <v>92</v>
      </c>
      <c r="F60" s="827"/>
      <c r="G60" s="93"/>
      <c r="H60" s="503"/>
      <c r="I60" s="503"/>
      <c r="J60" s="828"/>
      <c r="K60" s="829"/>
      <c r="L60" s="830"/>
      <c r="M60" s="869"/>
      <c r="N60" s="830"/>
      <c r="O60" s="1146"/>
    </row>
    <row r="61" spans="1:15" ht="12.95" customHeight="1" x14ac:dyDescent="0.2">
      <c r="A61" s="509"/>
      <c r="B61" s="510"/>
      <c r="C61" s="36" t="s">
        <v>5</v>
      </c>
      <c r="D61" s="1528" t="s">
        <v>61</v>
      </c>
      <c r="E61" s="1594" t="s">
        <v>47</v>
      </c>
      <c r="F61" s="1704">
        <v>5</v>
      </c>
      <c r="G61" s="54" t="s">
        <v>105</v>
      </c>
      <c r="H61" s="54">
        <v>500</v>
      </c>
      <c r="I61" s="54">
        <f>500+617.1</f>
        <v>1117.0999999999999</v>
      </c>
      <c r="J61" s="132">
        <v>1117.0999999999999</v>
      </c>
      <c r="K61" s="1701" t="s">
        <v>329</v>
      </c>
      <c r="L61" s="850">
        <v>80</v>
      </c>
      <c r="M61" s="851">
        <v>80</v>
      </c>
      <c r="N61" s="855"/>
      <c r="O61" s="169"/>
    </row>
    <row r="62" spans="1:15" ht="12.95" customHeight="1" x14ac:dyDescent="0.2">
      <c r="A62" s="509"/>
      <c r="B62" s="510"/>
      <c r="C62" s="513"/>
      <c r="D62" s="1528"/>
      <c r="E62" s="1594"/>
      <c r="F62" s="1704"/>
      <c r="G62" s="62" t="s">
        <v>25</v>
      </c>
      <c r="H62" s="62">
        <v>400</v>
      </c>
      <c r="I62" s="62">
        <f>400+1508.2</f>
        <v>1908.2</v>
      </c>
      <c r="J62" s="130">
        <f>1784.3+123.9</f>
        <v>1908.2</v>
      </c>
      <c r="K62" s="1702"/>
      <c r="L62" s="855"/>
      <c r="M62" s="292"/>
      <c r="N62" s="855"/>
      <c r="O62" s="169"/>
    </row>
    <row r="63" spans="1:15" ht="12.95" customHeight="1" x14ac:dyDescent="0.2">
      <c r="A63" s="509"/>
      <c r="B63" s="510"/>
      <c r="C63" s="513"/>
      <c r="D63" s="1528"/>
      <c r="E63" s="1594"/>
      <c r="F63" s="1704"/>
      <c r="G63" s="62" t="s">
        <v>104</v>
      </c>
      <c r="H63" s="62"/>
      <c r="I63" s="62">
        <v>198.4</v>
      </c>
      <c r="J63" s="101">
        <v>198.4</v>
      </c>
      <c r="K63" s="1703"/>
      <c r="L63" s="980"/>
      <c r="M63" s="313"/>
      <c r="N63" s="855"/>
      <c r="O63" s="169"/>
    </row>
    <row r="64" spans="1:15" ht="12.95" customHeight="1" x14ac:dyDescent="0.2">
      <c r="A64" s="923"/>
      <c r="B64" s="948"/>
      <c r="C64" s="921"/>
      <c r="D64" s="1528"/>
      <c r="E64" s="1594"/>
      <c r="F64" s="1704"/>
      <c r="G64" s="62" t="s">
        <v>62</v>
      </c>
      <c r="H64" s="62"/>
      <c r="I64" s="62">
        <v>192.4</v>
      </c>
      <c r="J64" s="101">
        <v>192.4</v>
      </c>
      <c r="K64" s="1703"/>
      <c r="L64" s="980"/>
      <c r="M64" s="313"/>
      <c r="N64" s="980"/>
      <c r="O64" s="947"/>
    </row>
    <row r="65" spans="1:15" ht="12.95" customHeight="1" x14ac:dyDescent="0.2">
      <c r="A65" s="923"/>
      <c r="B65" s="948"/>
      <c r="C65" s="921"/>
      <c r="D65" s="1528"/>
      <c r="E65" s="1594"/>
      <c r="F65" s="1704"/>
      <c r="G65" s="62" t="s">
        <v>48</v>
      </c>
      <c r="H65" s="62">
        <v>993.4</v>
      </c>
      <c r="I65" s="62">
        <f>993.4+482.4</f>
        <v>1475.8</v>
      </c>
      <c r="J65" s="101">
        <v>1475.8</v>
      </c>
      <c r="K65" s="1703"/>
      <c r="L65" s="980"/>
      <c r="M65" s="313"/>
      <c r="N65" s="980"/>
      <c r="O65" s="947"/>
    </row>
    <row r="66" spans="1:15" ht="11.25" customHeight="1" x14ac:dyDescent="0.2">
      <c r="A66" s="509"/>
      <c r="B66" s="510"/>
      <c r="C66" s="513"/>
      <c r="D66" s="1528"/>
      <c r="E66" s="1594"/>
      <c r="F66" s="1704"/>
      <c r="G66" s="61" t="s">
        <v>45</v>
      </c>
      <c r="H66" s="61">
        <v>3.3</v>
      </c>
      <c r="I66" s="61">
        <v>3.2</v>
      </c>
      <c r="J66" s="159">
        <v>3.2</v>
      </c>
      <c r="K66" s="1703"/>
      <c r="L66" s="980"/>
      <c r="M66" s="313"/>
      <c r="N66" s="855"/>
      <c r="O66" s="169"/>
    </row>
    <row r="67" spans="1:15" ht="13.5" customHeight="1" thickBot="1" x14ac:dyDescent="0.25">
      <c r="A67" s="68"/>
      <c r="B67" s="578"/>
      <c r="C67" s="97"/>
      <c r="D67" s="589"/>
      <c r="E67" s="590"/>
      <c r="F67" s="591"/>
      <c r="G67" s="146" t="s">
        <v>6</v>
      </c>
      <c r="H67" s="146">
        <f>SUM(H61:H66)</f>
        <v>1896.7</v>
      </c>
      <c r="I67" s="146">
        <f>SUM(I61:I66)</f>
        <v>4895.1000000000004</v>
      </c>
      <c r="J67" s="338">
        <f>SUM(J61:J66)</f>
        <v>4895.1000000000004</v>
      </c>
      <c r="K67" s="592"/>
      <c r="L67" s="593"/>
      <c r="M67" s="864"/>
      <c r="N67" s="593"/>
      <c r="O67" s="871"/>
    </row>
    <row r="68" spans="1:15" ht="14.1" customHeight="1" x14ac:dyDescent="0.2">
      <c r="A68" s="528" t="s">
        <v>5</v>
      </c>
      <c r="B68" s="267" t="s">
        <v>5</v>
      </c>
      <c r="C68" s="518" t="s">
        <v>34</v>
      </c>
      <c r="D68" s="1637" t="s">
        <v>99</v>
      </c>
      <c r="E68" s="1699" t="s">
        <v>89</v>
      </c>
      <c r="F68" s="526" t="s">
        <v>43</v>
      </c>
      <c r="G68" s="191" t="s">
        <v>25</v>
      </c>
      <c r="H68" s="191">
        <v>802.5</v>
      </c>
      <c r="I68" s="191">
        <f>678.6+123.9-430</f>
        <v>372.5</v>
      </c>
      <c r="J68" s="337">
        <v>354.3</v>
      </c>
      <c r="K68" s="250"/>
      <c r="L68" s="328"/>
      <c r="M68" s="656"/>
      <c r="N68" s="328"/>
      <c r="O68" s="329"/>
    </row>
    <row r="69" spans="1:15" ht="14.1" customHeight="1" x14ac:dyDescent="0.2">
      <c r="A69" s="637"/>
      <c r="B69" s="640"/>
      <c r="C69" s="638"/>
      <c r="D69" s="1698"/>
      <c r="E69" s="1700"/>
      <c r="F69" s="639"/>
      <c r="G69" s="62" t="s">
        <v>62</v>
      </c>
      <c r="H69" s="758">
        <v>1937.5</v>
      </c>
      <c r="I69" s="758">
        <v>1533.9</v>
      </c>
      <c r="J69" s="101">
        <v>1533.9</v>
      </c>
      <c r="K69" s="716"/>
      <c r="L69" s="854"/>
      <c r="M69" s="657"/>
      <c r="N69" s="854"/>
      <c r="O69" s="170"/>
    </row>
    <row r="70" spans="1:15" ht="14.1" customHeight="1" x14ac:dyDescent="0.2">
      <c r="A70" s="509"/>
      <c r="B70" s="510"/>
      <c r="C70" s="513"/>
      <c r="D70" s="1517"/>
      <c r="E70" s="1576"/>
      <c r="F70" s="516"/>
      <c r="G70" s="62" t="s">
        <v>105</v>
      </c>
      <c r="H70" s="62">
        <v>700</v>
      </c>
      <c r="I70" s="62">
        <v>1000</v>
      </c>
      <c r="J70" s="101">
        <v>1000</v>
      </c>
      <c r="K70" s="716"/>
      <c r="L70" s="854"/>
      <c r="M70" s="657"/>
      <c r="N70" s="370"/>
      <c r="O70" s="316"/>
    </row>
    <row r="71" spans="1:15" ht="14.1" customHeight="1" x14ac:dyDescent="0.2">
      <c r="A71" s="1049"/>
      <c r="B71" s="1052"/>
      <c r="C71" s="1050"/>
      <c r="D71" s="1012"/>
      <c r="E71" s="1576"/>
      <c r="F71" s="1051"/>
      <c r="G71" s="62" t="s">
        <v>48</v>
      </c>
      <c r="H71" s="62">
        <v>300</v>
      </c>
      <c r="I71" s="62"/>
      <c r="J71" s="101"/>
      <c r="K71" s="1054"/>
      <c r="L71" s="854"/>
      <c r="M71" s="657"/>
      <c r="N71" s="370"/>
      <c r="O71" s="316"/>
    </row>
    <row r="72" spans="1:15" ht="14.1" customHeight="1" x14ac:dyDescent="0.2">
      <c r="A72" s="509"/>
      <c r="B72" s="510"/>
      <c r="C72" s="1073"/>
      <c r="D72" s="543"/>
      <c r="E72" s="1576"/>
      <c r="F72" s="516"/>
      <c r="G72" s="61" t="s">
        <v>104</v>
      </c>
      <c r="H72" s="61"/>
      <c r="I72" s="61">
        <v>403.6</v>
      </c>
      <c r="J72" s="181">
        <v>403.6</v>
      </c>
      <c r="K72" s="716"/>
      <c r="L72" s="853"/>
      <c r="M72" s="652"/>
      <c r="N72" s="166"/>
      <c r="O72" s="30"/>
    </row>
    <row r="73" spans="1:15" ht="18" customHeight="1" x14ac:dyDescent="0.2">
      <c r="A73" s="509"/>
      <c r="B73" s="510"/>
      <c r="C73" s="36" t="s">
        <v>5</v>
      </c>
      <c r="D73" s="1527" t="s">
        <v>174</v>
      </c>
      <c r="E73" s="117" t="s">
        <v>47</v>
      </c>
      <c r="F73" s="817"/>
      <c r="G73" s="1313" t="s">
        <v>437</v>
      </c>
      <c r="H73" s="1313"/>
      <c r="I73" s="1313"/>
      <c r="J73" s="1333">
        <v>1.8</v>
      </c>
      <c r="K73" s="1656" t="s">
        <v>155</v>
      </c>
      <c r="L73" s="1078">
        <v>10</v>
      </c>
      <c r="M73" s="851">
        <v>10</v>
      </c>
      <c r="N73" s="1690" t="s">
        <v>458</v>
      </c>
      <c r="O73" s="1687"/>
    </row>
    <row r="74" spans="1:15" ht="18.75" customHeight="1" x14ac:dyDescent="0.2">
      <c r="A74" s="509"/>
      <c r="B74" s="510"/>
      <c r="C74" s="207"/>
      <c r="D74" s="1528"/>
      <c r="E74" s="822"/>
      <c r="F74" s="817"/>
      <c r="G74" s="1321"/>
      <c r="H74" s="1321"/>
      <c r="I74" s="1321"/>
      <c r="J74" s="1334"/>
      <c r="K74" s="1663"/>
      <c r="L74" s="1079"/>
      <c r="M74" s="292"/>
      <c r="N74" s="1691"/>
      <c r="O74" s="1688"/>
    </row>
    <row r="75" spans="1:15" ht="45.75" customHeight="1" x14ac:dyDescent="0.2">
      <c r="A75" s="509"/>
      <c r="B75" s="510"/>
      <c r="C75" s="298"/>
      <c r="D75" s="1645"/>
      <c r="E75" s="118"/>
      <c r="F75" s="817"/>
      <c r="G75" s="1335"/>
      <c r="H75" s="1335"/>
      <c r="I75" s="1335"/>
      <c r="J75" s="1336"/>
      <c r="K75" s="390"/>
      <c r="L75" s="20"/>
      <c r="M75" s="294"/>
      <c r="N75" s="1692"/>
      <c r="O75" s="1689"/>
    </row>
    <row r="76" spans="1:15" ht="14.25" customHeight="1" x14ac:dyDescent="0.2">
      <c r="A76" s="509"/>
      <c r="B76" s="510"/>
      <c r="C76" s="36" t="s">
        <v>7</v>
      </c>
      <c r="D76" s="1527" t="s">
        <v>355</v>
      </c>
      <c r="E76" s="117" t="s">
        <v>47</v>
      </c>
      <c r="F76" s="817"/>
      <c r="G76" s="1329" t="s">
        <v>439</v>
      </c>
      <c r="H76" s="1329"/>
      <c r="I76" s="1329"/>
      <c r="J76" s="1331">
        <v>1000</v>
      </c>
      <c r="K76" s="1656" t="s">
        <v>330</v>
      </c>
      <c r="L76" s="854">
        <v>60</v>
      </c>
      <c r="M76" s="1147">
        <v>60</v>
      </c>
      <c r="N76" s="1119" t="s">
        <v>451</v>
      </c>
      <c r="O76" s="316"/>
    </row>
    <row r="77" spans="1:15" ht="15" customHeight="1" x14ac:dyDescent="0.2">
      <c r="A77" s="1056"/>
      <c r="B77" s="1061"/>
      <c r="C77" s="36"/>
      <c r="D77" s="1528"/>
      <c r="E77" s="998"/>
      <c r="F77" s="1057"/>
      <c r="G77" s="1313" t="s">
        <v>438</v>
      </c>
      <c r="H77" s="1313"/>
      <c r="I77" s="1313"/>
      <c r="J77" s="1309">
        <v>403.6</v>
      </c>
      <c r="K77" s="1657"/>
      <c r="L77" s="854"/>
      <c r="M77" s="1147"/>
      <c r="N77" s="1149"/>
      <c r="O77" s="316"/>
    </row>
    <row r="78" spans="1:15" ht="15" customHeight="1" x14ac:dyDescent="0.2">
      <c r="A78" s="1259"/>
      <c r="B78" s="1268"/>
      <c r="C78" s="1265"/>
      <c r="D78" s="1528"/>
      <c r="E78" s="998"/>
      <c r="F78" s="1254"/>
      <c r="G78" s="1313" t="s">
        <v>437</v>
      </c>
      <c r="H78" s="1313"/>
      <c r="I78" s="1313"/>
      <c r="J78" s="1309">
        <v>352.5</v>
      </c>
      <c r="K78" s="1251"/>
      <c r="L78" s="854"/>
      <c r="M78" s="1147"/>
      <c r="N78" s="1149"/>
      <c r="O78" s="316"/>
    </row>
    <row r="79" spans="1:15" ht="15" customHeight="1" x14ac:dyDescent="0.2">
      <c r="A79" s="509"/>
      <c r="B79" s="510"/>
      <c r="C79" s="513"/>
      <c r="D79" s="1696"/>
      <c r="E79" s="717"/>
      <c r="F79" s="817"/>
      <c r="G79" s="1337" t="s">
        <v>440</v>
      </c>
      <c r="H79" s="1315"/>
      <c r="I79" s="1315"/>
      <c r="J79" s="1312">
        <v>1533.9</v>
      </c>
      <c r="K79" s="1046"/>
      <c r="L79" s="980"/>
      <c r="M79" s="980"/>
      <c r="N79" s="1076"/>
      <c r="O79" s="1077"/>
    </row>
    <row r="80" spans="1:15" ht="15.75" customHeight="1" thickBot="1" x14ac:dyDescent="0.25">
      <c r="A80" s="68"/>
      <c r="B80" s="578"/>
      <c r="C80" s="97"/>
      <c r="D80" s="589"/>
      <c r="E80" s="590"/>
      <c r="F80" s="591"/>
      <c r="G80" s="146" t="s">
        <v>6</v>
      </c>
      <c r="H80" s="146">
        <f>SUM(H68:H79)</f>
        <v>3740</v>
      </c>
      <c r="I80" s="146">
        <f>SUM(I68:I79)</f>
        <v>3310</v>
      </c>
      <c r="J80" s="338">
        <f>J68+J69+J70+J72</f>
        <v>3291.8</v>
      </c>
      <c r="K80" s="592"/>
      <c r="L80" s="593"/>
      <c r="M80" s="864"/>
      <c r="N80" s="864"/>
      <c r="O80" s="1011"/>
    </row>
    <row r="81" spans="1:53" ht="30" customHeight="1" x14ac:dyDescent="0.2">
      <c r="A81" s="509" t="s">
        <v>5</v>
      </c>
      <c r="B81" s="510" t="s">
        <v>5</v>
      </c>
      <c r="C81" s="99" t="s">
        <v>35</v>
      </c>
      <c r="D81" s="222" t="s">
        <v>74</v>
      </c>
      <c r="E81" s="381" t="s">
        <v>94</v>
      </c>
      <c r="F81" s="512" t="s">
        <v>43</v>
      </c>
      <c r="G81" s="76"/>
      <c r="H81" s="69"/>
      <c r="I81" s="69"/>
      <c r="J81" s="69"/>
      <c r="K81" s="63"/>
      <c r="L81" s="7"/>
      <c r="M81" s="52"/>
      <c r="N81" s="1148"/>
      <c r="O81" s="1013"/>
    </row>
    <row r="82" spans="1:53" ht="12.95" customHeight="1" x14ac:dyDescent="0.2">
      <c r="A82" s="509"/>
      <c r="B82" s="510"/>
      <c r="C82" s="36" t="s">
        <v>5</v>
      </c>
      <c r="D82" s="1527" t="s">
        <v>172</v>
      </c>
      <c r="E82" s="536" t="s">
        <v>47</v>
      </c>
      <c r="F82" s="516"/>
      <c r="G82" s="264" t="s">
        <v>25</v>
      </c>
      <c r="H82" s="54">
        <v>50</v>
      </c>
      <c r="I82" s="54">
        <v>70.5</v>
      </c>
      <c r="J82" s="54">
        <v>70.5</v>
      </c>
      <c r="K82" s="1014" t="s">
        <v>46</v>
      </c>
      <c r="L82" s="426"/>
      <c r="M82" s="427"/>
      <c r="N82" s="1693" t="s">
        <v>459</v>
      </c>
      <c r="O82" s="1077"/>
    </row>
    <row r="83" spans="1:53" ht="12.95" customHeight="1" x14ac:dyDescent="0.2">
      <c r="A83" s="923"/>
      <c r="B83" s="948"/>
      <c r="C83" s="207"/>
      <c r="D83" s="1528"/>
      <c r="E83" s="536"/>
      <c r="F83" s="942"/>
      <c r="G83" s="64" t="s">
        <v>62</v>
      </c>
      <c r="H83" s="139"/>
      <c r="I83" s="139">
        <v>219.3</v>
      </c>
      <c r="J83" s="62">
        <v>219.3</v>
      </c>
      <c r="K83" s="447"/>
      <c r="L83" s="426"/>
      <c r="M83" s="427"/>
      <c r="N83" s="1517"/>
      <c r="O83" s="1077"/>
    </row>
    <row r="84" spans="1:53" ht="17.25" customHeight="1" x14ac:dyDescent="0.2">
      <c r="A84" s="923"/>
      <c r="B84" s="948"/>
      <c r="C84" s="298"/>
      <c r="D84" s="1528"/>
      <c r="E84" s="536"/>
      <c r="F84" s="942"/>
      <c r="G84" s="57" t="s">
        <v>104</v>
      </c>
      <c r="H84" s="140"/>
      <c r="I84" s="140">
        <v>1.1000000000000001</v>
      </c>
      <c r="J84" s="61">
        <v>1.1000000000000001</v>
      </c>
      <c r="K84" s="447"/>
      <c r="L84" s="426"/>
      <c r="M84" s="427"/>
      <c r="N84" s="1522"/>
      <c r="O84" s="1077"/>
    </row>
    <row r="85" spans="1:53" ht="15" customHeight="1" x14ac:dyDescent="0.2">
      <c r="A85" s="509"/>
      <c r="B85" s="510"/>
      <c r="C85" s="343" t="s">
        <v>7</v>
      </c>
      <c r="D85" s="1643" t="s">
        <v>307</v>
      </c>
      <c r="E85" s="536" t="s">
        <v>47</v>
      </c>
      <c r="F85" s="498"/>
      <c r="G85" s="64" t="s">
        <v>45</v>
      </c>
      <c r="H85" s="62">
        <v>30</v>
      </c>
      <c r="I85" s="62">
        <v>30</v>
      </c>
      <c r="J85" s="62">
        <v>0</v>
      </c>
      <c r="K85" s="1150" t="s">
        <v>162</v>
      </c>
      <c r="L85" s="1151">
        <v>1</v>
      </c>
      <c r="M85" s="1152">
        <v>0</v>
      </c>
      <c r="N85" s="1654"/>
      <c r="O85" s="1654" t="s">
        <v>460</v>
      </c>
    </row>
    <row r="86" spans="1:53" ht="26.25" customHeight="1" x14ac:dyDescent="0.2">
      <c r="A86" s="509"/>
      <c r="B86" s="510"/>
      <c r="C86" s="1073"/>
      <c r="D86" s="1644"/>
      <c r="E86" s="536"/>
      <c r="F86" s="498"/>
      <c r="G86" s="57"/>
      <c r="H86" s="61"/>
      <c r="I86" s="61"/>
      <c r="J86" s="61"/>
      <c r="K86" s="1153"/>
      <c r="L86" s="1154"/>
      <c r="M86" s="1155"/>
      <c r="N86" s="1655"/>
      <c r="O86" s="1655"/>
    </row>
    <row r="87" spans="1:53" ht="15.75" customHeight="1" thickBot="1" x14ac:dyDescent="0.25">
      <c r="A87" s="68"/>
      <c r="B87" s="578"/>
      <c r="C87" s="97"/>
      <c r="D87" s="589"/>
      <c r="E87" s="590"/>
      <c r="F87" s="591"/>
      <c r="G87" s="146" t="s">
        <v>6</v>
      </c>
      <c r="H87" s="146">
        <f>SUM(H82:H86)</f>
        <v>80</v>
      </c>
      <c r="I87" s="146">
        <f>SUM(I82:I86)</f>
        <v>320.89999999999998</v>
      </c>
      <c r="J87" s="146">
        <f>SUM(J82:J86)</f>
        <v>290.89999999999998</v>
      </c>
      <c r="K87" s="592"/>
      <c r="L87" s="593"/>
      <c r="M87" s="864"/>
      <c r="N87" s="864"/>
      <c r="O87" s="1011"/>
    </row>
    <row r="88" spans="1:53" ht="16.5" customHeight="1" x14ac:dyDescent="0.2">
      <c r="A88" s="509" t="s">
        <v>5</v>
      </c>
      <c r="B88" s="510" t="s">
        <v>5</v>
      </c>
      <c r="C88" s="233" t="s">
        <v>36</v>
      </c>
      <c r="D88" s="1697" t="s">
        <v>310</v>
      </c>
      <c r="E88" s="340"/>
      <c r="F88" s="526" t="s">
        <v>43</v>
      </c>
      <c r="G88" s="191" t="s">
        <v>25</v>
      </c>
      <c r="H88" s="191">
        <v>28</v>
      </c>
      <c r="I88" s="191">
        <v>28</v>
      </c>
      <c r="J88" s="231">
        <v>27.8</v>
      </c>
      <c r="K88" s="325"/>
      <c r="L88" s="269"/>
      <c r="M88" s="627"/>
      <c r="N88" s="627"/>
      <c r="O88" s="599"/>
    </row>
    <row r="89" spans="1:53" ht="19.5" customHeight="1" x14ac:dyDescent="0.2">
      <c r="A89" s="509"/>
      <c r="B89" s="510"/>
      <c r="C89" s="233"/>
      <c r="D89" s="1429"/>
      <c r="E89" s="579"/>
      <c r="F89" s="577"/>
      <c r="G89" s="61" t="s">
        <v>105</v>
      </c>
      <c r="H89" s="61">
        <v>3</v>
      </c>
      <c r="I89" s="61"/>
      <c r="J89" s="159"/>
      <c r="K89" s="537"/>
      <c r="L89" s="20"/>
      <c r="M89" s="46"/>
      <c r="N89" s="46"/>
      <c r="O89" s="21"/>
    </row>
    <row r="90" spans="1:53" ht="11.25" customHeight="1" x14ac:dyDescent="0.2">
      <c r="A90" s="509"/>
      <c r="B90" s="510"/>
      <c r="C90" s="95"/>
      <c r="D90" s="387" t="s">
        <v>88</v>
      </c>
      <c r="E90" s="579"/>
      <c r="F90" s="577"/>
      <c r="G90" s="62"/>
      <c r="H90" s="62"/>
      <c r="I90" s="62"/>
      <c r="J90" s="101"/>
      <c r="K90" s="1694" t="s">
        <v>180</v>
      </c>
      <c r="L90" s="426">
        <v>100</v>
      </c>
      <c r="M90" s="436">
        <v>100</v>
      </c>
      <c r="N90" s="427"/>
      <c r="O90" s="597"/>
    </row>
    <row r="91" spans="1:53" ht="13.5" customHeight="1" x14ac:dyDescent="0.2">
      <c r="A91" s="509"/>
      <c r="B91" s="510"/>
      <c r="C91" s="95"/>
      <c r="D91" s="154"/>
      <c r="E91" s="579"/>
      <c r="F91" s="577"/>
      <c r="G91" s="62"/>
      <c r="H91" s="62"/>
      <c r="I91" s="62"/>
      <c r="J91" s="101"/>
      <c r="K91" s="1694"/>
      <c r="L91" s="426"/>
      <c r="M91" s="436"/>
      <c r="N91" s="426"/>
      <c r="O91" s="434"/>
    </row>
    <row r="92" spans="1:53" s="9" customFormat="1" ht="49.5" customHeight="1" x14ac:dyDescent="0.2">
      <c r="A92" s="509"/>
      <c r="B92" s="510"/>
      <c r="C92" s="513"/>
      <c r="D92" s="466" t="s">
        <v>80</v>
      </c>
      <c r="E92" s="255"/>
      <c r="F92" s="512"/>
      <c r="G92" s="182"/>
      <c r="H92" s="332"/>
      <c r="I92" s="332"/>
      <c r="J92" s="331"/>
      <c r="K92" s="1695"/>
      <c r="L92" s="415"/>
      <c r="M92" s="658"/>
      <c r="N92" s="415"/>
      <c r="O92" s="416"/>
      <c r="P92" s="732"/>
      <c r="Q92" s="732"/>
      <c r="R92" s="732"/>
      <c r="S92" s="732"/>
      <c r="T92" s="732"/>
      <c r="U92" s="732"/>
      <c r="V92" s="732"/>
      <c r="W92" s="732"/>
      <c r="X92" s="732"/>
      <c r="Y92" s="732"/>
      <c r="Z92" s="732"/>
      <c r="AA92" s="732"/>
      <c r="AB92" s="732"/>
      <c r="AC92" s="732"/>
      <c r="AD92" s="732"/>
      <c r="AE92" s="732"/>
      <c r="AF92" s="732"/>
      <c r="AG92" s="732"/>
      <c r="AH92" s="732"/>
      <c r="AI92" s="732"/>
      <c r="AJ92" s="732"/>
      <c r="AK92" s="732"/>
      <c r="AL92" s="732"/>
      <c r="AM92" s="732"/>
      <c r="AN92" s="732"/>
      <c r="AO92" s="732"/>
      <c r="AP92" s="732"/>
      <c r="AQ92" s="732"/>
      <c r="AR92" s="732"/>
      <c r="AS92" s="732"/>
      <c r="AT92" s="732"/>
      <c r="AU92" s="732"/>
      <c r="AV92" s="732"/>
      <c r="AW92" s="732"/>
      <c r="AX92" s="732"/>
      <c r="AY92" s="732"/>
      <c r="AZ92" s="732"/>
      <c r="BA92" s="732"/>
    </row>
    <row r="93" spans="1:53" ht="15" customHeight="1" thickBot="1" x14ac:dyDescent="0.25">
      <c r="A93" s="529"/>
      <c r="B93" s="266"/>
      <c r="C93" s="527"/>
      <c r="D93" s="598"/>
      <c r="E93" s="590"/>
      <c r="F93" s="591"/>
      <c r="G93" s="91" t="s">
        <v>6</v>
      </c>
      <c r="H93" s="146">
        <f t="shared" ref="H93" si="0">SUM(H88:H92)</f>
        <v>31</v>
      </c>
      <c r="I93" s="146">
        <f t="shared" ref="I93:J93" si="1">SUM(I88:I92)</f>
        <v>28</v>
      </c>
      <c r="J93" s="190">
        <f t="shared" si="1"/>
        <v>27.8</v>
      </c>
      <c r="K93" s="592"/>
      <c r="L93" s="593"/>
      <c r="M93" s="864"/>
      <c r="N93" s="593"/>
      <c r="O93" s="871"/>
    </row>
    <row r="94" spans="1:53" ht="14.25" customHeight="1" thickBot="1" x14ac:dyDescent="0.25">
      <c r="A94" s="78" t="s">
        <v>5</v>
      </c>
      <c r="B94" s="268" t="s">
        <v>5</v>
      </c>
      <c r="C94" s="1553" t="s">
        <v>8</v>
      </c>
      <c r="D94" s="1491"/>
      <c r="E94" s="1491"/>
      <c r="F94" s="1491"/>
      <c r="G94" s="1447"/>
      <c r="H94" s="149">
        <f>H93+H87+H80+H67+H59+H40+H26</f>
        <v>12502.7</v>
      </c>
      <c r="I94" s="149">
        <f>I93+I87+I80+I67+I59+I40+I26</f>
        <v>12619.6</v>
      </c>
      <c r="J94" s="149">
        <f>J93+J87+J80+J67+J59+J40+J26</f>
        <v>10904.5</v>
      </c>
      <c r="K94" s="514"/>
      <c r="L94" s="856"/>
      <c r="M94" s="856"/>
      <c r="N94" s="856"/>
      <c r="O94" s="81"/>
    </row>
    <row r="95" spans="1:53" ht="19.5" customHeight="1" thickBot="1" x14ac:dyDescent="0.25">
      <c r="A95" s="78" t="s">
        <v>5</v>
      </c>
      <c r="B95" s="268" t="s">
        <v>7</v>
      </c>
      <c r="C95" s="1664" t="s">
        <v>32</v>
      </c>
      <c r="D95" s="1664"/>
      <c r="E95" s="1664"/>
      <c r="F95" s="1664"/>
      <c r="G95" s="1664"/>
      <c r="H95" s="1665"/>
      <c r="I95" s="1665"/>
      <c r="J95" s="1665"/>
      <c r="K95" s="1664"/>
      <c r="L95" s="1439"/>
      <c r="M95" s="1439"/>
      <c r="N95" s="1439"/>
      <c r="O95" s="1666"/>
    </row>
    <row r="96" spans="1:53" ht="12.75" customHeight="1" x14ac:dyDescent="0.2">
      <c r="A96" s="696" t="s">
        <v>5</v>
      </c>
      <c r="B96" s="267" t="s">
        <v>7</v>
      </c>
      <c r="C96" s="704" t="s">
        <v>5</v>
      </c>
      <c r="D96" s="234" t="s">
        <v>57</v>
      </c>
      <c r="E96" s="1668" t="s">
        <v>120</v>
      </c>
      <c r="F96" s="602">
        <v>6</v>
      </c>
      <c r="G96" s="191" t="s">
        <v>25</v>
      </c>
      <c r="H96" s="191">
        <v>3973.2</v>
      </c>
      <c r="I96" s="191">
        <v>2416.6999999999998</v>
      </c>
      <c r="J96" s="191">
        <v>2397.3000000000002</v>
      </c>
      <c r="K96" s="547"/>
      <c r="L96" s="548"/>
      <c r="M96" s="659"/>
      <c r="N96" s="548"/>
      <c r="O96" s="549"/>
    </row>
    <row r="97" spans="1:17" ht="12.75" customHeight="1" x14ac:dyDescent="0.2">
      <c r="A97" s="693"/>
      <c r="B97" s="699"/>
      <c r="C97" s="692"/>
      <c r="D97" s="341"/>
      <c r="E97" s="1576"/>
      <c r="F97" s="698"/>
      <c r="G97" s="62" t="s">
        <v>70</v>
      </c>
      <c r="H97" s="62">
        <f>547.4</f>
        <v>547.4</v>
      </c>
      <c r="I97" s="62">
        <f>547.4</f>
        <v>547.4</v>
      </c>
      <c r="J97" s="62">
        <v>268.10000000000002</v>
      </c>
      <c r="K97" s="179"/>
      <c r="L97" s="177"/>
      <c r="M97" s="506"/>
      <c r="N97" s="177"/>
      <c r="O97" s="226"/>
    </row>
    <row r="98" spans="1:17" ht="12.75" customHeight="1" x14ac:dyDescent="0.2">
      <c r="A98" s="693"/>
      <c r="B98" s="699"/>
      <c r="C98" s="692"/>
      <c r="D98" s="341"/>
      <c r="E98" s="1576"/>
      <c r="F98" s="698"/>
      <c r="G98" s="62" t="s">
        <v>77</v>
      </c>
      <c r="H98" s="62">
        <f>216.1</f>
        <v>216.1</v>
      </c>
      <c r="I98" s="62">
        <f>216.1</f>
        <v>216.1</v>
      </c>
      <c r="J98" s="62">
        <v>201.3</v>
      </c>
      <c r="K98" s="179"/>
      <c r="L98" s="177"/>
      <c r="M98" s="506"/>
      <c r="N98" s="177"/>
      <c r="O98" s="226"/>
    </row>
    <row r="99" spans="1:17" ht="12.75" customHeight="1" x14ac:dyDescent="0.2">
      <c r="A99" s="693"/>
      <c r="B99" s="699"/>
      <c r="C99" s="36"/>
      <c r="D99" s="342"/>
      <c r="E99" s="550"/>
      <c r="F99" s="1057"/>
      <c r="G99" s="61" t="s">
        <v>62</v>
      </c>
      <c r="H99" s="61">
        <v>1150</v>
      </c>
      <c r="I99" s="61">
        <f>1150+1556.5</f>
        <v>2706.5</v>
      </c>
      <c r="J99" s="88">
        <v>2694.8</v>
      </c>
      <c r="K99" s="214"/>
      <c r="L99" s="213"/>
      <c r="M99" s="507"/>
      <c r="N99" s="213"/>
      <c r="O99" s="215"/>
    </row>
    <row r="100" spans="1:17" ht="14.25" customHeight="1" x14ac:dyDescent="0.2">
      <c r="A100" s="693"/>
      <c r="B100" s="699"/>
      <c r="C100" s="343" t="s">
        <v>5</v>
      </c>
      <c r="D100" s="694" t="s">
        <v>52</v>
      </c>
      <c r="E100" s="706"/>
      <c r="F100" s="1070"/>
      <c r="G100" s="1161"/>
      <c r="H100" s="551"/>
      <c r="I100" s="1159"/>
      <c r="J100" s="1039"/>
      <c r="K100" s="603"/>
      <c r="L100" s="604"/>
      <c r="M100" s="1216"/>
      <c r="N100" s="174"/>
      <c r="O100" s="880"/>
    </row>
    <row r="101" spans="1:17" ht="15.75" customHeight="1" x14ac:dyDescent="0.2">
      <c r="A101" s="693"/>
      <c r="B101" s="699"/>
      <c r="C101" s="36"/>
      <c r="D101" s="1667" t="s">
        <v>81</v>
      </c>
      <c r="E101" s="706"/>
      <c r="F101" s="1057"/>
      <c r="G101" s="1162"/>
      <c r="H101" s="62"/>
      <c r="I101" s="1160"/>
      <c r="J101" s="139"/>
      <c r="K101" s="695" t="s">
        <v>41</v>
      </c>
      <c r="L101" s="239">
        <v>5.9</v>
      </c>
      <c r="M101" s="101">
        <f>(4448973+175891+139532+1784+338127)/1000000</f>
        <v>5.0999999999999996</v>
      </c>
      <c r="N101" s="1500" t="s">
        <v>461</v>
      </c>
      <c r="O101" s="60"/>
    </row>
    <row r="102" spans="1:17" ht="10.5" customHeight="1" x14ac:dyDescent="0.2">
      <c r="A102" s="693"/>
      <c r="B102" s="699"/>
      <c r="C102" s="36"/>
      <c r="D102" s="1667"/>
      <c r="E102" s="701"/>
      <c r="F102" s="1057"/>
      <c r="G102" s="1162"/>
      <c r="H102" s="62"/>
      <c r="I102" s="1160"/>
      <c r="J102" s="139"/>
      <c r="K102" s="703"/>
      <c r="L102" s="707"/>
      <c r="M102" s="304"/>
      <c r="N102" s="1517"/>
      <c r="O102" s="169"/>
    </row>
    <row r="103" spans="1:17" ht="14.25" customHeight="1" x14ac:dyDescent="0.2">
      <c r="A103" s="693"/>
      <c r="B103" s="699"/>
      <c r="C103" s="36"/>
      <c r="D103" s="236" t="s">
        <v>82</v>
      </c>
      <c r="E103" s="701"/>
      <c r="F103" s="1057"/>
      <c r="G103" s="1162"/>
      <c r="H103" s="62"/>
      <c r="I103" s="1160"/>
      <c r="J103" s="62"/>
      <c r="K103" s="87" t="s">
        <v>187</v>
      </c>
      <c r="L103" s="200">
        <v>3.7</v>
      </c>
      <c r="M103" s="660">
        <v>3.5</v>
      </c>
      <c r="N103" s="239"/>
      <c r="O103" s="60"/>
    </row>
    <row r="104" spans="1:17" ht="26.25" customHeight="1" x14ac:dyDescent="0.2">
      <c r="A104" s="693"/>
      <c r="B104" s="699"/>
      <c r="C104" s="36"/>
      <c r="D104" s="282" t="s">
        <v>83</v>
      </c>
      <c r="E104" s="700"/>
      <c r="F104" s="1057"/>
      <c r="G104" s="1163"/>
      <c r="H104" s="62"/>
      <c r="I104" s="62"/>
      <c r="J104" s="62"/>
      <c r="K104" s="703" t="s">
        <v>188</v>
      </c>
      <c r="L104" s="344">
        <v>26.7</v>
      </c>
      <c r="M104" s="1215">
        <v>20</v>
      </c>
      <c r="N104" s="239"/>
      <c r="O104" s="60"/>
    </row>
    <row r="105" spans="1:17" ht="24.75" customHeight="1" x14ac:dyDescent="0.2">
      <c r="A105" s="693"/>
      <c r="B105" s="699"/>
      <c r="C105" s="36"/>
      <c r="D105" s="1428" t="s">
        <v>173</v>
      </c>
      <c r="E105" s="701"/>
      <c r="F105" s="1057"/>
      <c r="G105" s="478"/>
      <c r="H105" s="62"/>
      <c r="I105" s="62"/>
      <c r="J105" s="62"/>
      <c r="K105" s="1430" t="s">
        <v>358</v>
      </c>
      <c r="L105" s="365" t="s">
        <v>43</v>
      </c>
      <c r="M105" s="365" t="s">
        <v>43</v>
      </c>
      <c r="N105" s="36"/>
      <c r="O105" s="169"/>
    </row>
    <row r="106" spans="1:17" ht="78.75" customHeight="1" x14ac:dyDescent="0.2">
      <c r="A106" s="693"/>
      <c r="B106" s="699"/>
      <c r="C106" s="36"/>
      <c r="D106" s="1429"/>
      <c r="E106" s="706"/>
      <c r="F106" s="692"/>
      <c r="G106" s="88"/>
      <c r="H106" s="61"/>
      <c r="I106" s="61"/>
      <c r="J106" s="61"/>
      <c r="K106" s="1431"/>
      <c r="L106" s="1214"/>
      <c r="M106" s="1214"/>
      <c r="N106" s="36"/>
      <c r="O106" s="169"/>
      <c r="Q106" s="733"/>
    </row>
    <row r="107" spans="1:17" ht="14.25" customHeight="1" x14ac:dyDescent="0.2">
      <c r="A107" s="693"/>
      <c r="B107" s="699"/>
      <c r="C107" s="343" t="s">
        <v>7</v>
      </c>
      <c r="D107" s="278" t="s">
        <v>208</v>
      </c>
      <c r="E107" s="706"/>
      <c r="F107" s="692"/>
      <c r="G107" s="84"/>
      <c r="H107" s="176"/>
      <c r="I107" s="176"/>
      <c r="J107" s="62"/>
      <c r="K107" s="932"/>
      <c r="L107" s="36"/>
      <c r="M107" s="207"/>
      <c r="N107" s="36"/>
      <c r="O107" s="226"/>
    </row>
    <row r="108" spans="1:17" ht="52.5" customHeight="1" x14ac:dyDescent="0.2">
      <c r="A108" s="693"/>
      <c r="B108" s="699"/>
      <c r="C108" s="36"/>
      <c r="D108" s="279" t="s">
        <v>209</v>
      </c>
      <c r="E108" s="706"/>
      <c r="F108" s="692"/>
      <c r="G108" s="85"/>
      <c r="H108" s="62"/>
      <c r="I108" s="62"/>
      <c r="J108" s="62"/>
      <c r="K108" s="43" t="s">
        <v>203</v>
      </c>
      <c r="L108" s="302">
        <v>21</v>
      </c>
      <c r="M108" s="302">
        <v>35</v>
      </c>
      <c r="N108" s="874"/>
      <c r="O108" s="169"/>
    </row>
    <row r="109" spans="1:17" ht="22.5" customHeight="1" x14ac:dyDescent="0.2">
      <c r="A109" s="693"/>
      <c r="B109" s="699"/>
      <c r="C109" s="36"/>
      <c r="D109" s="1671" t="s">
        <v>210</v>
      </c>
      <c r="E109" s="706"/>
      <c r="F109" s="692"/>
      <c r="G109" s="85"/>
      <c r="H109" s="62"/>
      <c r="I109" s="62"/>
      <c r="J109" s="62"/>
      <c r="K109" s="1672" t="s">
        <v>311</v>
      </c>
      <c r="L109" s="301">
        <v>12</v>
      </c>
      <c r="M109" s="301">
        <v>12</v>
      </c>
      <c r="N109" s="874"/>
      <c r="O109" s="169"/>
    </row>
    <row r="110" spans="1:17" ht="21" customHeight="1" x14ac:dyDescent="0.2">
      <c r="A110" s="693"/>
      <c r="B110" s="699"/>
      <c r="C110" s="298"/>
      <c r="D110" s="1646"/>
      <c r="E110" s="706"/>
      <c r="F110" s="692"/>
      <c r="G110" s="88"/>
      <c r="H110" s="61"/>
      <c r="I110" s="61"/>
      <c r="J110" s="61"/>
      <c r="K110" s="1673"/>
      <c r="L110" s="298"/>
      <c r="M110" s="299"/>
      <c r="N110" s="36"/>
      <c r="O110" s="169"/>
    </row>
    <row r="111" spans="1:17" ht="18" customHeight="1" x14ac:dyDescent="0.2">
      <c r="A111" s="1432"/>
      <c r="B111" s="1492"/>
      <c r="C111" s="1493" t="s">
        <v>28</v>
      </c>
      <c r="D111" s="1569" t="s">
        <v>42</v>
      </c>
      <c r="E111" s="1594"/>
      <c r="F111" s="1588"/>
      <c r="G111" s="85"/>
      <c r="H111" s="62"/>
      <c r="I111" s="62"/>
      <c r="J111" s="62"/>
      <c r="K111" s="1462" t="s">
        <v>54</v>
      </c>
      <c r="L111" s="1589">
        <v>7</v>
      </c>
      <c r="M111" s="1068">
        <v>7</v>
      </c>
      <c r="N111" s="855"/>
      <c r="O111" s="1669"/>
    </row>
    <row r="112" spans="1:17" ht="12.75" customHeight="1" x14ac:dyDescent="0.2">
      <c r="A112" s="1432"/>
      <c r="B112" s="1492"/>
      <c r="C112" s="1495"/>
      <c r="D112" s="1570"/>
      <c r="E112" s="1594"/>
      <c r="F112" s="1588"/>
      <c r="G112" s="85"/>
      <c r="H112" s="62"/>
      <c r="I112" s="62"/>
      <c r="J112" s="62"/>
      <c r="K112" s="1509"/>
      <c r="L112" s="1590"/>
      <c r="M112" s="46"/>
      <c r="N112" s="855"/>
      <c r="O112" s="1669"/>
    </row>
    <row r="113" spans="1:15" ht="18" customHeight="1" x14ac:dyDescent="0.2">
      <c r="A113" s="1432"/>
      <c r="B113" s="1591"/>
      <c r="C113" s="1493" t="s">
        <v>33</v>
      </c>
      <c r="D113" s="1592" t="s">
        <v>176</v>
      </c>
      <c r="E113" s="1595"/>
      <c r="F113" s="1588"/>
      <c r="G113" s="89"/>
      <c r="H113" s="54"/>
      <c r="I113" s="54"/>
      <c r="J113" s="54"/>
      <c r="K113" s="251" t="s">
        <v>265</v>
      </c>
      <c r="L113" s="26"/>
      <c r="M113" s="678"/>
      <c r="N113" s="855"/>
      <c r="O113" s="169"/>
    </row>
    <row r="114" spans="1:15" ht="16.5" customHeight="1" x14ac:dyDescent="0.2">
      <c r="A114" s="1432"/>
      <c r="B114" s="1591"/>
      <c r="C114" s="1494"/>
      <c r="D114" s="1507"/>
      <c r="E114" s="1596"/>
      <c r="F114" s="1588"/>
      <c r="G114" s="1338"/>
      <c r="H114" s="1321"/>
      <c r="I114" s="1321"/>
      <c r="J114" s="1321"/>
      <c r="K114" s="87" t="s">
        <v>305</v>
      </c>
      <c r="L114" s="31">
        <v>1</v>
      </c>
      <c r="M114" s="413">
        <v>1</v>
      </c>
      <c r="N114" s="855"/>
      <c r="O114" s="169"/>
    </row>
    <row r="115" spans="1:15" ht="25.5" customHeight="1" x14ac:dyDescent="0.2">
      <c r="A115" s="1432"/>
      <c r="B115" s="1591"/>
      <c r="C115" s="1495"/>
      <c r="D115" s="1593"/>
      <c r="E115" s="1597"/>
      <c r="F115" s="1588"/>
      <c r="G115" s="1339"/>
      <c r="H115" s="1335"/>
      <c r="I115" s="1335"/>
      <c r="J115" s="1335"/>
      <c r="K115" s="1093" t="s">
        <v>202</v>
      </c>
      <c r="L115" s="1359">
        <v>1</v>
      </c>
      <c r="M115" s="555">
        <v>1</v>
      </c>
      <c r="N115" s="1354"/>
      <c r="O115" s="168"/>
    </row>
    <row r="116" spans="1:15" ht="17.25" customHeight="1" x14ac:dyDescent="0.2">
      <c r="A116" s="1432"/>
      <c r="B116" s="1591"/>
      <c r="C116" s="1493" t="s">
        <v>34</v>
      </c>
      <c r="D116" s="1670" t="s">
        <v>171</v>
      </c>
      <c r="E116" s="1594" t="s">
        <v>47</v>
      </c>
      <c r="F116" s="1588"/>
      <c r="G116" s="1324" t="s">
        <v>444</v>
      </c>
      <c r="H116" s="1313"/>
      <c r="I116" s="1313"/>
      <c r="J116" s="1309">
        <v>251.2</v>
      </c>
      <c r="K116" s="1355" t="s">
        <v>264</v>
      </c>
      <c r="L116" s="1356">
        <v>125</v>
      </c>
      <c r="M116" s="1358">
        <v>213</v>
      </c>
      <c r="N116" s="1356"/>
      <c r="O116" s="1676" t="s">
        <v>483</v>
      </c>
    </row>
    <row r="117" spans="1:15" ht="85.5" customHeight="1" x14ac:dyDescent="0.2">
      <c r="A117" s="1432"/>
      <c r="B117" s="1591"/>
      <c r="C117" s="1495"/>
      <c r="D117" s="1670"/>
      <c r="E117" s="1594"/>
      <c r="F117" s="1588"/>
      <c r="G117" s="1324" t="s">
        <v>445</v>
      </c>
      <c r="H117" s="1313"/>
      <c r="I117" s="1313"/>
      <c r="J117" s="1313">
        <v>185.1</v>
      </c>
      <c r="K117" s="1357"/>
      <c r="L117" s="1356"/>
      <c r="M117" s="1358"/>
      <c r="N117" s="1356"/>
      <c r="O117" s="1677"/>
    </row>
    <row r="118" spans="1:15" ht="19.5" customHeight="1" x14ac:dyDescent="0.2">
      <c r="A118" s="702"/>
      <c r="B118" s="699"/>
      <c r="C118" s="1090" t="s">
        <v>35</v>
      </c>
      <c r="D118" s="1586" t="s">
        <v>431</v>
      </c>
      <c r="E118" s="203"/>
      <c r="F118" s="1062"/>
      <c r="G118" s="1340"/>
      <c r="H118" s="1341"/>
      <c r="I118" s="1341"/>
      <c r="J118" s="1341"/>
      <c r="K118" s="1237" t="s">
        <v>288</v>
      </c>
      <c r="L118" s="1238">
        <v>1</v>
      </c>
      <c r="M118" s="1239">
        <v>0</v>
      </c>
      <c r="N118" s="1238"/>
      <c r="O118" s="1658" t="s">
        <v>432</v>
      </c>
    </row>
    <row r="119" spans="1:15" ht="61.5" customHeight="1" x14ac:dyDescent="0.2">
      <c r="A119" s="702"/>
      <c r="B119" s="699"/>
      <c r="C119" s="1092"/>
      <c r="D119" s="1587"/>
      <c r="E119" s="123"/>
      <c r="F119" s="1062"/>
      <c r="G119" s="88"/>
      <c r="H119" s="61"/>
      <c r="I119" s="61"/>
      <c r="J119" s="61"/>
      <c r="K119" s="1240"/>
      <c r="L119" s="1241"/>
      <c r="M119" s="1242"/>
      <c r="N119" s="1241"/>
      <c r="O119" s="1659"/>
    </row>
    <row r="120" spans="1:15" ht="69" customHeight="1" x14ac:dyDescent="0.2">
      <c r="A120" s="702"/>
      <c r="B120" s="699"/>
      <c r="C120" s="1090" t="s">
        <v>36</v>
      </c>
      <c r="D120" s="1066" t="s">
        <v>158</v>
      </c>
      <c r="E120" s="840"/>
      <c r="F120" s="698"/>
      <c r="G120" s="632"/>
      <c r="H120" s="631"/>
      <c r="I120" s="631"/>
      <c r="J120" s="631"/>
      <c r="K120" s="180" t="s">
        <v>290</v>
      </c>
      <c r="L120" s="262">
        <v>6</v>
      </c>
      <c r="M120" s="1071">
        <v>5</v>
      </c>
      <c r="N120" s="1119" t="s">
        <v>462</v>
      </c>
      <c r="O120" s="169"/>
    </row>
    <row r="121" spans="1:15" ht="18" customHeight="1" thickBot="1" x14ac:dyDescent="0.25">
      <c r="A121" s="697"/>
      <c r="B121" s="266"/>
      <c r="C121" s="705"/>
      <c r="D121" s="600"/>
      <c r="E121" s="590"/>
      <c r="F121" s="591"/>
      <c r="G121" s="218" t="s">
        <v>6</v>
      </c>
      <c r="H121" s="146">
        <f>SUM(H96:H120)</f>
        <v>5886.7</v>
      </c>
      <c r="I121" s="146">
        <f>SUM(I96:I120)</f>
        <v>5886.7</v>
      </c>
      <c r="J121" s="146">
        <f>SUM(J96:J99)</f>
        <v>5561.5</v>
      </c>
      <c r="K121" s="592"/>
      <c r="L121" s="593"/>
      <c r="M121" s="864"/>
      <c r="N121" s="593"/>
      <c r="O121" s="871"/>
    </row>
    <row r="122" spans="1:15" ht="54.75" customHeight="1" x14ac:dyDescent="0.2">
      <c r="A122" s="582" t="s">
        <v>5</v>
      </c>
      <c r="B122" s="586" t="s">
        <v>7</v>
      </c>
      <c r="C122" s="580" t="s">
        <v>7</v>
      </c>
      <c r="D122" s="1179" t="s">
        <v>317</v>
      </c>
      <c r="E122" s="587" t="s">
        <v>47</v>
      </c>
      <c r="F122" s="585" t="s">
        <v>43</v>
      </c>
      <c r="G122" s="324" t="s">
        <v>70</v>
      </c>
      <c r="H122" s="191">
        <v>150</v>
      </c>
      <c r="I122" s="191">
        <v>150</v>
      </c>
      <c r="J122" s="327">
        <v>150</v>
      </c>
      <c r="K122" s="1181" t="s">
        <v>316</v>
      </c>
      <c r="L122" s="1182">
        <v>4</v>
      </c>
      <c r="M122" s="1183">
        <v>2</v>
      </c>
      <c r="N122" s="1209"/>
      <c r="O122" s="1209" t="s">
        <v>426</v>
      </c>
    </row>
    <row r="123" spans="1:15" ht="55.5" customHeight="1" x14ac:dyDescent="0.2">
      <c r="A123" s="314"/>
      <c r="B123" s="525"/>
      <c r="C123" s="532"/>
      <c r="D123" s="1180"/>
      <c r="E123" s="517"/>
      <c r="F123" s="516"/>
      <c r="G123" s="73" t="s">
        <v>25</v>
      </c>
      <c r="H123" s="73">
        <v>40</v>
      </c>
      <c r="I123" s="73">
        <v>40</v>
      </c>
      <c r="J123" s="185">
        <v>40</v>
      </c>
      <c r="K123" s="1184" t="s">
        <v>331</v>
      </c>
      <c r="L123" s="1096">
        <v>1</v>
      </c>
      <c r="M123" s="1097" t="s">
        <v>415</v>
      </c>
      <c r="N123" s="1096"/>
      <c r="O123" s="1185" t="s">
        <v>422</v>
      </c>
    </row>
    <row r="124" spans="1:15" ht="18" customHeight="1" thickBot="1" x14ac:dyDescent="0.25">
      <c r="A124" s="583"/>
      <c r="B124" s="266"/>
      <c r="C124" s="584"/>
      <c r="D124" s="600"/>
      <c r="E124" s="590"/>
      <c r="F124" s="591"/>
      <c r="G124" s="218" t="s">
        <v>6</v>
      </c>
      <c r="H124" s="146">
        <f>SUM(H122:H123)</f>
        <v>190</v>
      </c>
      <c r="I124" s="146">
        <f>SUM(I122:I123)</f>
        <v>190</v>
      </c>
      <c r="J124" s="146">
        <f>SUM(J122:J123)</f>
        <v>190</v>
      </c>
      <c r="K124" s="592"/>
      <c r="L124" s="593"/>
      <c r="M124" s="864"/>
      <c r="N124" s="593"/>
      <c r="O124" s="871"/>
    </row>
    <row r="125" spans="1:15" ht="17.25" customHeight="1" x14ac:dyDescent="0.2">
      <c r="A125" s="1579" t="s">
        <v>5</v>
      </c>
      <c r="B125" s="1581" t="s">
        <v>7</v>
      </c>
      <c r="C125" s="1550" t="s">
        <v>28</v>
      </c>
      <c r="D125" s="1584" t="s">
        <v>157</v>
      </c>
      <c r="E125" s="1563" t="s">
        <v>47</v>
      </c>
      <c r="F125" s="1550" t="s">
        <v>43</v>
      </c>
      <c r="G125" s="191" t="s">
        <v>25</v>
      </c>
      <c r="H125" s="191">
        <v>113</v>
      </c>
      <c r="I125" s="191">
        <v>113</v>
      </c>
      <c r="J125" s="191">
        <v>0</v>
      </c>
      <c r="K125" s="626" t="s">
        <v>318</v>
      </c>
      <c r="L125" s="269"/>
      <c r="M125" s="752"/>
      <c r="N125" s="1660" t="s">
        <v>463</v>
      </c>
      <c r="O125" s="193"/>
    </row>
    <row r="126" spans="1:15" ht="21" customHeight="1" x14ac:dyDescent="0.2">
      <c r="A126" s="1535"/>
      <c r="B126" s="1582"/>
      <c r="C126" s="1551"/>
      <c r="D126" s="1500"/>
      <c r="E126" s="1564"/>
      <c r="F126" s="1551"/>
      <c r="G126" s="61" t="s">
        <v>347</v>
      </c>
      <c r="H126" s="61">
        <v>640</v>
      </c>
      <c r="I126" s="61">
        <v>640</v>
      </c>
      <c r="J126" s="61">
        <v>0</v>
      </c>
      <c r="K126" s="625"/>
      <c r="L126" s="855"/>
      <c r="M126" s="292"/>
      <c r="N126" s="1517"/>
      <c r="O126" s="169"/>
    </row>
    <row r="127" spans="1:15" ht="18" customHeight="1" thickBot="1" x14ac:dyDescent="0.25">
      <c r="A127" s="1580"/>
      <c r="B127" s="1583"/>
      <c r="C127" s="1552"/>
      <c r="D127" s="1585"/>
      <c r="E127" s="1565"/>
      <c r="F127" s="1552"/>
      <c r="G127" s="91" t="s">
        <v>6</v>
      </c>
      <c r="H127" s="91">
        <f t="shared" ref="H127" si="2">SUM(H125:H126)</f>
        <v>753</v>
      </c>
      <c r="I127" s="91">
        <f t="shared" ref="I127:J127" si="3">SUM(I125:I126)</f>
        <v>753</v>
      </c>
      <c r="J127" s="91">
        <f t="shared" si="3"/>
        <v>0</v>
      </c>
      <c r="K127" s="247"/>
      <c r="L127" s="195"/>
      <c r="M127" s="662"/>
      <c r="N127" s="195"/>
      <c r="O127" s="194"/>
    </row>
    <row r="128" spans="1:15" ht="14.25" customHeight="1" thickBot="1" x14ac:dyDescent="0.25">
      <c r="A128" s="92" t="s">
        <v>5</v>
      </c>
      <c r="B128" s="268" t="s">
        <v>7</v>
      </c>
      <c r="C128" s="1553" t="s">
        <v>8</v>
      </c>
      <c r="D128" s="1491"/>
      <c r="E128" s="1491"/>
      <c r="F128" s="1491"/>
      <c r="G128" s="1447"/>
      <c r="H128" s="149">
        <f>H124+H121+H127</f>
        <v>6829.7</v>
      </c>
      <c r="I128" s="149">
        <f>I124+I121+I127</f>
        <v>6829.7</v>
      </c>
      <c r="J128" s="149">
        <f>J124+J121+J127</f>
        <v>5751.5</v>
      </c>
      <c r="K128" s="1449"/>
      <c r="L128" s="1449"/>
      <c r="M128" s="1449"/>
      <c r="N128" s="1449"/>
      <c r="O128" s="1450"/>
    </row>
    <row r="129" spans="1:15" ht="18" customHeight="1" thickBot="1" x14ac:dyDescent="0.25">
      <c r="A129" s="78" t="s">
        <v>5</v>
      </c>
      <c r="B129" s="268" t="s">
        <v>28</v>
      </c>
      <c r="C129" s="1439" t="s">
        <v>118</v>
      </c>
      <c r="D129" s="1440"/>
      <c r="E129" s="1440"/>
      <c r="F129" s="1440"/>
      <c r="G129" s="1440"/>
      <c r="H129" s="1440"/>
      <c r="I129" s="1440"/>
      <c r="J129" s="1440"/>
      <c r="K129" s="1440"/>
      <c r="L129" s="1440"/>
      <c r="M129" s="1440"/>
      <c r="N129" s="1440"/>
      <c r="O129" s="1441"/>
    </row>
    <row r="130" spans="1:15" ht="11.25" customHeight="1" thickBot="1" x14ac:dyDescent="0.25">
      <c r="A130" s="834" t="s">
        <v>5</v>
      </c>
      <c r="B130" s="267" t="s">
        <v>28</v>
      </c>
      <c r="C130" s="839" t="s">
        <v>5</v>
      </c>
      <c r="D130" s="1554" t="s">
        <v>114</v>
      </c>
      <c r="E130" s="122" t="s">
        <v>79</v>
      </c>
      <c r="F130" s="602">
        <v>6</v>
      </c>
      <c r="G130" s="191" t="s">
        <v>25</v>
      </c>
      <c r="H130" s="237">
        <v>306.10000000000002</v>
      </c>
      <c r="I130" s="191">
        <v>90.1</v>
      </c>
      <c r="J130" s="683">
        <v>90.1</v>
      </c>
      <c r="K130" s="325"/>
      <c r="L130" s="189"/>
      <c r="M130" s="237"/>
      <c r="N130" s="237"/>
      <c r="O130" s="238"/>
    </row>
    <row r="131" spans="1:15" ht="12.75" customHeight="1" x14ac:dyDescent="0.2">
      <c r="A131" s="833"/>
      <c r="B131" s="837"/>
      <c r="C131" s="832"/>
      <c r="D131" s="1503"/>
      <c r="E131" s="474"/>
      <c r="F131" s="835"/>
      <c r="G131" s="62" t="s">
        <v>70</v>
      </c>
      <c r="H131" s="38">
        <f>809</f>
        <v>809</v>
      </c>
      <c r="I131" s="62">
        <f>809</f>
        <v>809</v>
      </c>
      <c r="J131" s="101">
        <v>672.4</v>
      </c>
      <c r="K131" s="325"/>
      <c r="L131" s="189"/>
      <c r="M131" s="237"/>
      <c r="N131" s="237"/>
      <c r="O131" s="238"/>
    </row>
    <row r="132" spans="1:15" ht="12.75" customHeight="1" x14ac:dyDescent="0.2">
      <c r="A132" s="833"/>
      <c r="B132" s="837"/>
      <c r="C132" s="832"/>
      <c r="D132" s="1503"/>
      <c r="E132" s="474"/>
      <c r="F132" s="835"/>
      <c r="G132" s="62" t="s">
        <v>77</v>
      </c>
      <c r="H132" s="38">
        <v>8.6</v>
      </c>
      <c r="I132" s="62">
        <v>224.6</v>
      </c>
      <c r="J132" s="101">
        <v>179</v>
      </c>
      <c r="K132" s="1363"/>
      <c r="L132" s="239"/>
      <c r="M132" s="38"/>
      <c r="N132" s="38"/>
      <c r="O132" s="39"/>
    </row>
    <row r="133" spans="1:15" ht="12.75" customHeight="1" x14ac:dyDescent="0.2">
      <c r="A133" s="833"/>
      <c r="B133" s="837"/>
      <c r="C133" s="832"/>
      <c r="D133" s="552"/>
      <c r="E133" s="474"/>
      <c r="F133" s="835"/>
      <c r="G133" s="62" t="s">
        <v>62</v>
      </c>
      <c r="H133" s="38">
        <v>199</v>
      </c>
      <c r="I133" s="62">
        <f>49+150-16.7</f>
        <v>182.3</v>
      </c>
      <c r="J133" s="101">
        <v>115.1</v>
      </c>
      <c r="K133" s="1363"/>
      <c r="L133" s="239"/>
      <c r="M133" s="38"/>
      <c r="N133" s="38"/>
      <c r="O133" s="39"/>
    </row>
    <row r="134" spans="1:15" ht="15.75" customHeight="1" x14ac:dyDescent="0.2">
      <c r="A134" s="833"/>
      <c r="B134" s="837"/>
      <c r="C134" s="1073"/>
      <c r="D134" s="341"/>
      <c r="E134" s="474"/>
      <c r="F134" s="835"/>
      <c r="G134" s="61" t="s">
        <v>105</v>
      </c>
      <c r="H134" s="40">
        <v>250</v>
      </c>
      <c r="I134" s="61">
        <v>250</v>
      </c>
      <c r="J134" s="159">
        <v>250</v>
      </c>
      <c r="K134" s="1368"/>
      <c r="L134" s="41"/>
      <c r="M134" s="40"/>
      <c r="N134" s="40"/>
      <c r="O134" s="42"/>
    </row>
    <row r="135" spans="1:15" ht="13.5" customHeight="1" x14ac:dyDescent="0.2">
      <c r="A135" s="833"/>
      <c r="B135" s="837"/>
      <c r="C135" s="36" t="s">
        <v>5</v>
      </c>
      <c r="D135" s="1433" t="s">
        <v>112</v>
      </c>
      <c r="E135" s="1540" t="s">
        <v>78</v>
      </c>
      <c r="F135" s="838"/>
      <c r="G135" s="1170"/>
      <c r="H135" s="89"/>
      <c r="I135" s="1166"/>
      <c r="J135" s="1167"/>
      <c r="K135" s="1364" t="s">
        <v>119</v>
      </c>
      <c r="L135" s="239">
        <v>13.8</v>
      </c>
      <c r="M135" s="38">
        <v>13.8</v>
      </c>
      <c r="N135" s="38"/>
      <c r="O135" s="39"/>
    </row>
    <row r="136" spans="1:15" ht="14.25" customHeight="1" x14ac:dyDescent="0.2">
      <c r="A136" s="833"/>
      <c r="B136" s="837"/>
      <c r="C136" s="36"/>
      <c r="D136" s="1500"/>
      <c r="E136" s="1575"/>
      <c r="F136" s="838"/>
      <c r="G136" s="1171"/>
      <c r="H136" s="85"/>
      <c r="I136" s="1168"/>
      <c r="J136" s="1169"/>
      <c r="K136" s="1364" t="s">
        <v>38</v>
      </c>
      <c r="L136" s="1372">
        <v>67</v>
      </c>
      <c r="M136" s="1365">
        <v>67</v>
      </c>
      <c r="N136" s="1365"/>
      <c r="O136" s="1371"/>
    </row>
    <row r="137" spans="1:15" ht="29.25" customHeight="1" x14ac:dyDescent="0.2">
      <c r="A137" s="833"/>
      <c r="B137" s="837"/>
      <c r="C137" s="36"/>
      <c r="D137" s="1500"/>
      <c r="E137" s="1576"/>
      <c r="F137" s="838"/>
      <c r="G137" s="1171"/>
      <c r="H137" s="85"/>
      <c r="I137" s="1168"/>
      <c r="J137" s="1169"/>
      <c r="K137" s="229" t="s">
        <v>427</v>
      </c>
      <c r="L137" s="1164">
        <v>1.8</v>
      </c>
      <c r="M137" s="1165" t="s">
        <v>428</v>
      </c>
      <c r="N137" s="463" t="s">
        <v>464</v>
      </c>
      <c r="O137" s="39"/>
    </row>
    <row r="138" spans="1:15" ht="28.5" customHeight="1" x14ac:dyDescent="0.2">
      <c r="A138" s="833"/>
      <c r="B138" s="837"/>
      <c r="C138" s="36"/>
      <c r="D138" s="1500"/>
      <c r="E138" s="836"/>
      <c r="F138" s="838"/>
      <c r="G138" s="1171"/>
      <c r="H138" s="85"/>
      <c r="I138" s="1168"/>
      <c r="J138" s="1169"/>
      <c r="K138" s="244" t="s">
        <v>181</v>
      </c>
      <c r="L138" s="707">
        <v>100</v>
      </c>
      <c r="M138" s="339">
        <v>372</v>
      </c>
      <c r="N138" s="1218" t="s">
        <v>465</v>
      </c>
      <c r="O138" s="644"/>
    </row>
    <row r="139" spans="1:15" ht="77.25" customHeight="1" x14ac:dyDescent="0.2">
      <c r="A139" s="833"/>
      <c r="B139" s="837"/>
      <c r="C139" s="36"/>
      <c r="D139" s="1500"/>
      <c r="E139" s="836"/>
      <c r="F139" s="838"/>
      <c r="G139" s="62"/>
      <c r="H139" s="85"/>
      <c r="I139" s="62"/>
      <c r="J139" s="60"/>
      <c r="K139" s="1175" t="s">
        <v>339</v>
      </c>
      <c r="L139" s="1176">
        <v>4</v>
      </c>
      <c r="M139" s="1177">
        <v>0</v>
      </c>
      <c r="N139" s="1176"/>
      <c r="O139" s="1178" t="s">
        <v>466</v>
      </c>
    </row>
    <row r="140" spans="1:15" ht="17.25" customHeight="1" x14ac:dyDescent="0.2">
      <c r="A140" s="833"/>
      <c r="B140" s="837"/>
      <c r="C140" s="298"/>
      <c r="D140" s="1060"/>
      <c r="E140" s="836"/>
      <c r="F140" s="838"/>
      <c r="G140" s="56"/>
      <c r="H140" s="88"/>
      <c r="I140" s="61"/>
      <c r="J140" s="181"/>
      <c r="K140" s="223" t="s">
        <v>85</v>
      </c>
      <c r="L140" s="1370">
        <v>1</v>
      </c>
      <c r="M140" s="1369">
        <v>1</v>
      </c>
      <c r="N140" s="1362"/>
      <c r="O140" s="168"/>
    </row>
    <row r="141" spans="1:15" ht="15.75" customHeight="1" x14ac:dyDescent="0.2">
      <c r="A141" s="844"/>
      <c r="B141" s="846"/>
      <c r="C141" s="36" t="s">
        <v>7</v>
      </c>
      <c r="D141" s="1555" t="s">
        <v>121</v>
      </c>
      <c r="E141" s="148"/>
      <c r="F141" s="835"/>
      <c r="G141" s="204"/>
      <c r="H141" s="85"/>
      <c r="I141" s="62"/>
      <c r="J141" s="130"/>
      <c r="K141" s="1557" t="s">
        <v>325</v>
      </c>
      <c r="L141" s="1559">
        <v>14</v>
      </c>
      <c r="M141" s="1372">
        <v>15</v>
      </c>
      <c r="N141" s="1678" t="s">
        <v>467</v>
      </c>
      <c r="O141" s="1561"/>
    </row>
    <row r="142" spans="1:15" ht="76.5" customHeight="1" x14ac:dyDescent="0.2">
      <c r="A142" s="844"/>
      <c r="B142" s="846"/>
      <c r="C142" s="298"/>
      <c r="D142" s="1556"/>
      <c r="E142" s="831"/>
      <c r="F142" s="845"/>
      <c r="G142" s="61"/>
      <c r="H142" s="88"/>
      <c r="I142" s="61"/>
      <c r="J142" s="181"/>
      <c r="K142" s="1558"/>
      <c r="L142" s="1560"/>
      <c r="M142" s="875"/>
      <c r="N142" s="1522"/>
      <c r="O142" s="1562"/>
    </row>
    <row r="143" spans="1:15" ht="15.75" customHeight="1" x14ac:dyDescent="0.2">
      <c r="A143" s="509"/>
      <c r="B143" s="510"/>
      <c r="C143" s="36" t="s">
        <v>28</v>
      </c>
      <c r="D143" s="1570" t="s">
        <v>113</v>
      </c>
      <c r="E143" s="842" t="s">
        <v>47</v>
      </c>
      <c r="F143" s="706"/>
      <c r="G143" s="54"/>
      <c r="H143" s="85"/>
      <c r="I143" s="62"/>
      <c r="J143" s="60"/>
      <c r="K143" s="1366" t="s">
        <v>182</v>
      </c>
      <c r="L143" s="1047">
        <v>170</v>
      </c>
      <c r="M143" s="1048">
        <v>170</v>
      </c>
      <c r="N143" s="852"/>
      <c r="O143" s="1123"/>
    </row>
    <row r="144" spans="1:15" ht="15" customHeight="1" x14ac:dyDescent="0.2">
      <c r="A144" s="509"/>
      <c r="B144" s="510"/>
      <c r="C144" s="298"/>
      <c r="D144" s="1574"/>
      <c r="E144" s="843"/>
      <c r="F144" s="706"/>
      <c r="G144" s="61"/>
      <c r="H144" s="88"/>
      <c r="I144" s="61"/>
      <c r="J144" s="181"/>
      <c r="K144" s="1361"/>
      <c r="L144" s="1174"/>
      <c r="M144" s="879"/>
      <c r="N144" s="1219"/>
      <c r="O144" s="1220"/>
    </row>
    <row r="145" spans="1:15" ht="15" customHeight="1" x14ac:dyDescent="0.2">
      <c r="A145" s="520"/>
      <c r="B145" s="510"/>
      <c r="C145" s="1173" t="s">
        <v>33</v>
      </c>
      <c r="D145" s="1569" t="s">
        <v>200</v>
      </c>
      <c r="E145" s="841" t="s">
        <v>47</v>
      </c>
      <c r="F145" s="1057"/>
      <c r="G145" s="1161"/>
      <c r="H145" s="85"/>
      <c r="I145" s="62"/>
      <c r="J145" s="60"/>
      <c r="K145" s="1572" t="s">
        <v>178</v>
      </c>
      <c r="L145" s="672">
        <v>34</v>
      </c>
      <c r="M145" s="1233">
        <v>34</v>
      </c>
      <c r="N145" s="1661"/>
      <c r="O145" s="1679"/>
    </row>
    <row r="146" spans="1:15" ht="9" customHeight="1" x14ac:dyDescent="0.2">
      <c r="A146" s="1058"/>
      <c r="B146" s="1061"/>
      <c r="C146" s="1090"/>
      <c r="D146" s="1570"/>
      <c r="E146" s="1064"/>
      <c r="F146" s="90"/>
      <c r="G146" s="1172"/>
      <c r="H146" s="88"/>
      <c r="I146" s="61"/>
      <c r="J146" s="181"/>
      <c r="K146" s="1557"/>
      <c r="L146" s="202"/>
      <c r="M146" s="454"/>
      <c r="N146" s="1662"/>
      <c r="O146" s="1680"/>
    </row>
    <row r="147" spans="1:15" ht="15.75" customHeight="1" thickBot="1" x14ac:dyDescent="0.25">
      <c r="A147" s="68"/>
      <c r="B147" s="266"/>
      <c r="C147" s="1069"/>
      <c r="D147" s="1571"/>
      <c r="E147" s="590"/>
      <c r="F147" s="97"/>
      <c r="G147" s="146" t="s">
        <v>6</v>
      </c>
      <c r="H147" s="218">
        <f>SUM(H130:H146)</f>
        <v>1572.7</v>
      </c>
      <c r="I147" s="218">
        <f>SUM(I130:I146)</f>
        <v>1556</v>
      </c>
      <c r="J147" s="218">
        <f>SUM(J130:J146)</f>
        <v>1306.5999999999999</v>
      </c>
      <c r="K147" s="1573"/>
      <c r="L147" s="864"/>
      <c r="M147" s="593"/>
      <c r="N147" s="593"/>
      <c r="O147" s="871"/>
    </row>
    <row r="148" spans="1:15" ht="15" customHeight="1" x14ac:dyDescent="0.2">
      <c r="A148" s="1546" t="s">
        <v>5</v>
      </c>
      <c r="B148" s="1548" t="s">
        <v>28</v>
      </c>
      <c r="C148" s="1550" t="s">
        <v>7</v>
      </c>
      <c r="D148" s="1577" t="s">
        <v>302</v>
      </c>
      <c r="E148" s="1563" t="s">
        <v>361</v>
      </c>
      <c r="F148" s="1566" t="s">
        <v>56</v>
      </c>
      <c r="G148" s="98" t="s">
        <v>25</v>
      </c>
      <c r="H148" s="230">
        <v>112.6</v>
      </c>
      <c r="I148" s="230">
        <v>112.6</v>
      </c>
      <c r="J148" s="230">
        <v>103.9</v>
      </c>
      <c r="K148" s="219" t="s">
        <v>69</v>
      </c>
      <c r="L148" s="870">
        <v>18</v>
      </c>
      <c r="M148" s="265">
        <v>18</v>
      </c>
      <c r="N148" s="269"/>
      <c r="O148" s="872"/>
    </row>
    <row r="149" spans="1:15" ht="16.5" customHeight="1" x14ac:dyDescent="0.2">
      <c r="A149" s="1432"/>
      <c r="B149" s="1492"/>
      <c r="C149" s="1551"/>
      <c r="D149" s="1507"/>
      <c r="E149" s="1564"/>
      <c r="F149" s="1567"/>
      <c r="G149" s="73" t="s">
        <v>62</v>
      </c>
      <c r="H149" s="155">
        <v>93</v>
      </c>
      <c r="I149" s="155">
        <v>93</v>
      </c>
      <c r="J149" s="155">
        <v>86.9</v>
      </c>
      <c r="K149" s="1364" t="s">
        <v>86</v>
      </c>
      <c r="L149" s="1365">
        <v>7</v>
      </c>
      <c r="M149" s="1372">
        <v>7</v>
      </c>
      <c r="N149" s="1372"/>
      <c r="O149" s="1360"/>
    </row>
    <row r="150" spans="1:15" ht="15" customHeight="1" thickBot="1" x14ac:dyDescent="0.25">
      <c r="A150" s="1547"/>
      <c r="B150" s="1549"/>
      <c r="C150" s="1552"/>
      <c r="D150" s="1578"/>
      <c r="E150" s="1565"/>
      <c r="F150" s="1568"/>
      <c r="G150" s="91" t="s">
        <v>6</v>
      </c>
      <c r="H150" s="158">
        <f t="shared" ref="H150" si="4">SUM(H148:H149)</f>
        <v>205.6</v>
      </c>
      <c r="I150" s="158">
        <f t="shared" ref="I150:J150" si="5">SUM(I148:I149)</f>
        <v>205.6</v>
      </c>
      <c r="J150" s="218">
        <f t="shared" si="5"/>
        <v>190.8</v>
      </c>
      <c r="K150" s="1367"/>
      <c r="L150" s="192"/>
      <c r="M150" s="195"/>
      <c r="N150" s="195"/>
      <c r="O150" s="194"/>
    </row>
    <row r="151" spans="1:15" ht="11.45" customHeight="1" x14ac:dyDescent="0.2">
      <c r="A151" s="1271" t="s">
        <v>5</v>
      </c>
      <c r="B151" s="610" t="s">
        <v>28</v>
      </c>
      <c r="C151" s="1273" t="s">
        <v>28</v>
      </c>
      <c r="D151" s="1554" t="s">
        <v>221</v>
      </c>
      <c r="E151" s="122" t="s">
        <v>47</v>
      </c>
      <c r="F151" s="602">
        <v>5</v>
      </c>
      <c r="G151" s="191" t="s">
        <v>25</v>
      </c>
      <c r="H151" s="230">
        <v>197.1</v>
      </c>
      <c r="I151" s="230">
        <v>197.1</v>
      </c>
      <c r="J151" s="191">
        <v>15.8</v>
      </c>
      <c r="K151" s="1302"/>
      <c r="L151" s="237"/>
      <c r="M151" s="189"/>
      <c r="N151" s="189"/>
      <c r="O151" s="337"/>
    </row>
    <row r="152" spans="1:15" ht="11.45" customHeight="1" x14ac:dyDescent="0.2">
      <c r="A152" s="1272"/>
      <c r="B152" s="1282"/>
      <c r="C152" s="1274"/>
      <c r="D152" s="1674"/>
      <c r="E152" s="474"/>
      <c r="F152" s="1254"/>
      <c r="G152" s="62" t="s">
        <v>62</v>
      </c>
      <c r="H152" s="85">
        <v>150</v>
      </c>
      <c r="I152" s="85">
        <v>150</v>
      </c>
      <c r="J152" s="62">
        <v>32.6</v>
      </c>
      <c r="K152" s="617"/>
      <c r="L152" s="38"/>
      <c r="M152" s="239"/>
      <c r="N152" s="239"/>
      <c r="O152" s="60"/>
    </row>
    <row r="153" spans="1:15" ht="11.45" customHeight="1" x14ac:dyDescent="0.2">
      <c r="A153" s="1272"/>
      <c r="B153" s="1282"/>
      <c r="C153" s="1274"/>
      <c r="D153" s="1674"/>
      <c r="E153" s="474"/>
      <c r="F153" s="1254"/>
      <c r="G153" s="62" t="s">
        <v>347</v>
      </c>
      <c r="H153" s="85"/>
      <c r="I153" s="85"/>
      <c r="J153" s="62">
        <v>2.2000000000000002</v>
      </c>
      <c r="K153" s="617"/>
      <c r="L153" s="38"/>
      <c r="M153" s="239"/>
      <c r="N153" s="239"/>
      <c r="O153" s="60"/>
    </row>
    <row r="154" spans="1:15" ht="11.45" customHeight="1" x14ac:dyDescent="0.2">
      <c r="A154" s="1272"/>
      <c r="B154" s="1282"/>
      <c r="C154" s="1274"/>
      <c r="D154" s="1675"/>
      <c r="E154" s="1211"/>
      <c r="F154" s="1212"/>
      <c r="G154" s="61" t="s">
        <v>44</v>
      </c>
      <c r="H154" s="88">
        <v>579.5</v>
      </c>
      <c r="I154" s="88">
        <v>579.5</v>
      </c>
      <c r="J154" s="61">
        <v>359.1</v>
      </c>
      <c r="K154" s="617"/>
      <c r="L154" s="38"/>
      <c r="M154" s="239"/>
      <c r="N154" s="239"/>
      <c r="O154" s="60"/>
    </row>
    <row r="155" spans="1:15" ht="11.45" customHeight="1" x14ac:dyDescent="0.2">
      <c r="A155" s="1272"/>
      <c r="B155" s="1282"/>
      <c r="C155" s="1274"/>
      <c r="D155" s="1210"/>
      <c r="E155" s="474"/>
      <c r="F155" s="1290">
        <v>6</v>
      </c>
      <c r="G155" s="62" t="s">
        <v>77</v>
      </c>
      <c r="H155" s="89">
        <f>24.2+4</f>
        <v>28.2</v>
      </c>
      <c r="I155" s="89">
        <f>24.2+4</f>
        <v>28.2</v>
      </c>
      <c r="J155" s="54">
        <f>1.6+3.1</f>
        <v>4.7</v>
      </c>
      <c r="K155" s="617">
        <f>H148+H149</f>
        <v>205.6</v>
      </c>
      <c r="L155" s="38"/>
      <c r="M155" s="239"/>
      <c r="N155" s="239"/>
      <c r="O155" s="60"/>
    </row>
    <row r="156" spans="1:15" ht="11.45" customHeight="1" x14ac:dyDescent="0.2">
      <c r="A156" s="1272"/>
      <c r="B156" s="1282"/>
      <c r="C156" s="1291"/>
      <c r="D156" s="1210"/>
      <c r="E156" s="474"/>
      <c r="F156" s="1213"/>
      <c r="G156" s="61" t="s">
        <v>25</v>
      </c>
      <c r="H156" s="88"/>
      <c r="I156" s="88">
        <v>6</v>
      </c>
      <c r="J156" s="61"/>
      <c r="K156" s="617"/>
      <c r="L156" s="38"/>
      <c r="M156" s="239"/>
      <c r="N156" s="239"/>
      <c r="O156" s="60"/>
    </row>
    <row r="157" spans="1:15" ht="147" customHeight="1" x14ac:dyDescent="0.2">
      <c r="A157" s="1535"/>
      <c r="B157" s="1536"/>
      <c r="C157" s="1494" t="s">
        <v>5</v>
      </c>
      <c r="D157" s="1537" t="s">
        <v>333</v>
      </c>
      <c r="E157" s="1540" t="s">
        <v>96</v>
      </c>
      <c r="F157" s="1290"/>
      <c r="G157" s="1329" t="s">
        <v>437</v>
      </c>
      <c r="H157" s="1329"/>
      <c r="I157" s="1329"/>
      <c r="J157" s="1329">
        <v>0</v>
      </c>
      <c r="K157" s="1243" t="s">
        <v>168</v>
      </c>
      <c r="L157" s="1103" t="s">
        <v>169</v>
      </c>
      <c r="M157" s="1082" t="s">
        <v>276</v>
      </c>
      <c r="N157" s="1244"/>
      <c r="O157" s="1303" t="s">
        <v>447</v>
      </c>
    </row>
    <row r="158" spans="1:15" ht="41.25" customHeight="1" x14ac:dyDescent="0.2">
      <c r="A158" s="1535"/>
      <c r="B158" s="1536"/>
      <c r="C158" s="1494"/>
      <c r="D158" s="1538"/>
      <c r="E158" s="1541"/>
      <c r="F158" s="1254"/>
      <c r="G158" s="1313" t="s">
        <v>440</v>
      </c>
      <c r="H158" s="1313"/>
      <c r="I158" s="1313"/>
      <c r="J158" s="1313">
        <v>32.6</v>
      </c>
      <c r="K158" s="1186" t="s">
        <v>332</v>
      </c>
      <c r="L158" s="1177">
        <v>1</v>
      </c>
      <c r="M158" s="1188" t="s">
        <v>415</v>
      </c>
      <c r="N158" s="1187"/>
      <c r="O158" s="1304" t="s">
        <v>433</v>
      </c>
    </row>
    <row r="159" spans="1:15" ht="15.75" customHeight="1" x14ac:dyDescent="0.2">
      <c r="A159" s="1535"/>
      <c r="B159" s="1536"/>
      <c r="C159" s="1494"/>
      <c r="D159" s="1539"/>
      <c r="E159" s="1542"/>
      <c r="F159" s="1254"/>
      <c r="G159" s="1315" t="s">
        <v>446</v>
      </c>
      <c r="H159" s="1315"/>
      <c r="I159" s="1315"/>
      <c r="J159" s="1315">
        <v>57</v>
      </c>
      <c r="K159" s="1199" t="s">
        <v>160</v>
      </c>
      <c r="L159" s="1097" t="s">
        <v>266</v>
      </c>
      <c r="M159" s="1096" t="s">
        <v>266</v>
      </c>
      <c r="N159" s="1096"/>
      <c r="O159" s="1109"/>
    </row>
    <row r="160" spans="1:15" ht="90" customHeight="1" x14ac:dyDescent="0.2">
      <c r="A160" s="1272"/>
      <c r="B160" s="1282"/>
      <c r="C160" s="1283" t="s">
        <v>7</v>
      </c>
      <c r="D160" s="1190" t="s">
        <v>280</v>
      </c>
      <c r="E160" s="1284" t="s">
        <v>161</v>
      </c>
      <c r="F160" s="1290"/>
      <c r="G160" s="1342" t="s">
        <v>437</v>
      </c>
      <c r="H160" s="1319"/>
      <c r="I160" s="1319"/>
      <c r="J160" s="1319">
        <v>2.8</v>
      </c>
      <c r="K160" s="1189" t="s">
        <v>212</v>
      </c>
      <c r="L160" s="1191">
        <v>1</v>
      </c>
      <c r="M160" s="1192" t="s">
        <v>418</v>
      </c>
      <c r="N160" s="1193"/>
      <c r="O160" s="1118" t="s">
        <v>468</v>
      </c>
    </row>
    <row r="161" spans="1:16" ht="14.25" customHeight="1" x14ac:dyDescent="0.2">
      <c r="A161" s="1432"/>
      <c r="B161" s="1492"/>
      <c r="C161" s="1543" t="s">
        <v>28</v>
      </c>
      <c r="D161" s="1544" t="s">
        <v>207</v>
      </c>
      <c r="E161" s="1496"/>
      <c r="F161" s="1435"/>
      <c r="G161" s="1343" t="s">
        <v>437</v>
      </c>
      <c r="H161" s="1329"/>
      <c r="I161" s="1329"/>
      <c r="J161" s="1329">
        <v>10</v>
      </c>
      <c r="K161" s="1221" t="s">
        <v>183</v>
      </c>
      <c r="L161" s="1125">
        <v>1</v>
      </c>
      <c r="M161" s="1222" t="s">
        <v>56</v>
      </c>
      <c r="N161" s="1125"/>
      <c r="O161" s="1223"/>
    </row>
    <row r="162" spans="1:16" ht="131.25" customHeight="1" x14ac:dyDescent="0.2">
      <c r="A162" s="1432"/>
      <c r="B162" s="1492"/>
      <c r="C162" s="1543"/>
      <c r="D162" s="1545"/>
      <c r="E162" s="1542"/>
      <c r="F162" s="1435"/>
      <c r="G162" s="1315" t="s">
        <v>441</v>
      </c>
      <c r="H162" s="1315"/>
      <c r="I162" s="1315"/>
      <c r="J162" s="1315">
        <v>2.2000000000000002</v>
      </c>
      <c r="K162" s="1199" t="s">
        <v>282</v>
      </c>
      <c r="L162" s="1194">
        <v>6</v>
      </c>
      <c r="M162" s="1195" t="s">
        <v>415</v>
      </c>
      <c r="N162" s="1196"/>
      <c r="O162" s="1305" t="s">
        <v>469</v>
      </c>
    </row>
    <row r="163" spans="1:16" ht="26.25" customHeight="1" x14ac:dyDescent="0.2">
      <c r="A163" s="1272"/>
      <c r="B163" s="1282"/>
      <c r="C163" s="1283" t="s">
        <v>33</v>
      </c>
      <c r="D163" s="1269" t="s">
        <v>322</v>
      </c>
      <c r="E163" s="1296" t="s">
        <v>341</v>
      </c>
      <c r="F163" s="1290"/>
      <c r="G163" s="1313" t="s">
        <v>437</v>
      </c>
      <c r="H163" s="1313"/>
      <c r="I163" s="1313"/>
      <c r="J163" s="1313">
        <v>3</v>
      </c>
      <c r="K163" s="1300" t="s">
        <v>324</v>
      </c>
      <c r="L163" s="1275">
        <v>1</v>
      </c>
      <c r="M163" s="418" t="s">
        <v>56</v>
      </c>
      <c r="N163" s="1295"/>
      <c r="O163" s="1267"/>
      <c r="P163" s="734"/>
    </row>
    <row r="164" spans="1:16" ht="30" customHeight="1" x14ac:dyDescent="0.2">
      <c r="A164" s="1259"/>
      <c r="B164" s="1260"/>
      <c r="C164" s="1283" t="s">
        <v>34</v>
      </c>
      <c r="D164" s="1245" t="s">
        <v>334</v>
      </c>
      <c r="E164" s="630" t="s">
        <v>217</v>
      </c>
      <c r="F164" s="1256"/>
      <c r="G164" s="1319" t="s">
        <v>445</v>
      </c>
      <c r="H164" s="1344"/>
      <c r="I164" s="1344"/>
      <c r="J164" s="1319">
        <v>1.6</v>
      </c>
      <c r="K164" s="1246" t="s">
        <v>87</v>
      </c>
      <c r="L164" s="1247">
        <v>1</v>
      </c>
      <c r="M164" s="1248" t="s">
        <v>418</v>
      </c>
      <c r="N164" s="1193"/>
      <c r="O164" s="1373" t="s">
        <v>470</v>
      </c>
    </row>
    <row r="165" spans="1:16" ht="21.75" customHeight="1" x14ac:dyDescent="0.2">
      <c r="A165" s="1264"/>
      <c r="B165" s="1260"/>
      <c r="C165" s="492" t="s">
        <v>35</v>
      </c>
      <c r="D165" s="1569" t="s">
        <v>320</v>
      </c>
      <c r="E165" s="645" t="s">
        <v>161</v>
      </c>
      <c r="F165" s="1254"/>
      <c r="G165" s="1329" t="s">
        <v>445</v>
      </c>
      <c r="H165" s="1329"/>
      <c r="I165" s="1345"/>
      <c r="J165" s="1329">
        <v>3.1</v>
      </c>
      <c r="K165" s="1462" t="s">
        <v>321</v>
      </c>
      <c r="L165" s="1295">
        <v>6</v>
      </c>
      <c r="M165" s="492" t="s">
        <v>37</v>
      </c>
      <c r="N165" s="1295"/>
      <c r="O165" s="1267"/>
    </row>
    <row r="166" spans="1:16" ht="16.5" customHeight="1" x14ac:dyDescent="0.2">
      <c r="A166" s="1264"/>
      <c r="B166" s="1260"/>
      <c r="C166" s="492"/>
      <c r="D166" s="1503"/>
      <c r="E166" s="1198"/>
      <c r="F166" s="1254"/>
      <c r="G166" s="61"/>
      <c r="H166" s="88"/>
      <c r="I166" s="88"/>
      <c r="J166" s="61"/>
      <c r="K166" s="1663"/>
      <c r="L166" s="1295"/>
      <c r="M166" s="492"/>
      <c r="N166" s="1295"/>
      <c r="O166" s="1267"/>
    </row>
    <row r="167" spans="1:16" ht="14.25" customHeight="1" thickBot="1" x14ac:dyDescent="0.25">
      <c r="A167" s="68"/>
      <c r="B167" s="1279"/>
      <c r="C167" s="1091"/>
      <c r="D167" s="534"/>
      <c r="E167" s="558"/>
      <c r="F167" s="616"/>
      <c r="G167" s="146" t="s">
        <v>6</v>
      </c>
      <c r="H167" s="218">
        <f>SUM(H151:H165)</f>
        <v>954.8</v>
      </c>
      <c r="I167" s="218">
        <f>SUM(I151:I166)</f>
        <v>960.8</v>
      </c>
      <c r="J167" s="146">
        <f>SUM(J151:J156)</f>
        <v>414.4</v>
      </c>
      <c r="K167" s="600"/>
      <c r="L167" s="195"/>
      <c r="M167" s="192"/>
      <c r="N167" s="195"/>
      <c r="O167" s="194"/>
    </row>
    <row r="168" spans="1:16" ht="14.25" customHeight="1" thickBot="1" x14ac:dyDescent="0.25">
      <c r="A168" s="92" t="s">
        <v>5</v>
      </c>
      <c r="B168" s="79" t="s">
        <v>28</v>
      </c>
      <c r="C168" s="1491" t="s">
        <v>8</v>
      </c>
      <c r="D168" s="1491"/>
      <c r="E168" s="1491"/>
      <c r="F168" s="1491"/>
      <c r="G168" s="1447"/>
      <c r="H168" s="224">
        <f>H167+H150+H147</f>
        <v>2733.1</v>
      </c>
      <c r="I168" s="224">
        <f>I167+I150+I147</f>
        <v>2722.4</v>
      </c>
      <c r="J168" s="224">
        <f>J167+J150+J147</f>
        <v>1911.8</v>
      </c>
      <c r="K168" s="1449"/>
      <c r="L168" s="1449"/>
      <c r="M168" s="1449"/>
      <c r="N168" s="1449"/>
      <c r="O168" s="1450"/>
    </row>
    <row r="169" spans="1:16" ht="14.25" customHeight="1" thickBot="1" x14ac:dyDescent="0.25">
      <c r="A169" s="78" t="s">
        <v>5</v>
      </c>
      <c r="B169" s="79" t="s">
        <v>33</v>
      </c>
      <c r="C169" s="1439" t="s">
        <v>220</v>
      </c>
      <c r="D169" s="1440"/>
      <c r="E169" s="1440"/>
      <c r="F169" s="1440"/>
      <c r="G169" s="1440"/>
      <c r="H169" s="1440"/>
      <c r="I169" s="1440"/>
      <c r="J169" s="1440"/>
      <c r="K169" s="1440"/>
      <c r="L169" s="1440"/>
      <c r="M169" s="1440"/>
      <c r="N169" s="1440"/>
      <c r="O169" s="1441"/>
    </row>
    <row r="170" spans="1:16" ht="12" customHeight="1" x14ac:dyDescent="0.2">
      <c r="A170" s="1277" t="s">
        <v>5</v>
      </c>
      <c r="B170" s="1278" t="s">
        <v>33</v>
      </c>
      <c r="C170" s="256" t="s">
        <v>5</v>
      </c>
      <c r="D170" s="234" t="s">
        <v>111</v>
      </c>
      <c r="E170" s="340"/>
      <c r="F170" s="602">
        <v>6</v>
      </c>
      <c r="G170" s="62" t="s">
        <v>25</v>
      </c>
      <c r="H170" s="237">
        <v>4300.5</v>
      </c>
      <c r="I170" s="191">
        <f>4289.3+85.8</f>
        <v>4375.1000000000004</v>
      </c>
      <c r="J170" s="191">
        <v>4231</v>
      </c>
      <c r="K170" s="100"/>
      <c r="L170" s="6"/>
      <c r="M170" s="665"/>
      <c r="N170" s="6"/>
      <c r="O170" s="208"/>
    </row>
    <row r="171" spans="1:16" ht="12" customHeight="1" x14ac:dyDescent="0.2">
      <c r="A171" s="1259"/>
      <c r="B171" s="1260"/>
      <c r="C171" s="233"/>
      <c r="D171" s="341"/>
      <c r="E171" s="1284"/>
      <c r="F171" s="1254"/>
      <c r="G171" s="62" t="s">
        <v>77</v>
      </c>
      <c r="H171" s="38">
        <v>300</v>
      </c>
      <c r="I171" s="62">
        <v>300</v>
      </c>
      <c r="J171" s="62">
        <v>282</v>
      </c>
      <c r="K171" s="533"/>
      <c r="L171" s="239"/>
      <c r="M171" s="101"/>
      <c r="N171" s="239"/>
      <c r="O171" s="60"/>
    </row>
    <row r="172" spans="1:16" ht="12.75" customHeight="1" x14ac:dyDescent="0.2">
      <c r="A172" s="1259"/>
      <c r="B172" s="1260"/>
      <c r="C172" s="233"/>
      <c r="D172" s="341"/>
      <c r="E172" s="1284"/>
      <c r="F172" s="1254"/>
      <c r="G172" s="62" t="s">
        <v>105</v>
      </c>
      <c r="H172" s="38">
        <f>1271.8+0.2</f>
        <v>1272</v>
      </c>
      <c r="I172" s="62">
        <f>1271.8+0.2</f>
        <v>1272</v>
      </c>
      <c r="J172" s="62">
        <v>1253.9000000000001</v>
      </c>
      <c r="K172" s="533"/>
      <c r="L172" s="239"/>
      <c r="M172" s="101"/>
      <c r="N172" s="239"/>
      <c r="O172" s="60"/>
    </row>
    <row r="173" spans="1:16" ht="13.5" customHeight="1" x14ac:dyDescent="0.2">
      <c r="A173" s="1259"/>
      <c r="B173" s="1260"/>
      <c r="C173" s="96"/>
      <c r="D173" s="342"/>
      <c r="E173" s="1284"/>
      <c r="F173" s="1254"/>
      <c r="G173" s="61" t="s">
        <v>62</v>
      </c>
      <c r="H173" s="40">
        <v>73</v>
      </c>
      <c r="I173" s="61">
        <v>84.2</v>
      </c>
      <c r="J173" s="61">
        <v>84.2</v>
      </c>
      <c r="K173" s="560"/>
      <c r="L173" s="546"/>
      <c r="M173" s="666"/>
      <c r="N173" s="546"/>
      <c r="O173" s="561"/>
    </row>
    <row r="174" spans="1:16" ht="15.75" customHeight="1" x14ac:dyDescent="0.2">
      <c r="A174" s="1259"/>
      <c r="B174" s="1260"/>
      <c r="C174" s="1089" t="s">
        <v>5</v>
      </c>
      <c r="D174" s="1293" t="s">
        <v>108</v>
      </c>
      <c r="E174" s="1284"/>
      <c r="F174" s="1290"/>
      <c r="G174" s="1346" t="s">
        <v>437</v>
      </c>
      <c r="H174" s="1346"/>
      <c r="I174" s="1346"/>
      <c r="J174" s="1346">
        <v>1424.4</v>
      </c>
      <c r="K174" s="1252" t="s">
        <v>68</v>
      </c>
      <c r="L174" s="1261">
        <v>11</v>
      </c>
      <c r="M174" s="1081" t="s">
        <v>409</v>
      </c>
      <c r="N174" s="1516" t="s">
        <v>471</v>
      </c>
      <c r="O174" s="206"/>
    </row>
    <row r="175" spans="1:16" ht="16.5" customHeight="1" x14ac:dyDescent="0.2">
      <c r="A175" s="1259"/>
      <c r="B175" s="1260"/>
      <c r="C175" s="1442"/>
      <c r="D175" s="405" t="s">
        <v>411</v>
      </c>
      <c r="E175" s="1284"/>
      <c r="F175" s="1254"/>
      <c r="G175" s="1313"/>
      <c r="H175" s="1324"/>
      <c r="I175" s="1313"/>
      <c r="J175" s="1313"/>
      <c r="K175" s="1270"/>
      <c r="L175" s="239"/>
      <c r="M175" s="101"/>
      <c r="N175" s="1517"/>
      <c r="O175" s="60"/>
    </row>
    <row r="176" spans="1:16" ht="27.75" customHeight="1" x14ac:dyDescent="0.2">
      <c r="A176" s="1259"/>
      <c r="B176" s="1260"/>
      <c r="C176" s="1442"/>
      <c r="D176" s="246" t="s">
        <v>410</v>
      </c>
      <c r="E176" s="1284"/>
      <c r="F176" s="1254"/>
      <c r="G176" s="1313"/>
      <c r="H176" s="1324"/>
      <c r="I176" s="1313"/>
      <c r="J176" s="1313"/>
      <c r="K176" s="1270"/>
      <c r="L176" s="239"/>
      <c r="M176" s="101"/>
      <c r="N176" s="1517"/>
      <c r="O176" s="60"/>
    </row>
    <row r="177" spans="1:15" ht="24.75" customHeight="1" x14ac:dyDescent="0.2">
      <c r="A177" s="1259"/>
      <c r="B177" s="1260"/>
      <c r="C177" s="1442"/>
      <c r="D177" s="246" t="s">
        <v>412</v>
      </c>
      <c r="E177" s="1284"/>
      <c r="F177" s="1254"/>
      <c r="G177" s="1313"/>
      <c r="H177" s="1324"/>
      <c r="I177" s="1313"/>
      <c r="J177" s="1313"/>
      <c r="K177" s="1270"/>
      <c r="L177" s="239"/>
      <c r="M177" s="101"/>
      <c r="N177" s="1280"/>
      <c r="O177" s="60"/>
    </row>
    <row r="178" spans="1:15" ht="25.5" customHeight="1" x14ac:dyDescent="0.2">
      <c r="A178" s="1259"/>
      <c r="B178" s="1260"/>
      <c r="C178" s="1442"/>
      <c r="D178" s="246" t="s">
        <v>336</v>
      </c>
      <c r="E178" s="1284"/>
      <c r="F178" s="1266"/>
      <c r="G178" s="1313"/>
      <c r="H178" s="1324"/>
      <c r="I178" s="1313"/>
      <c r="J178" s="1313"/>
      <c r="K178" s="1270"/>
      <c r="L178" s="239"/>
      <c r="M178" s="130"/>
      <c r="N178" s="1292"/>
      <c r="O178" s="60"/>
    </row>
    <row r="179" spans="1:15" ht="12.75" customHeight="1" x14ac:dyDescent="0.2">
      <c r="A179" s="1259"/>
      <c r="B179" s="1260"/>
      <c r="C179" s="1442"/>
      <c r="D179" s="1083" t="s">
        <v>245</v>
      </c>
      <c r="E179" s="1284"/>
      <c r="F179" s="1254"/>
      <c r="G179" s="1347"/>
      <c r="H179" s="1348"/>
      <c r="I179" s="1347"/>
      <c r="J179" s="1347"/>
      <c r="K179" s="1288"/>
      <c r="L179" s="1228"/>
      <c r="M179" s="1229"/>
      <c r="N179" s="1520" t="s">
        <v>413</v>
      </c>
      <c r="O179" s="1518"/>
    </row>
    <row r="180" spans="1:15" ht="37.5" customHeight="1" x14ac:dyDescent="0.2">
      <c r="A180" s="1259"/>
      <c r="B180" s="1260"/>
      <c r="C180" s="1442"/>
      <c r="D180" s="246" t="s">
        <v>249</v>
      </c>
      <c r="E180" s="1284"/>
      <c r="F180" s="1254"/>
      <c r="G180" s="1349"/>
      <c r="H180" s="1350"/>
      <c r="I180" s="1349"/>
      <c r="J180" s="1349"/>
      <c r="K180" s="1294"/>
      <c r="L180" s="165"/>
      <c r="M180" s="186"/>
      <c r="N180" s="1521"/>
      <c r="O180" s="1519"/>
    </row>
    <row r="181" spans="1:15" ht="42.75" customHeight="1" x14ac:dyDescent="0.2">
      <c r="A181" s="1259"/>
      <c r="B181" s="1260"/>
      <c r="C181" s="1442"/>
      <c r="D181" s="1202" t="s">
        <v>335</v>
      </c>
      <c r="E181" s="1284"/>
      <c r="F181" s="1254"/>
      <c r="G181" s="1351"/>
      <c r="H181" s="1352"/>
      <c r="I181" s="1351"/>
      <c r="J181" s="1351"/>
      <c r="K181" s="87"/>
      <c r="L181" s="1230"/>
      <c r="M181" s="187"/>
      <c r="N181" s="1086"/>
      <c r="O181" s="1087" t="s">
        <v>472</v>
      </c>
    </row>
    <row r="182" spans="1:15" ht="42" customHeight="1" x14ac:dyDescent="0.2">
      <c r="A182" s="1259"/>
      <c r="B182" s="1260"/>
      <c r="C182" s="1443"/>
      <c r="D182" s="1084" t="s">
        <v>414</v>
      </c>
      <c r="E182" s="1284"/>
      <c r="F182" s="1254"/>
      <c r="G182" s="1315"/>
      <c r="H182" s="1326"/>
      <c r="I182" s="1315"/>
      <c r="J182" s="1315"/>
      <c r="K182" s="1289"/>
      <c r="L182" s="41"/>
      <c r="M182" s="131"/>
      <c r="N182" s="1085" t="s">
        <v>473</v>
      </c>
      <c r="O182" s="181"/>
    </row>
    <row r="183" spans="1:15" ht="29.25" customHeight="1" x14ac:dyDescent="0.2">
      <c r="A183" s="1259"/>
      <c r="B183" s="1260"/>
      <c r="C183" s="1090" t="s">
        <v>7</v>
      </c>
      <c r="D183" s="1527" t="s">
        <v>110</v>
      </c>
      <c r="E183" s="1284"/>
      <c r="F183" s="1254"/>
      <c r="G183" s="1346" t="s">
        <v>439</v>
      </c>
      <c r="H183" s="1346"/>
      <c r="I183" s="1346"/>
      <c r="J183" s="1346">
        <v>1118</v>
      </c>
      <c r="K183" s="1286" t="s">
        <v>211</v>
      </c>
      <c r="L183" s="33">
        <v>0.2</v>
      </c>
      <c r="M183" s="104">
        <v>0.2</v>
      </c>
      <c r="N183" s="1232"/>
      <c r="O183" s="873"/>
    </row>
    <row r="184" spans="1:15" ht="26.25" customHeight="1" x14ac:dyDescent="0.2">
      <c r="A184" s="1259"/>
      <c r="B184" s="1260"/>
      <c r="C184" s="1090"/>
      <c r="D184" s="1528"/>
      <c r="E184" s="1284"/>
      <c r="F184" s="1254"/>
      <c r="G184" s="1346" t="s">
        <v>437</v>
      </c>
      <c r="H184" s="1346"/>
      <c r="I184" s="1346"/>
      <c r="J184" s="1346">
        <v>48.8</v>
      </c>
      <c r="K184" s="276" t="s">
        <v>40</v>
      </c>
      <c r="L184" s="277">
        <v>4</v>
      </c>
      <c r="M184" s="668" t="s">
        <v>429</v>
      </c>
      <c r="N184" s="1231" t="s">
        <v>474</v>
      </c>
      <c r="O184" s="209"/>
    </row>
    <row r="185" spans="1:15" ht="41.25" customHeight="1" x14ac:dyDescent="0.2">
      <c r="A185" s="1259"/>
      <c r="B185" s="1260"/>
      <c r="C185" s="1090"/>
      <c r="D185" s="1529"/>
      <c r="E185" s="1284"/>
      <c r="F185" s="1254"/>
      <c r="G185" s="1353" t="s">
        <v>440</v>
      </c>
      <c r="H185" s="1353"/>
      <c r="I185" s="1353"/>
      <c r="J185" s="1353">
        <v>11.2</v>
      </c>
      <c r="K185" s="1285" t="s">
        <v>67</v>
      </c>
      <c r="L185" s="257">
        <v>54.6</v>
      </c>
      <c r="M185" s="669">
        <v>40.299999999999997</v>
      </c>
      <c r="N185" s="1263" t="s">
        <v>475</v>
      </c>
      <c r="O185" s="181"/>
    </row>
    <row r="186" spans="1:15" ht="25.5" customHeight="1" x14ac:dyDescent="0.2">
      <c r="A186" s="1432"/>
      <c r="B186" s="1492"/>
      <c r="C186" s="1493" t="s">
        <v>28</v>
      </c>
      <c r="D186" s="1500" t="s">
        <v>53</v>
      </c>
      <c r="E186" s="1284"/>
      <c r="F186" s="1254"/>
      <c r="G186" s="1346" t="s">
        <v>437</v>
      </c>
      <c r="H186" s="1346"/>
      <c r="I186" s="1346"/>
      <c r="J186" s="1346">
        <v>400</v>
      </c>
      <c r="K186" s="1498" t="s">
        <v>362</v>
      </c>
      <c r="L186" s="1261" t="s">
        <v>166</v>
      </c>
      <c r="M186" s="1081" t="s">
        <v>430</v>
      </c>
      <c r="N186" s="1516" t="s">
        <v>476</v>
      </c>
      <c r="O186" s="1088"/>
    </row>
    <row r="187" spans="1:15" ht="6.75" customHeight="1" x14ac:dyDescent="0.2">
      <c r="A187" s="1432"/>
      <c r="B187" s="1492"/>
      <c r="C187" s="1495"/>
      <c r="D187" s="1501"/>
      <c r="E187" s="1284"/>
      <c r="F187" s="1254"/>
      <c r="G187" s="1315"/>
      <c r="H187" s="1326"/>
      <c r="I187" s="1315"/>
      <c r="J187" s="1315"/>
      <c r="K187" s="1523"/>
      <c r="L187" s="41"/>
      <c r="M187" s="159"/>
      <c r="N187" s="1522"/>
      <c r="O187" s="181"/>
    </row>
    <row r="188" spans="1:15" ht="22.5" customHeight="1" x14ac:dyDescent="0.2">
      <c r="A188" s="1432"/>
      <c r="B188" s="1492"/>
      <c r="C188" s="1493" t="s">
        <v>33</v>
      </c>
      <c r="D188" s="1502" t="s">
        <v>263</v>
      </c>
      <c r="E188" s="1496"/>
      <c r="F188" s="1497"/>
      <c r="G188" s="1329" t="s">
        <v>439</v>
      </c>
      <c r="H188" s="1329"/>
      <c r="I188" s="1329"/>
      <c r="J188" s="1329">
        <v>120</v>
      </c>
      <c r="K188" s="1462" t="s">
        <v>344</v>
      </c>
      <c r="L188" s="48">
        <v>4.5</v>
      </c>
      <c r="M188" s="366">
        <v>4.5</v>
      </c>
      <c r="N188" s="1433" t="s">
        <v>477</v>
      </c>
      <c r="O188" s="206"/>
    </row>
    <row r="189" spans="1:15" ht="41.25" customHeight="1" x14ac:dyDescent="0.2">
      <c r="A189" s="1432"/>
      <c r="B189" s="1492"/>
      <c r="C189" s="1494"/>
      <c r="D189" s="1503"/>
      <c r="E189" s="1496"/>
      <c r="F189" s="1497"/>
      <c r="G189" s="1313" t="s">
        <v>437</v>
      </c>
      <c r="H189" s="1313"/>
      <c r="I189" s="1313"/>
      <c r="J189" s="1313">
        <v>1292.3</v>
      </c>
      <c r="K189" s="1463"/>
      <c r="L189" s="165"/>
      <c r="M189" s="642"/>
      <c r="N189" s="1434"/>
      <c r="O189" s="60"/>
    </row>
    <row r="190" spans="1:15" ht="21.75" customHeight="1" x14ac:dyDescent="0.2">
      <c r="A190" s="1432"/>
      <c r="B190" s="1492"/>
      <c r="C190" s="1494"/>
      <c r="D190" s="1503"/>
      <c r="E190" s="1496"/>
      <c r="F190" s="1497"/>
      <c r="G190" s="1313" t="s">
        <v>445</v>
      </c>
      <c r="H190" s="1313"/>
      <c r="I190" s="1313"/>
      <c r="J190" s="1313">
        <v>282</v>
      </c>
      <c r="K190" s="1498" t="s">
        <v>206</v>
      </c>
      <c r="L190" s="1464">
        <v>100</v>
      </c>
      <c r="M190" s="1297">
        <v>100</v>
      </c>
      <c r="N190" s="1299"/>
      <c r="O190" s="1505"/>
    </row>
    <row r="191" spans="1:15" ht="19.5" customHeight="1" x14ac:dyDescent="0.2">
      <c r="A191" s="1432"/>
      <c r="B191" s="1492"/>
      <c r="C191" s="1495"/>
      <c r="D191" s="345"/>
      <c r="E191" s="1496"/>
      <c r="F191" s="1497"/>
      <c r="G191" s="1315" t="s">
        <v>440</v>
      </c>
      <c r="H191" s="1315"/>
      <c r="I191" s="1315"/>
      <c r="J191" s="1315">
        <v>67</v>
      </c>
      <c r="K191" s="1499"/>
      <c r="L191" s="1465"/>
      <c r="M191" s="1298"/>
      <c r="N191" s="1287"/>
      <c r="O191" s="1506"/>
    </row>
    <row r="192" spans="1:15" ht="28.5" customHeight="1" x14ac:dyDescent="0.2">
      <c r="A192" s="1259"/>
      <c r="B192" s="1260"/>
      <c r="C192" s="1265" t="s">
        <v>34</v>
      </c>
      <c r="D192" s="1507" t="s">
        <v>109</v>
      </c>
      <c r="E192" s="1284"/>
      <c r="F192" s="1254"/>
      <c r="G192" s="1346" t="s">
        <v>437</v>
      </c>
      <c r="H192" s="1346"/>
      <c r="I192" s="1346"/>
      <c r="J192" s="1346">
        <v>1021.3</v>
      </c>
      <c r="K192" s="1509" t="s">
        <v>197</v>
      </c>
      <c r="L192" s="313">
        <v>20</v>
      </c>
      <c r="M192" s="412">
        <v>19</v>
      </c>
      <c r="N192" s="1217" t="s">
        <v>478</v>
      </c>
      <c r="O192" s="1306"/>
    </row>
    <row r="193" spans="1:53" ht="9" customHeight="1" x14ac:dyDescent="0.2">
      <c r="A193" s="1259"/>
      <c r="B193" s="1260"/>
      <c r="C193" s="1262"/>
      <c r="D193" s="1508"/>
      <c r="E193" s="1284"/>
      <c r="F193" s="1254"/>
      <c r="G193" s="61"/>
      <c r="H193" s="88"/>
      <c r="I193" s="61"/>
      <c r="J193" s="61"/>
      <c r="K193" s="1510"/>
      <c r="L193" s="1276"/>
      <c r="M193" s="294"/>
      <c r="N193" s="1276"/>
      <c r="O193" s="168"/>
    </row>
    <row r="194" spans="1:53" ht="92.25" customHeight="1" x14ac:dyDescent="0.2">
      <c r="A194" s="1264"/>
      <c r="B194" s="1260"/>
      <c r="C194" s="207" t="s">
        <v>35</v>
      </c>
      <c r="D194" s="1224" t="s">
        <v>39</v>
      </c>
      <c r="E194" s="1284"/>
      <c r="F194" s="1254"/>
      <c r="G194" s="56"/>
      <c r="H194" s="88"/>
      <c r="I194" s="61"/>
      <c r="J194" s="61"/>
      <c r="K194" s="1225" t="s">
        <v>55</v>
      </c>
      <c r="L194" s="1226">
        <v>14</v>
      </c>
      <c r="M194" s="1227">
        <v>14</v>
      </c>
      <c r="N194" s="1197" t="s">
        <v>479</v>
      </c>
      <c r="O194" s="1158"/>
    </row>
    <row r="195" spans="1:53" ht="14.25" customHeight="1" thickBot="1" x14ac:dyDescent="0.25">
      <c r="A195" s="68"/>
      <c r="B195" s="1279"/>
      <c r="C195" s="1091"/>
      <c r="D195" s="534"/>
      <c r="E195" s="558"/>
      <c r="F195" s="51"/>
      <c r="G195" s="146" t="s">
        <v>6</v>
      </c>
      <c r="H195" s="218">
        <f>SUM(H170:H194)</f>
        <v>5945.5</v>
      </c>
      <c r="I195" s="146">
        <f>SUM(I170:I194)</f>
        <v>6031.3</v>
      </c>
      <c r="J195" s="218">
        <f>SUM(J170:J173)</f>
        <v>5851.1</v>
      </c>
      <c r="K195" s="557"/>
      <c r="L195" s="195"/>
      <c r="M195" s="192"/>
      <c r="N195" s="195"/>
      <c r="O195" s="194"/>
    </row>
    <row r="196" spans="1:53" ht="19.5" customHeight="1" x14ac:dyDescent="0.2">
      <c r="A196" s="1264" t="s">
        <v>5</v>
      </c>
      <c r="B196" s="1260" t="s">
        <v>33</v>
      </c>
      <c r="C196" s="233" t="s">
        <v>7</v>
      </c>
      <c r="D196" s="1513" t="s">
        <v>179</v>
      </c>
      <c r="E196" s="1457" t="s">
        <v>47</v>
      </c>
      <c r="F196" s="1444" t="s">
        <v>43</v>
      </c>
      <c r="G196" s="62" t="s">
        <v>25</v>
      </c>
      <c r="H196" s="85">
        <v>36</v>
      </c>
      <c r="I196" s="62">
        <v>25.8</v>
      </c>
      <c r="J196" s="62"/>
      <c r="K196" s="1639" t="s">
        <v>319</v>
      </c>
      <c r="L196" s="1200">
        <v>100</v>
      </c>
      <c r="M196" s="1201">
        <v>50</v>
      </c>
      <c r="N196" s="1511"/>
      <c r="O196" s="1514" t="s">
        <v>423</v>
      </c>
    </row>
    <row r="197" spans="1:53" ht="66" customHeight="1" x14ac:dyDescent="0.2">
      <c r="A197" s="1264"/>
      <c r="B197" s="1260"/>
      <c r="C197" s="233"/>
      <c r="D197" s="1512"/>
      <c r="E197" s="1457"/>
      <c r="F197" s="1444"/>
      <c r="G197" s="61" t="s">
        <v>62</v>
      </c>
      <c r="H197" s="88">
        <v>64</v>
      </c>
      <c r="I197" s="61">
        <v>64</v>
      </c>
      <c r="J197" s="61">
        <v>24.4</v>
      </c>
      <c r="K197" s="1636"/>
      <c r="L197" s="1137"/>
      <c r="M197" s="1138"/>
      <c r="N197" s="1512"/>
      <c r="O197" s="1515"/>
    </row>
    <row r="198" spans="1:53" ht="17.25" customHeight="1" thickBot="1" x14ac:dyDescent="0.25">
      <c r="A198" s="68"/>
      <c r="B198" s="1279"/>
      <c r="C198" s="97"/>
      <c r="D198" s="1301"/>
      <c r="E198" s="1458"/>
      <c r="F198" s="1445"/>
      <c r="G198" s="146" t="s">
        <v>6</v>
      </c>
      <c r="H198" s="218">
        <f>SUM(H196:H197)</f>
        <v>100</v>
      </c>
      <c r="I198" s="146">
        <f>SUM(I196:I197)</f>
        <v>89.8</v>
      </c>
      <c r="J198" s="146">
        <f>SUM(J196:J197)</f>
        <v>24.4</v>
      </c>
      <c r="K198" s="1080"/>
      <c r="L198" s="211"/>
      <c r="M198" s="670"/>
      <c r="N198" s="211"/>
      <c r="O198" s="210"/>
    </row>
    <row r="199" spans="1:53" ht="14.25" customHeight="1" thickBot="1" x14ac:dyDescent="0.25">
      <c r="A199" s="68" t="s">
        <v>5</v>
      </c>
      <c r="B199" s="1279" t="s">
        <v>33</v>
      </c>
      <c r="C199" s="1446" t="s">
        <v>8</v>
      </c>
      <c r="D199" s="1446"/>
      <c r="E199" s="1446"/>
      <c r="F199" s="1446"/>
      <c r="G199" s="1447"/>
      <c r="H199" s="149">
        <f>H198+H195</f>
        <v>6045.5</v>
      </c>
      <c r="I199" s="149">
        <f>I198+I195</f>
        <v>6121.1</v>
      </c>
      <c r="J199" s="149">
        <f>J198+J195</f>
        <v>5875.5</v>
      </c>
      <c r="K199" s="1448"/>
      <c r="L199" s="1449"/>
      <c r="M199" s="1449"/>
      <c r="N199" s="1449"/>
      <c r="O199" s="1450"/>
    </row>
    <row r="200" spans="1:53" ht="14.25" customHeight="1" thickBot="1" x14ac:dyDescent="0.25">
      <c r="A200" s="92" t="s">
        <v>5</v>
      </c>
      <c r="B200" s="1451" t="s">
        <v>9</v>
      </c>
      <c r="C200" s="1452"/>
      <c r="D200" s="1452"/>
      <c r="E200" s="1452"/>
      <c r="F200" s="1452"/>
      <c r="G200" s="1453"/>
      <c r="H200" s="150">
        <f>H199+H168+H128+H94</f>
        <v>28111</v>
      </c>
      <c r="I200" s="150">
        <f>I199+I168+I128+I94</f>
        <v>28292.799999999999</v>
      </c>
      <c r="J200" s="150">
        <f>J199+J168+J128+J94</f>
        <v>24443.3</v>
      </c>
      <c r="K200" s="1454"/>
      <c r="L200" s="1455"/>
      <c r="M200" s="1455"/>
      <c r="N200" s="1455"/>
      <c r="O200" s="1456"/>
    </row>
    <row r="201" spans="1:53" ht="14.25" customHeight="1" thickBot="1" x14ac:dyDescent="0.25">
      <c r="A201" s="103" t="s">
        <v>35</v>
      </c>
      <c r="B201" s="1524" t="s">
        <v>58</v>
      </c>
      <c r="C201" s="1525"/>
      <c r="D201" s="1525"/>
      <c r="E201" s="1525"/>
      <c r="F201" s="1525"/>
      <c r="G201" s="1526"/>
      <c r="H201" s="151">
        <f>SUM(H200)</f>
        <v>28111</v>
      </c>
      <c r="I201" s="151">
        <f>SUM(I200)</f>
        <v>28292.799999999999</v>
      </c>
      <c r="J201" s="151">
        <f t="shared" ref="J201" si="6">SUM(J200)</f>
        <v>24443.3</v>
      </c>
      <c r="K201" s="1532"/>
      <c r="L201" s="1533"/>
      <c r="M201" s="1533"/>
      <c r="N201" s="1533"/>
      <c r="O201" s="1534"/>
    </row>
    <row r="202" spans="1:53" s="877" customFormat="1" ht="17.25" customHeight="1" x14ac:dyDescent="0.2">
      <c r="A202" s="1530" t="s">
        <v>480</v>
      </c>
      <c r="B202" s="1531"/>
      <c r="C202" s="1531"/>
      <c r="D202" s="1531"/>
      <c r="E202" s="1531"/>
      <c r="F202" s="1531"/>
      <c r="G202" s="1531"/>
      <c r="H202" s="1531"/>
      <c r="I202" s="1531"/>
      <c r="J202" s="1531"/>
      <c r="K202" s="1531"/>
      <c r="L202" s="876"/>
      <c r="M202" s="876"/>
      <c r="N202" s="876"/>
      <c r="O202" s="876"/>
    </row>
    <row r="203" spans="1:53" s="877" customFormat="1" ht="17.25" customHeight="1" x14ac:dyDescent="0.2">
      <c r="A203" s="1530" t="s">
        <v>481</v>
      </c>
      <c r="B203" s="1531"/>
      <c r="C203" s="1531"/>
      <c r="D203" s="1531"/>
      <c r="E203" s="1531"/>
      <c r="F203" s="1531"/>
      <c r="G203" s="1531"/>
      <c r="H203" s="1531"/>
      <c r="I203" s="1531"/>
      <c r="J203" s="1531"/>
      <c r="K203" s="1531"/>
      <c r="L203" s="876"/>
      <c r="M203" s="876"/>
      <c r="N203" s="876"/>
      <c r="O203" s="876"/>
    </row>
    <row r="204" spans="1:53" s="5" customFormat="1" ht="12.75" customHeight="1" x14ac:dyDescent="0.2">
      <c r="A204" s="847"/>
      <c r="B204" s="878"/>
      <c r="C204" s="878"/>
      <c r="D204" s="878"/>
      <c r="E204" s="878"/>
      <c r="F204" s="878"/>
      <c r="G204" s="878"/>
      <c r="H204" s="878"/>
      <c r="I204" s="878"/>
      <c r="J204" s="878"/>
      <c r="K204" s="878"/>
      <c r="L204" s="878"/>
      <c r="M204" s="878"/>
      <c r="N204" s="878"/>
      <c r="O204" s="878"/>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row>
    <row r="205" spans="1:53" s="4" customFormat="1" ht="12.75" customHeight="1" x14ac:dyDescent="0.2">
      <c r="A205" s="728"/>
      <c r="B205" s="729"/>
      <c r="C205" s="729"/>
      <c r="D205" s="729"/>
      <c r="E205" s="729"/>
      <c r="F205" s="729"/>
      <c r="G205" s="729"/>
      <c r="H205" s="729"/>
      <c r="I205" s="729"/>
      <c r="J205" s="729"/>
      <c r="K205" s="729"/>
      <c r="L205" s="847"/>
      <c r="M205" s="847"/>
      <c r="N205" s="847"/>
      <c r="O205" s="728"/>
    </row>
    <row r="206" spans="1:53" s="5" customFormat="1" ht="15" customHeight="1" thickBot="1" x14ac:dyDescent="0.25">
      <c r="A206" s="1504" t="s">
        <v>13</v>
      </c>
      <c r="B206" s="1504"/>
      <c r="C206" s="1504"/>
      <c r="D206" s="1504"/>
      <c r="E206" s="1504"/>
      <c r="F206" s="1504"/>
      <c r="G206" s="1504"/>
      <c r="H206" s="1055"/>
      <c r="I206" s="160"/>
      <c r="J206" s="160"/>
      <c r="K206" s="104"/>
      <c r="L206" s="104"/>
      <c r="M206" s="104"/>
      <c r="N206" s="104"/>
      <c r="O206" s="10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row>
    <row r="207" spans="1:53" ht="27" customHeight="1" x14ac:dyDescent="0.2">
      <c r="A207" s="1400" t="s">
        <v>10</v>
      </c>
      <c r="B207" s="1401"/>
      <c r="C207" s="1401"/>
      <c r="D207" s="1401"/>
      <c r="E207" s="1401"/>
      <c r="F207" s="1401"/>
      <c r="G207" s="1402"/>
      <c r="H207" s="1396" t="s">
        <v>369</v>
      </c>
      <c r="I207" s="1396" t="s">
        <v>408</v>
      </c>
      <c r="J207" s="1398" t="s">
        <v>370</v>
      </c>
      <c r="K207" s="14"/>
      <c r="L207" s="14"/>
      <c r="M207" s="14"/>
      <c r="N207" s="14"/>
      <c r="O207" s="14"/>
    </row>
    <row r="208" spans="1:53" ht="41.25" customHeight="1" thickBot="1" x14ac:dyDescent="0.25">
      <c r="A208" s="1403"/>
      <c r="B208" s="1404"/>
      <c r="C208" s="1404"/>
      <c r="D208" s="1404"/>
      <c r="E208" s="1404"/>
      <c r="F208" s="1404"/>
      <c r="G208" s="1405"/>
      <c r="H208" s="1397"/>
      <c r="I208" s="1397"/>
      <c r="J208" s="1399"/>
      <c r="K208" s="14"/>
      <c r="L208" s="14"/>
      <c r="M208" s="14"/>
      <c r="N208" s="14"/>
      <c r="O208" s="14"/>
    </row>
    <row r="209" spans="1:15" ht="14.25" customHeight="1" x14ac:dyDescent="0.2">
      <c r="A209" s="1391" t="s">
        <v>14</v>
      </c>
      <c r="B209" s="1392"/>
      <c r="C209" s="1392"/>
      <c r="D209" s="1392"/>
      <c r="E209" s="1392"/>
      <c r="F209" s="1392"/>
      <c r="G209" s="1393"/>
      <c r="H209" s="271">
        <f>H210+H216+H217+H218</f>
        <v>25833.599999999999</v>
      </c>
      <c r="I209" s="271">
        <f>I210+I216+I217+I218</f>
        <v>26015.5</v>
      </c>
      <c r="J209" s="271">
        <f>J210+J216+J217+J218</f>
        <v>22412.6</v>
      </c>
      <c r="K209" s="14"/>
      <c r="L209" s="14"/>
      <c r="M209" s="14"/>
      <c r="N209" s="14"/>
      <c r="O209" s="14"/>
    </row>
    <row r="210" spans="1:15" ht="14.25" customHeight="1" x14ac:dyDescent="0.2">
      <c r="A210" s="1485" t="s">
        <v>97</v>
      </c>
      <c r="B210" s="1486"/>
      <c r="C210" s="1486"/>
      <c r="D210" s="1486"/>
      <c r="E210" s="1486"/>
      <c r="F210" s="1486"/>
      <c r="G210" s="1487"/>
      <c r="H210" s="225">
        <f>SUM(H211:H215)</f>
        <v>20071.5</v>
      </c>
      <c r="I210" s="225">
        <f>SUM(I211:I215)</f>
        <v>18063.2</v>
      </c>
      <c r="J210" s="225">
        <f>SUM(J211:J215)</f>
        <v>15566.8</v>
      </c>
      <c r="K210" s="14"/>
      <c r="L210" s="14"/>
      <c r="M210" s="14"/>
      <c r="N210" s="14"/>
      <c r="O210" s="14"/>
    </row>
    <row r="211" spans="1:15" ht="14.25" customHeight="1" x14ac:dyDescent="0.2">
      <c r="A211" s="1488" t="s">
        <v>19</v>
      </c>
      <c r="B211" s="1489"/>
      <c r="C211" s="1489"/>
      <c r="D211" s="1489"/>
      <c r="E211" s="1489"/>
      <c r="F211" s="1489"/>
      <c r="G211" s="1490"/>
      <c r="H211" s="61">
        <f>SUMIF(G8:G201,"SB",H8:H201)</f>
        <v>11855.6</v>
      </c>
      <c r="I211" s="61">
        <f>SUMIF(G8:G201,"SB",I8:I201)</f>
        <v>10933.2</v>
      </c>
      <c r="J211" s="61">
        <f>SUMIF(G8:G201,"SB",J8:J201)</f>
        <v>10117.5</v>
      </c>
      <c r="K211" s="14"/>
      <c r="L211" s="14"/>
      <c r="M211" s="14"/>
      <c r="N211" s="14"/>
      <c r="O211" s="14"/>
    </row>
    <row r="212" spans="1:15" ht="14.25" customHeight="1" x14ac:dyDescent="0.2">
      <c r="A212" s="1459" t="s">
        <v>20</v>
      </c>
      <c r="B212" s="1460"/>
      <c r="C212" s="1460"/>
      <c r="D212" s="1460"/>
      <c r="E212" s="1460"/>
      <c r="F212" s="1460"/>
      <c r="G212" s="1461"/>
      <c r="H212" s="55">
        <f>SUMIF(G17:G201,"SB(P)",H17:H201)</f>
        <v>0</v>
      </c>
      <c r="I212" s="55">
        <f>SUMIF(G17:G201,"SB(P)",I17:I201)</f>
        <v>0</v>
      </c>
      <c r="J212" s="55">
        <f>SUMIF(G17:G201,"SB(P)",J17:J201)</f>
        <v>0</v>
      </c>
      <c r="K212" s="14"/>
      <c r="L212" s="14"/>
      <c r="M212" s="14"/>
      <c r="N212" s="14"/>
      <c r="O212" s="14"/>
    </row>
    <row r="213" spans="1:15" ht="14.25" customHeight="1" x14ac:dyDescent="0.2">
      <c r="A213" s="1459" t="s">
        <v>71</v>
      </c>
      <c r="B213" s="1460"/>
      <c r="C213" s="1460"/>
      <c r="D213" s="1460"/>
      <c r="E213" s="1460"/>
      <c r="F213" s="1460"/>
      <c r="G213" s="1461"/>
      <c r="H213" s="61">
        <f>SUMIF(G17:G201,"SB(VR)",H17:H201)</f>
        <v>1506.4</v>
      </c>
      <c r="I213" s="61">
        <f>SUMIF(G17:G201,"SB(VR)",I17:I201)</f>
        <v>1506.4</v>
      </c>
      <c r="J213" s="61">
        <f>SUMIF(G17:G201,"SB(VR)",J17:J201)</f>
        <v>1090.5</v>
      </c>
      <c r="K213" s="14"/>
      <c r="L213" s="14"/>
      <c r="M213" s="14"/>
      <c r="N213" s="14"/>
      <c r="O213" s="14"/>
    </row>
    <row r="214" spans="1:15" ht="14.25" customHeight="1" x14ac:dyDescent="0.2">
      <c r="A214" s="1388" t="s">
        <v>103</v>
      </c>
      <c r="B214" s="1389"/>
      <c r="C214" s="1389"/>
      <c r="D214" s="1389"/>
      <c r="E214" s="1389"/>
      <c r="F214" s="1389"/>
      <c r="G214" s="1390"/>
      <c r="H214" s="55">
        <f>SUMIF(G17:G200,"SB(KPP)",H17:H200)</f>
        <v>5085</v>
      </c>
      <c r="I214" s="55">
        <f>SUMIF(G17:G200,"SB(KPP)",I17:I200)</f>
        <v>3999.1</v>
      </c>
      <c r="J214" s="55">
        <f>SUMIF(G17:G200,"SB(KPP)",J17:J200)</f>
        <v>3981</v>
      </c>
      <c r="K214" s="14"/>
      <c r="L214" s="14"/>
      <c r="M214" s="14"/>
      <c r="N214" s="14"/>
      <c r="O214" s="14"/>
    </row>
    <row r="215" spans="1:15" ht="25.5" customHeight="1" x14ac:dyDescent="0.2">
      <c r="A215" s="1478" t="s">
        <v>337</v>
      </c>
      <c r="B215" s="1479"/>
      <c r="C215" s="1479"/>
      <c r="D215" s="1479"/>
      <c r="E215" s="1479"/>
      <c r="F215" s="1479"/>
      <c r="G215" s="1480"/>
      <c r="H215" s="55">
        <f>SUMIF(G14:G196,"SB(ES)",H14:H196)</f>
        <v>1624.5</v>
      </c>
      <c r="I215" s="55">
        <f>SUMIF(G14:G196,"SB(ES)",I14:I196)</f>
        <v>1624.5</v>
      </c>
      <c r="J215" s="55">
        <f>SUMIF(G14:G196,"SB(ES)",J14:J196)</f>
        <v>377.8</v>
      </c>
      <c r="K215" s="14"/>
      <c r="L215" s="14"/>
      <c r="M215" s="14"/>
      <c r="N215" s="14"/>
      <c r="O215" s="14"/>
    </row>
    <row r="216" spans="1:15" ht="14.25" customHeight="1" x14ac:dyDescent="0.2">
      <c r="A216" s="1481" t="s">
        <v>101</v>
      </c>
      <c r="B216" s="1482"/>
      <c r="C216" s="1482"/>
      <c r="D216" s="1482"/>
      <c r="E216" s="1482"/>
      <c r="F216" s="1482"/>
      <c r="G216" s="1483"/>
      <c r="H216" s="272">
        <f>SUMIF(G20:G200,"SB(VRL)",H20:H200)</f>
        <v>552.9</v>
      </c>
      <c r="I216" s="272">
        <f>SUMIF(G20:G200,"SB(VRL)",I20:I200)</f>
        <v>768.9</v>
      </c>
      <c r="J216" s="272">
        <f>SUMIF(G17:G200,"SB(VRL)",J17:J200)</f>
        <v>667</v>
      </c>
      <c r="K216" s="14"/>
      <c r="L216" s="14"/>
      <c r="M216" s="14"/>
      <c r="N216" s="14"/>
      <c r="O216" s="14"/>
    </row>
    <row r="217" spans="1:15" ht="14.25" customHeight="1" x14ac:dyDescent="0.2">
      <c r="A217" s="1484" t="s">
        <v>102</v>
      </c>
      <c r="B217" s="1482"/>
      <c r="C217" s="1482"/>
      <c r="D217" s="1482"/>
      <c r="E217" s="1482"/>
      <c r="F217" s="1482"/>
      <c r="G217" s="1483"/>
      <c r="H217" s="272">
        <f>SUMIF(G7:G201,"SB(ŽPL)",H7:H201)</f>
        <v>1122.7</v>
      </c>
      <c r="I217" s="272">
        <f>SUMIF(G7:G201,"SB(ŽPL)",I7:I201)</f>
        <v>1527.4</v>
      </c>
      <c r="J217" s="272">
        <f>SUMIF(G7:G201,"SB(ŽPL)",J7:J201)</f>
        <v>972.7</v>
      </c>
      <c r="K217" s="14"/>
      <c r="L217" s="14"/>
      <c r="M217" s="14"/>
      <c r="N217" s="14"/>
      <c r="O217" s="14"/>
    </row>
    <row r="218" spans="1:15" ht="14.25" customHeight="1" x14ac:dyDescent="0.2">
      <c r="A218" s="1472" t="s">
        <v>219</v>
      </c>
      <c r="B218" s="1473"/>
      <c r="C218" s="1473"/>
      <c r="D218" s="1473"/>
      <c r="E218" s="1473"/>
      <c r="F218" s="1473"/>
      <c r="G218" s="1474"/>
      <c r="H218" s="745">
        <f>SUMIF(G13:G201,"SB(L)",H13:H201)</f>
        <v>4086.5</v>
      </c>
      <c r="I218" s="745">
        <f>SUMIF(G13:G201,"SB(L)",I13:I201)</f>
        <v>5656</v>
      </c>
      <c r="J218" s="272">
        <f>SUMIF(G17:G199,"SB(L)",J17:J199)</f>
        <v>5206.1000000000004</v>
      </c>
      <c r="K218" s="14"/>
      <c r="L218" s="14"/>
      <c r="M218" s="14"/>
      <c r="N218" s="14"/>
      <c r="O218" s="14"/>
    </row>
    <row r="219" spans="1:15" ht="14.25" customHeight="1" x14ac:dyDescent="0.2">
      <c r="A219" s="1475" t="s">
        <v>15</v>
      </c>
      <c r="B219" s="1476"/>
      <c r="C219" s="1476"/>
      <c r="D219" s="1476"/>
      <c r="E219" s="1476"/>
      <c r="F219" s="1476"/>
      <c r="G219" s="1477"/>
      <c r="H219" s="273">
        <f>H221+H222+H223+H220</f>
        <v>2277.4</v>
      </c>
      <c r="I219" s="273">
        <f>I221+I222+I223+I220</f>
        <v>2277.3000000000002</v>
      </c>
      <c r="J219" s="273">
        <f>J221+J222+J223+J220</f>
        <v>2030.7</v>
      </c>
      <c r="K219" s="14"/>
      <c r="L219" s="14"/>
      <c r="M219" s="14"/>
      <c r="N219" s="14"/>
      <c r="O219" s="14"/>
    </row>
    <row r="220" spans="1:15" ht="14.25" customHeight="1" x14ac:dyDescent="0.2">
      <c r="A220" s="1478" t="s">
        <v>21</v>
      </c>
      <c r="B220" s="1479"/>
      <c r="C220" s="1479"/>
      <c r="D220" s="1479"/>
      <c r="E220" s="1479"/>
      <c r="F220" s="1479"/>
      <c r="G220" s="1480"/>
      <c r="H220" s="55">
        <f>SUMIF(G14:G201,"ES",H14:H201)</f>
        <v>579.5</v>
      </c>
      <c r="I220" s="55">
        <f>SUMIF(G14:G201,"ES",I14:I201)</f>
        <v>579.5</v>
      </c>
      <c r="J220" s="55">
        <f>SUMIF(G14:G201,"ES",J14:J201)</f>
        <v>359.1</v>
      </c>
      <c r="K220" s="14"/>
      <c r="L220" s="14"/>
      <c r="M220" s="14"/>
      <c r="N220" s="14"/>
      <c r="O220" s="14"/>
    </row>
    <row r="221" spans="1:15" ht="14.25" customHeight="1" x14ac:dyDescent="0.2">
      <c r="A221" s="1466" t="s">
        <v>22</v>
      </c>
      <c r="B221" s="1467"/>
      <c r="C221" s="1467"/>
      <c r="D221" s="1467"/>
      <c r="E221" s="1467"/>
      <c r="F221" s="1467"/>
      <c r="G221" s="1468"/>
      <c r="H221" s="55">
        <f>SUMIF(G17:G201,"KVJUD",H17:H201)</f>
        <v>1593.4</v>
      </c>
      <c r="I221" s="55">
        <f>SUMIF(G17:G201,"KVJUD",I17:I201)</f>
        <v>1593.4</v>
      </c>
      <c r="J221" s="55">
        <f>SUMIF(G17:G201,"KVJUD",J17:J201)</f>
        <v>1593.4</v>
      </c>
      <c r="K221" s="49"/>
      <c r="L221" s="49"/>
      <c r="M221" s="49"/>
      <c r="N221" s="49"/>
      <c r="O221" s="49"/>
    </row>
    <row r="222" spans="1:15" ht="14.25" customHeight="1" x14ac:dyDescent="0.2">
      <c r="A222" s="1459" t="s">
        <v>23</v>
      </c>
      <c r="B222" s="1460"/>
      <c r="C222" s="1460"/>
      <c r="D222" s="1460"/>
      <c r="E222" s="1460"/>
      <c r="F222" s="1460"/>
      <c r="G222" s="1461"/>
      <c r="H222" s="55">
        <f>SUMIF(G17:G201,"LRVB",H17:H201)</f>
        <v>0</v>
      </c>
      <c r="I222" s="55">
        <f>SUMIF(G17:G201,"LRVB",I17:I201)</f>
        <v>0</v>
      </c>
      <c r="J222" s="55">
        <f>SUMIF(G17:G201,"LRVB",J17:J201)</f>
        <v>0</v>
      </c>
      <c r="K222" s="49"/>
      <c r="L222" s="49"/>
      <c r="M222" s="49"/>
      <c r="N222" s="49"/>
      <c r="O222" s="49"/>
    </row>
    <row r="223" spans="1:15" ht="14.25" customHeight="1" x14ac:dyDescent="0.2">
      <c r="A223" s="1469" t="s">
        <v>24</v>
      </c>
      <c r="B223" s="1470"/>
      <c r="C223" s="1470"/>
      <c r="D223" s="1470"/>
      <c r="E223" s="1470"/>
      <c r="F223" s="1470"/>
      <c r="G223" s="1471"/>
      <c r="H223" s="55">
        <f>SUMIF(G17:G201,"Kt",H17:H201)</f>
        <v>104.5</v>
      </c>
      <c r="I223" s="55">
        <f>SUMIF(G17:G201,"Kt",I17:I201)</f>
        <v>104.4</v>
      </c>
      <c r="J223" s="55">
        <f>SUMIF(G17:G201,"Kt",J17:J201)</f>
        <v>78.2</v>
      </c>
      <c r="K223" s="49"/>
      <c r="L223" s="49"/>
      <c r="M223" s="49"/>
      <c r="N223" s="49"/>
      <c r="O223" s="49"/>
    </row>
    <row r="224" spans="1:15" ht="14.25" customHeight="1" thickBot="1" x14ac:dyDescent="0.25">
      <c r="A224" s="1436" t="s">
        <v>16</v>
      </c>
      <c r="B224" s="1437"/>
      <c r="C224" s="1437"/>
      <c r="D224" s="1437"/>
      <c r="E224" s="1437"/>
      <c r="F224" s="1437"/>
      <c r="G224" s="1438"/>
      <c r="H224" s="274">
        <f>SUM(H209,H219)</f>
        <v>28111</v>
      </c>
      <c r="I224" s="274">
        <f>SUM(I209,I219)</f>
        <v>28292.799999999999</v>
      </c>
      <c r="J224" s="274">
        <f>SUM(J209,J219)</f>
        <v>24443.3</v>
      </c>
      <c r="K224" s="49"/>
      <c r="L224" s="49"/>
      <c r="M224" s="49"/>
      <c r="N224" s="49"/>
      <c r="O224" s="49"/>
    </row>
    <row r="225" spans="1:15" x14ac:dyDescent="0.2">
      <c r="F225" s="689"/>
      <c r="G225" s="690"/>
      <c r="H225" s="691"/>
      <c r="I225" s="691"/>
      <c r="J225" s="691"/>
      <c r="K225" s="735"/>
    </row>
    <row r="226" spans="1:15" x14ac:dyDescent="0.2">
      <c r="F226" s="689"/>
      <c r="G226" s="689"/>
      <c r="H226" s="689"/>
      <c r="I226" s="689"/>
      <c r="J226" s="4"/>
      <c r="K226" s="4"/>
    </row>
    <row r="227" spans="1:15" x14ac:dyDescent="0.2">
      <c r="H227" s="14"/>
      <c r="I227" s="14"/>
      <c r="J227" s="1387" t="s">
        <v>482</v>
      </c>
      <c r="K227" s="1387"/>
      <c r="L227" s="1387"/>
      <c r="M227" s="1387"/>
    </row>
    <row r="228" spans="1:15" x14ac:dyDescent="0.2">
      <c r="A228" s="1"/>
      <c r="B228" s="1"/>
      <c r="C228" s="335"/>
      <c r="D228" s="1"/>
      <c r="E228" s="1"/>
      <c r="F228" s="1"/>
      <c r="G228" s="1"/>
      <c r="H228" s="49"/>
      <c r="I228" s="49"/>
      <c r="J228" s="49"/>
      <c r="K228" s="1"/>
      <c r="L228" s="1"/>
      <c r="M228" s="1"/>
      <c r="N228" s="1"/>
      <c r="O228" s="1"/>
    </row>
    <row r="229" spans="1:15" x14ac:dyDescent="0.2">
      <c r="A229" s="1"/>
      <c r="B229" s="1"/>
      <c r="C229" s="335"/>
      <c r="D229" s="1"/>
      <c r="E229" s="1"/>
      <c r="F229" s="1"/>
      <c r="G229" s="1"/>
      <c r="H229" s="49"/>
      <c r="I229" s="49"/>
      <c r="J229" s="49"/>
      <c r="K229" s="1"/>
      <c r="L229" s="1"/>
      <c r="M229" s="1"/>
      <c r="N229" s="1"/>
      <c r="O229" s="1"/>
    </row>
  </sheetData>
  <mergeCells count="237">
    <mergeCell ref="N48:N50"/>
    <mergeCell ref="D48:D51"/>
    <mergeCell ref="K48:K49"/>
    <mergeCell ref="N141:N142"/>
    <mergeCell ref="O145:O146"/>
    <mergeCell ref="N20:N21"/>
    <mergeCell ref="N34:N35"/>
    <mergeCell ref="N36:N37"/>
    <mergeCell ref="O54:O56"/>
    <mergeCell ref="O57:O58"/>
    <mergeCell ref="O73:O75"/>
    <mergeCell ref="N73:N75"/>
    <mergeCell ref="N82:N84"/>
    <mergeCell ref="K90:K92"/>
    <mergeCell ref="K73:K74"/>
    <mergeCell ref="D76:D79"/>
    <mergeCell ref="D88:D89"/>
    <mergeCell ref="D68:D70"/>
    <mergeCell ref="E68:E72"/>
    <mergeCell ref="K61:K62"/>
    <mergeCell ref="K63:K66"/>
    <mergeCell ref="D61:D66"/>
    <mergeCell ref="E61:E66"/>
    <mergeCell ref="F61:F66"/>
    <mergeCell ref="C94:G94"/>
    <mergeCell ref="D165:D166"/>
    <mergeCell ref="N85:N86"/>
    <mergeCell ref="O85:O86"/>
    <mergeCell ref="K76:K77"/>
    <mergeCell ref="O118:O119"/>
    <mergeCell ref="N125:N126"/>
    <mergeCell ref="N145:N146"/>
    <mergeCell ref="K165:K166"/>
    <mergeCell ref="C95:O95"/>
    <mergeCell ref="D101:D102"/>
    <mergeCell ref="E96:E98"/>
    <mergeCell ref="O111:O112"/>
    <mergeCell ref="N101:N102"/>
    <mergeCell ref="C116:C117"/>
    <mergeCell ref="D116:D117"/>
    <mergeCell ref="E116:E117"/>
    <mergeCell ref="D109:D110"/>
    <mergeCell ref="K109:K110"/>
    <mergeCell ref="D151:D154"/>
    <mergeCell ref="O116:O117"/>
    <mergeCell ref="D34:D35"/>
    <mergeCell ref="F34:F35"/>
    <mergeCell ref="D36:D37"/>
    <mergeCell ref="E36:E37"/>
    <mergeCell ref="F36:F37"/>
    <mergeCell ref="D82:D84"/>
    <mergeCell ref="D85:D86"/>
    <mergeCell ref="D73:D75"/>
    <mergeCell ref="D38:D39"/>
    <mergeCell ref="D41:D47"/>
    <mergeCell ref="E41:E47"/>
    <mergeCell ref="D57:D58"/>
    <mergeCell ref="F57:F58"/>
    <mergeCell ref="D54:D56"/>
    <mergeCell ref="E54:E56"/>
    <mergeCell ref="F54:F56"/>
    <mergeCell ref="H207:H208"/>
    <mergeCell ref="A203:K203"/>
    <mergeCell ref="A20:A21"/>
    <mergeCell ref="B20:B21"/>
    <mergeCell ref="C20:C21"/>
    <mergeCell ref="D20:D21"/>
    <mergeCell ref="F20:F21"/>
    <mergeCell ref="A31:A33"/>
    <mergeCell ref="B31:B33"/>
    <mergeCell ref="C31:C33"/>
    <mergeCell ref="D31:D33"/>
    <mergeCell ref="F31:F33"/>
    <mergeCell ref="F23:F24"/>
    <mergeCell ref="A23:A24"/>
    <mergeCell ref="B23:B24"/>
    <mergeCell ref="C23:C24"/>
    <mergeCell ref="K55:K56"/>
    <mergeCell ref="D23:D24"/>
    <mergeCell ref="D27:D28"/>
    <mergeCell ref="E27:E30"/>
    <mergeCell ref="A34:A35"/>
    <mergeCell ref="B34:B35"/>
    <mergeCell ref="C34:C35"/>
    <mergeCell ref="K196:K197"/>
    <mergeCell ref="K3:O3"/>
    <mergeCell ref="A7:O7"/>
    <mergeCell ref="A8:O8"/>
    <mergeCell ref="C13:O13"/>
    <mergeCell ref="A17:A19"/>
    <mergeCell ref="B17:B19"/>
    <mergeCell ref="C17:C19"/>
    <mergeCell ref="D17:D19"/>
    <mergeCell ref="F17:F19"/>
    <mergeCell ref="C4:C6"/>
    <mergeCell ref="D4:D6"/>
    <mergeCell ref="E4:E6"/>
    <mergeCell ref="F4:F6"/>
    <mergeCell ref="G4:G6"/>
    <mergeCell ref="H4:J4"/>
    <mergeCell ref="E18:E19"/>
    <mergeCell ref="E14:E16"/>
    <mergeCell ref="D14:D15"/>
    <mergeCell ref="H9:J9"/>
    <mergeCell ref="H10:J10"/>
    <mergeCell ref="H11:J11"/>
    <mergeCell ref="H12:J12"/>
    <mergeCell ref="H5:H6"/>
    <mergeCell ref="A125:A127"/>
    <mergeCell ref="B125:B127"/>
    <mergeCell ref="C125:C127"/>
    <mergeCell ref="D125:D127"/>
    <mergeCell ref="E125:E127"/>
    <mergeCell ref="D118:D119"/>
    <mergeCell ref="F116:F117"/>
    <mergeCell ref="F125:F127"/>
    <mergeCell ref="L111:L112"/>
    <mergeCell ref="A116:A117"/>
    <mergeCell ref="B116:B117"/>
    <mergeCell ref="A113:A115"/>
    <mergeCell ref="B113:B115"/>
    <mergeCell ref="C113:C115"/>
    <mergeCell ref="D113:D115"/>
    <mergeCell ref="A111:A112"/>
    <mergeCell ref="B111:B112"/>
    <mergeCell ref="C111:C112"/>
    <mergeCell ref="D111:D112"/>
    <mergeCell ref="E111:E112"/>
    <mergeCell ref="F111:F112"/>
    <mergeCell ref="E113:E115"/>
    <mergeCell ref="F113:F115"/>
    <mergeCell ref="K111:K112"/>
    <mergeCell ref="A148:A150"/>
    <mergeCell ref="B148:B150"/>
    <mergeCell ref="C148:C150"/>
    <mergeCell ref="C128:G128"/>
    <mergeCell ref="K128:O128"/>
    <mergeCell ref="D130:D132"/>
    <mergeCell ref="D141:D142"/>
    <mergeCell ref="K141:K142"/>
    <mergeCell ref="L141:L142"/>
    <mergeCell ref="O141:O142"/>
    <mergeCell ref="C129:O129"/>
    <mergeCell ref="E148:E150"/>
    <mergeCell ref="F148:F150"/>
    <mergeCell ref="D145:D147"/>
    <mergeCell ref="K145:K147"/>
    <mergeCell ref="D143:D144"/>
    <mergeCell ref="D135:D139"/>
    <mergeCell ref="E135:E137"/>
    <mergeCell ref="D148:D150"/>
    <mergeCell ref="A157:A159"/>
    <mergeCell ref="B157:B159"/>
    <mergeCell ref="C157:C159"/>
    <mergeCell ref="D157:D159"/>
    <mergeCell ref="E157:E159"/>
    <mergeCell ref="A161:A162"/>
    <mergeCell ref="B161:B162"/>
    <mergeCell ref="C161:C162"/>
    <mergeCell ref="D161:D162"/>
    <mergeCell ref="E161:E162"/>
    <mergeCell ref="A206:G206"/>
    <mergeCell ref="O190:O191"/>
    <mergeCell ref="D192:D193"/>
    <mergeCell ref="K192:K193"/>
    <mergeCell ref="N196:N197"/>
    <mergeCell ref="D196:D197"/>
    <mergeCell ref="O196:O197"/>
    <mergeCell ref="N174:N176"/>
    <mergeCell ref="O179:O180"/>
    <mergeCell ref="N179:N180"/>
    <mergeCell ref="N186:N187"/>
    <mergeCell ref="K186:K187"/>
    <mergeCell ref="B201:G201"/>
    <mergeCell ref="D183:D185"/>
    <mergeCell ref="A202:K202"/>
    <mergeCell ref="K201:O201"/>
    <mergeCell ref="C168:G168"/>
    <mergeCell ref="K168:O168"/>
    <mergeCell ref="B188:B191"/>
    <mergeCell ref="C188:C191"/>
    <mergeCell ref="E188:E191"/>
    <mergeCell ref="F188:F191"/>
    <mergeCell ref="K190:K191"/>
    <mergeCell ref="A186:A187"/>
    <mergeCell ref="B186:B187"/>
    <mergeCell ref="C186:C187"/>
    <mergeCell ref="D186:D187"/>
    <mergeCell ref="D188:D190"/>
    <mergeCell ref="A224:G224"/>
    <mergeCell ref="C169:O169"/>
    <mergeCell ref="C175:C182"/>
    <mergeCell ref="F196:F198"/>
    <mergeCell ref="C199:G199"/>
    <mergeCell ref="K199:O199"/>
    <mergeCell ref="B200:G200"/>
    <mergeCell ref="K200:O200"/>
    <mergeCell ref="E196:E198"/>
    <mergeCell ref="A213:G213"/>
    <mergeCell ref="K188:K189"/>
    <mergeCell ref="L190:L191"/>
    <mergeCell ref="A221:G221"/>
    <mergeCell ref="A222:G222"/>
    <mergeCell ref="A223:G223"/>
    <mergeCell ref="A218:G218"/>
    <mergeCell ref="A219:G219"/>
    <mergeCell ref="A220:G220"/>
    <mergeCell ref="A215:G215"/>
    <mergeCell ref="A216:G216"/>
    <mergeCell ref="A217:G217"/>
    <mergeCell ref="A212:G212"/>
    <mergeCell ref="A210:G210"/>
    <mergeCell ref="A211:G211"/>
    <mergeCell ref="J227:M227"/>
    <mergeCell ref="A214:G214"/>
    <mergeCell ref="A209:G209"/>
    <mergeCell ref="A1:O1"/>
    <mergeCell ref="A2:O2"/>
    <mergeCell ref="I207:I208"/>
    <mergeCell ref="J207:J208"/>
    <mergeCell ref="A207:G208"/>
    <mergeCell ref="B10:G10"/>
    <mergeCell ref="N4:N6"/>
    <mergeCell ref="O4:O6"/>
    <mergeCell ref="I5:I6"/>
    <mergeCell ref="J5:J6"/>
    <mergeCell ref="K5:K6"/>
    <mergeCell ref="L5:L6"/>
    <mergeCell ref="M5:M6"/>
    <mergeCell ref="A4:A6"/>
    <mergeCell ref="B4:B6"/>
    <mergeCell ref="K4:M4"/>
    <mergeCell ref="D105:D106"/>
    <mergeCell ref="K105:K106"/>
    <mergeCell ref="A188:A191"/>
    <mergeCell ref="N188:N189"/>
    <mergeCell ref="F161:F162"/>
  </mergeCells>
  <printOptions horizontalCentered="1"/>
  <pageMargins left="0.19685039370078741" right="0.19685039370078741" top="0.98425196850393704" bottom="0.19685039370078741" header="0" footer="0"/>
  <pageSetup paperSize="9" scale="70" orientation="landscape" r:id="rId1"/>
  <headerFooter alignWithMargins="0"/>
  <rowBreaks count="4" manualBreakCount="4">
    <brk id="47" max="14" man="1"/>
    <brk id="72" max="14" man="1"/>
    <brk id="121" max="14" man="1"/>
    <brk id="204"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76"/>
  <sheetViews>
    <sheetView topLeftCell="A236" workbookViewId="0">
      <selection activeCell="K201" sqref="K201"/>
    </sheetView>
  </sheetViews>
  <sheetFormatPr defaultRowHeight="12.75" x14ac:dyDescent="0.2"/>
  <cols>
    <col min="1" max="3" width="2.7109375" style="2" customWidth="1"/>
    <col min="4" max="4" width="3.140625" style="2" customWidth="1"/>
    <col min="5" max="5" width="36.28515625" style="2" customWidth="1"/>
    <col min="6" max="6" width="3.28515625" style="8" customWidth="1"/>
    <col min="7" max="7" width="0.140625" style="8" hidden="1" customWidth="1"/>
    <col min="8" max="8" width="3" style="11" customWidth="1"/>
    <col min="9" max="9" width="12.28515625" style="11" customWidth="1"/>
    <col min="10" max="10" width="7.85546875" style="3" customWidth="1"/>
    <col min="11" max="11" width="8.28515625" style="2" customWidth="1"/>
    <col min="12" max="12" width="8.85546875" style="2" customWidth="1"/>
    <col min="13" max="14" width="9" style="2" customWidth="1"/>
    <col min="15" max="15" width="38.7109375" style="2" customWidth="1"/>
    <col min="16" max="16" width="4" style="2" customWidth="1"/>
    <col min="17" max="19" width="3.85546875" style="2" customWidth="1"/>
    <col min="20" max="20" width="39" style="1" customWidth="1"/>
    <col min="21" max="16384" width="9.140625" style="1"/>
  </cols>
  <sheetData>
    <row r="1" spans="1:19" s="161" customFormat="1" ht="15.75" customHeight="1" x14ac:dyDescent="0.25">
      <c r="O1" s="1904" t="s">
        <v>153</v>
      </c>
      <c r="P1" s="1905"/>
      <c r="Q1" s="1905"/>
      <c r="R1" s="1905"/>
      <c r="S1" s="1905"/>
    </row>
    <row r="2" spans="1:19" s="37" customFormat="1" ht="15" x14ac:dyDescent="0.2">
      <c r="A2" s="1906" t="s">
        <v>348</v>
      </c>
      <c r="B2" s="1906"/>
      <c r="C2" s="1906"/>
      <c r="D2" s="1906"/>
      <c r="E2" s="1906"/>
      <c r="F2" s="1906"/>
      <c r="G2" s="1906"/>
      <c r="H2" s="1906"/>
      <c r="I2" s="1906"/>
      <c r="J2" s="1906"/>
      <c r="K2" s="1906"/>
      <c r="L2" s="1906"/>
      <c r="M2" s="1906"/>
      <c r="N2" s="1906"/>
      <c r="O2" s="1906"/>
      <c r="P2" s="1906"/>
      <c r="Q2" s="1906"/>
      <c r="R2" s="1906"/>
      <c r="S2" s="1906"/>
    </row>
    <row r="3" spans="1:19" ht="15.75" customHeight="1" x14ac:dyDescent="0.2">
      <c r="A3" s="1395" t="s">
        <v>29</v>
      </c>
      <c r="B3" s="1395"/>
      <c r="C3" s="1395"/>
      <c r="D3" s="1395"/>
      <c r="E3" s="1395"/>
      <c r="F3" s="1395"/>
      <c r="G3" s="1395"/>
      <c r="H3" s="1395"/>
      <c r="I3" s="1395"/>
      <c r="J3" s="1395"/>
      <c r="K3" s="1395"/>
      <c r="L3" s="1395"/>
      <c r="M3" s="1395"/>
      <c r="N3" s="1395"/>
      <c r="O3" s="1395"/>
      <c r="P3" s="1395"/>
      <c r="Q3" s="1395"/>
      <c r="R3" s="1395"/>
      <c r="S3" s="1395"/>
    </row>
    <row r="4" spans="1:19" ht="15" customHeight="1" x14ac:dyDescent="0.2">
      <c r="A4" s="1907" t="s">
        <v>17</v>
      </c>
      <c r="B4" s="1907"/>
      <c r="C4" s="1907"/>
      <c r="D4" s="1907"/>
      <c r="E4" s="1907"/>
      <c r="F4" s="1907"/>
      <c r="G4" s="1907"/>
      <c r="H4" s="1907"/>
      <c r="I4" s="1907"/>
      <c r="J4" s="1907"/>
      <c r="K4" s="1907"/>
      <c r="L4" s="1907"/>
      <c r="M4" s="1907"/>
      <c r="N4" s="1907"/>
      <c r="O4" s="1907"/>
      <c r="P4" s="1907"/>
      <c r="Q4" s="1907"/>
      <c r="R4" s="1907"/>
      <c r="S4" s="1907"/>
    </row>
    <row r="5" spans="1:19" ht="15" customHeight="1" thickBot="1" x14ac:dyDescent="0.25">
      <c r="A5" s="15"/>
      <c r="B5" s="15"/>
      <c r="C5" s="15"/>
      <c r="D5" s="15"/>
      <c r="E5" s="15"/>
      <c r="F5" s="16"/>
      <c r="G5" s="16"/>
      <c r="H5" s="17"/>
      <c r="I5" s="17"/>
      <c r="J5" s="254"/>
      <c r="K5" s="15"/>
      <c r="L5" s="15"/>
      <c r="M5" s="15"/>
      <c r="N5" s="15"/>
      <c r="O5" s="1598" t="s">
        <v>117</v>
      </c>
      <c r="P5" s="1598"/>
      <c r="Q5" s="1598"/>
      <c r="R5" s="1598"/>
      <c r="S5" s="1599"/>
    </row>
    <row r="6" spans="1:19" s="37" customFormat="1" ht="30" customHeight="1" x14ac:dyDescent="0.2">
      <c r="A6" s="1908" t="s">
        <v>18</v>
      </c>
      <c r="B6" s="1911" t="s">
        <v>0</v>
      </c>
      <c r="C6" s="1911" t="s">
        <v>1</v>
      </c>
      <c r="D6" s="1911" t="s">
        <v>27</v>
      </c>
      <c r="E6" s="1914" t="s">
        <v>12</v>
      </c>
      <c r="F6" s="1927" t="s">
        <v>2</v>
      </c>
      <c r="G6" s="1930" t="s">
        <v>123</v>
      </c>
      <c r="H6" s="1933" t="s">
        <v>3</v>
      </c>
      <c r="I6" s="1936" t="s">
        <v>64</v>
      </c>
      <c r="J6" s="1939" t="s">
        <v>4</v>
      </c>
      <c r="K6" s="1917" t="s">
        <v>342</v>
      </c>
      <c r="L6" s="1917" t="s">
        <v>363</v>
      </c>
      <c r="M6" s="1917" t="s">
        <v>213</v>
      </c>
      <c r="N6" s="1917" t="s">
        <v>349</v>
      </c>
      <c r="O6" s="1920" t="s">
        <v>11</v>
      </c>
      <c r="P6" s="1921"/>
      <c r="Q6" s="1921"/>
      <c r="R6" s="1921"/>
      <c r="S6" s="1922"/>
    </row>
    <row r="7" spans="1:19" s="37" customFormat="1" ht="18.75" customHeight="1" x14ac:dyDescent="0.2">
      <c r="A7" s="1909"/>
      <c r="B7" s="1912"/>
      <c r="C7" s="1912"/>
      <c r="D7" s="1912"/>
      <c r="E7" s="1915"/>
      <c r="F7" s="1928"/>
      <c r="G7" s="1931"/>
      <c r="H7" s="1934"/>
      <c r="I7" s="1937"/>
      <c r="J7" s="1940"/>
      <c r="K7" s="1918"/>
      <c r="L7" s="1918"/>
      <c r="M7" s="1918"/>
      <c r="N7" s="1918"/>
      <c r="O7" s="1923" t="s">
        <v>12</v>
      </c>
      <c r="P7" s="1925"/>
      <c r="Q7" s="1925"/>
      <c r="R7" s="1925"/>
      <c r="S7" s="1926"/>
    </row>
    <row r="8" spans="1:19" s="37" customFormat="1" ht="63" customHeight="1" thickBot="1" x14ac:dyDescent="0.25">
      <c r="A8" s="1910"/>
      <c r="B8" s="1913"/>
      <c r="C8" s="1913"/>
      <c r="D8" s="1913"/>
      <c r="E8" s="1916"/>
      <c r="F8" s="1929"/>
      <c r="G8" s="1932"/>
      <c r="H8" s="1935"/>
      <c r="I8" s="1938"/>
      <c r="J8" s="1941"/>
      <c r="K8" s="1919"/>
      <c r="L8" s="1919"/>
      <c r="M8" s="1919"/>
      <c r="N8" s="1919"/>
      <c r="O8" s="1924"/>
      <c r="P8" s="162" t="s">
        <v>106</v>
      </c>
      <c r="Q8" s="162" t="s">
        <v>154</v>
      </c>
      <c r="R8" s="162" t="s">
        <v>214</v>
      </c>
      <c r="S8" s="163" t="s">
        <v>350</v>
      </c>
    </row>
    <row r="9" spans="1:19" s="10" customFormat="1" ht="14.25" customHeight="1" x14ac:dyDescent="0.2">
      <c r="A9" s="1600" t="s">
        <v>63</v>
      </c>
      <c r="B9" s="1601"/>
      <c r="C9" s="1601"/>
      <c r="D9" s="1601"/>
      <c r="E9" s="1601"/>
      <c r="F9" s="1601"/>
      <c r="G9" s="1601"/>
      <c r="H9" s="1601"/>
      <c r="I9" s="1601"/>
      <c r="J9" s="1601"/>
      <c r="K9" s="1601"/>
      <c r="L9" s="1601"/>
      <c r="M9" s="1601"/>
      <c r="N9" s="1601"/>
      <c r="O9" s="1601"/>
      <c r="P9" s="1601"/>
      <c r="Q9" s="1601"/>
      <c r="R9" s="1601"/>
      <c r="S9" s="1602"/>
    </row>
    <row r="10" spans="1:19" s="10" customFormat="1" ht="14.25" customHeight="1" x14ac:dyDescent="0.2">
      <c r="A10" s="1603" t="s">
        <v>26</v>
      </c>
      <c r="B10" s="1604"/>
      <c r="C10" s="1604"/>
      <c r="D10" s="1604"/>
      <c r="E10" s="1604"/>
      <c r="F10" s="1604"/>
      <c r="G10" s="1604"/>
      <c r="H10" s="1604"/>
      <c r="I10" s="1604"/>
      <c r="J10" s="1604"/>
      <c r="K10" s="1604"/>
      <c r="L10" s="1604"/>
      <c r="M10" s="1604"/>
      <c r="N10" s="1604"/>
      <c r="O10" s="1604"/>
      <c r="P10" s="1604"/>
      <c r="Q10" s="1604"/>
      <c r="R10" s="1604"/>
      <c r="S10" s="1605"/>
    </row>
    <row r="11" spans="1:19" ht="16.5" customHeight="1" x14ac:dyDescent="0.2">
      <c r="A11" s="18" t="s">
        <v>5</v>
      </c>
      <c r="B11" s="1896" t="s">
        <v>30</v>
      </c>
      <c r="C11" s="1897"/>
      <c r="D11" s="1897"/>
      <c r="E11" s="1897"/>
      <c r="F11" s="1897"/>
      <c r="G11" s="1897"/>
      <c r="H11" s="1897"/>
      <c r="I11" s="1897"/>
      <c r="J11" s="1897"/>
      <c r="K11" s="1897"/>
      <c r="L11" s="1897"/>
      <c r="M11" s="1897"/>
      <c r="N11" s="1897"/>
      <c r="O11" s="1897"/>
      <c r="P11" s="1897"/>
      <c r="Q11" s="1897"/>
      <c r="R11" s="1897"/>
      <c r="S11" s="1898"/>
    </row>
    <row r="12" spans="1:19" ht="15" customHeight="1" x14ac:dyDescent="0.2">
      <c r="A12" s="253" t="s">
        <v>5</v>
      </c>
      <c r="B12" s="13" t="s">
        <v>5</v>
      </c>
      <c r="C12" s="1606" t="s">
        <v>31</v>
      </c>
      <c r="D12" s="1607"/>
      <c r="E12" s="1607"/>
      <c r="F12" s="1607"/>
      <c r="G12" s="1607"/>
      <c r="H12" s="1607"/>
      <c r="I12" s="1607"/>
      <c r="J12" s="1607"/>
      <c r="K12" s="1607"/>
      <c r="L12" s="1607"/>
      <c r="M12" s="1607"/>
      <c r="N12" s="1607"/>
      <c r="O12" s="1607"/>
      <c r="P12" s="1607"/>
      <c r="Q12" s="1607"/>
      <c r="R12" s="1607"/>
      <c r="S12" s="1608"/>
    </row>
    <row r="13" spans="1:19" ht="35.25" customHeight="1" x14ac:dyDescent="0.2">
      <c r="A13" s="909" t="s">
        <v>5</v>
      </c>
      <c r="B13" s="910" t="s">
        <v>5</v>
      </c>
      <c r="C13" s="971" t="s">
        <v>5</v>
      </c>
      <c r="D13" s="232"/>
      <c r="E13" s="53" t="s">
        <v>49</v>
      </c>
      <c r="F13" s="918" t="s">
        <v>90</v>
      </c>
      <c r="G13" s="216"/>
      <c r="H13" s="926" t="s">
        <v>43</v>
      </c>
      <c r="I13" s="1003"/>
      <c r="J13" s="172"/>
      <c r="K13" s="438"/>
      <c r="L13" s="438"/>
      <c r="M13" s="439"/>
      <c r="N13" s="438"/>
      <c r="O13" s="22"/>
      <c r="P13" s="12"/>
      <c r="Q13" s="12"/>
      <c r="R13" s="748"/>
      <c r="S13" s="759"/>
    </row>
    <row r="14" spans="1:19" ht="27.75" customHeight="1" x14ac:dyDescent="0.2">
      <c r="A14" s="1432"/>
      <c r="B14" s="1492"/>
      <c r="C14" s="1736"/>
      <c r="D14" s="1737" t="s">
        <v>5</v>
      </c>
      <c r="E14" s="1796" t="s">
        <v>170</v>
      </c>
      <c r="F14" s="284" t="s">
        <v>47</v>
      </c>
      <c r="G14" s="1879" t="s">
        <v>144</v>
      </c>
      <c r="H14" s="1497"/>
      <c r="I14" s="1850" t="s">
        <v>73</v>
      </c>
      <c r="J14" s="287" t="s">
        <v>104</v>
      </c>
      <c r="K14" s="264">
        <v>557.70000000000005</v>
      </c>
      <c r="L14" s="264"/>
      <c r="M14" s="133"/>
      <c r="N14" s="54"/>
      <c r="O14" s="479" t="s">
        <v>186</v>
      </c>
      <c r="P14" s="343" t="s">
        <v>266</v>
      </c>
      <c r="Q14" s="969"/>
      <c r="R14" s="418"/>
      <c r="S14" s="419"/>
    </row>
    <row r="15" spans="1:19" ht="13.5" customHeight="1" x14ac:dyDescent="0.2">
      <c r="A15" s="1432"/>
      <c r="B15" s="1492"/>
      <c r="C15" s="1736"/>
      <c r="D15" s="1551"/>
      <c r="E15" s="1555"/>
      <c r="F15" s="1888" t="s">
        <v>116</v>
      </c>
      <c r="G15" s="1880"/>
      <c r="H15" s="1497"/>
      <c r="I15" s="1743"/>
      <c r="J15" s="45"/>
      <c r="K15" s="64"/>
      <c r="L15" s="64"/>
      <c r="M15" s="101"/>
      <c r="N15" s="62"/>
      <c r="O15" s="1890" t="s">
        <v>360</v>
      </c>
      <c r="P15" s="365" t="s">
        <v>56</v>
      </c>
      <c r="Q15" s="499"/>
      <c r="R15" s="420"/>
      <c r="S15" s="421"/>
    </row>
    <row r="16" spans="1:19" ht="19.5" customHeight="1" x14ac:dyDescent="0.2">
      <c r="A16" s="1432"/>
      <c r="B16" s="1492"/>
      <c r="C16" s="1736"/>
      <c r="D16" s="1551"/>
      <c r="E16" s="1868"/>
      <c r="F16" s="1889"/>
      <c r="G16" s="1880"/>
      <c r="H16" s="1497"/>
      <c r="I16" s="1755"/>
      <c r="J16" s="44"/>
      <c r="K16" s="57"/>
      <c r="L16" s="57"/>
      <c r="M16" s="159"/>
      <c r="N16" s="61"/>
      <c r="O16" s="1673"/>
      <c r="P16" s="298"/>
      <c r="Q16" s="46"/>
      <c r="R16" s="299"/>
      <c r="S16" s="422"/>
    </row>
    <row r="17" spans="1:20" ht="15" customHeight="1" x14ac:dyDescent="0.2">
      <c r="A17" s="1432"/>
      <c r="B17" s="1492"/>
      <c r="C17" s="1736"/>
      <c r="D17" s="1737" t="s">
        <v>7</v>
      </c>
      <c r="E17" s="1527" t="s">
        <v>198</v>
      </c>
      <c r="F17" s="284" t="s">
        <v>47</v>
      </c>
      <c r="G17" s="1825" t="s">
        <v>224</v>
      </c>
      <c r="H17" s="1567"/>
      <c r="I17" s="1743" t="s">
        <v>72</v>
      </c>
      <c r="J17" s="85" t="s">
        <v>25</v>
      </c>
      <c r="K17" s="478">
        <f>25-25</f>
        <v>0</v>
      </c>
      <c r="L17" s="62">
        <v>33</v>
      </c>
      <c r="M17" s="686">
        <v>25</v>
      </c>
      <c r="N17" s="62">
        <v>300</v>
      </c>
      <c r="O17" s="916" t="s">
        <v>46</v>
      </c>
      <c r="P17" s="500"/>
      <c r="Q17" s="501"/>
      <c r="R17" s="1018">
        <v>1</v>
      </c>
      <c r="S17" s="502"/>
    </row>
    <row r="18" spans="1:20" ht="18.75" customHeight="1" x14ac:dyDescent="0.2">
      <c r="A18" s="1432"/>
      <c r="B18" s="1492"/>
      <c r="C18" s="1736"/>
      <c r="D18" s="1551"/>
      <c r="E18" s="1528"/>
      <c r="F18" s="1888" t="s">
        <v>116</v>
      </c>
      <c r="G18" s="1825"/>
      <c r="H18" s="1567"/>
      <c r="I18" s="1743"/>
      <c r="J18" s="85"/>
      <c r="K18" s="62"/>
      <c r="L18" s="62"/>
      <c r="M18" s="101"/>
      <c r="N18" s="62"/>
      <c r="O18" s="958"/>
      <c r="P18" s="594"/>
      <c r="Q18" s="595"/>
      <c r="R18" s="595"/>
      <c r="S18" s="596"/>
    </row>
    <row r="19" spans="1:20" ht="18" customHeight="1" x14ac:dyDescent="0.2">
      <c r="A19" s="1432"/>
      <c r="B19" s="1492"/>
      <c r="C19" s="1736"/>
      <c r="D19" s="1738"/>
      <c r="E19" s="1529"/>
      <c r="F19" s="1889"/>
      <c r="G19" s="1885"/>
      <c r="H19" s="1567"/>
      <c r="I19" s="1899"/>
      <c r="J19" s="88"/>
      <c r="K19" s="61"/>
      <c r="L19" s="442"/>
      <c r="M19" s="443"/>
      <c r="N19" s="442"/>
      <c r="O19" s="963"/>
      <c r="P19" s="20"/>
      <c r="Q19" s="46"/>
      <c r="R19" s="166"/>
      <c r="S19" s="30"/>
    </row>
    <row r="20" spans="1:20" ht="18.75" customHeight="1" x14ac:dyDescent="0.2">
      <c r="A20" s="923"/>
      <c r="B20" s="920"/>
      <c r="C20" s="356"/>
      <c r="D20" s="911" t="s">
        <v>28</v>
      </c>
      <c r="E20" s="1528" t="s">
        <v>293</v>
      </c>
      <c r="F20" s="284" t="s">
        <v>47</v>
      </c>
      <c r="G20" s="1880" t="s">
        <v>222</v>
      </c>
      <c r="H20" s="90"/>
      <c r="I20" s="1899"/>
      <c r="J20" s="85" t="s">
        <v>25</v>
      </c>
      <c r="K20" s="62">
        <v>1</v>
      </c>
      <c r="L20" s="62">
        <v>150</v>
      </c>
      <c r="M20" s="686">
        <v>579.9</v>
      </c>
      <c r="N20" s="62"/>
      <c r="O20" s="1900" t="s">
        <v>190</v>
      </c>
      <c r="P20" s="426">
        <v>1</v>
      </c>
      <c r="Q20" s="974"/>
      <c r="R20" s="370"/>
      <c r="S20" s="316"/>
    </row>
    <row r="21" spans="1:20" ht="24" customHeight="1" x14ac:dyDescent="0.2">
      <c r="A21" s="923"/>
      <c r="B21" s="920"/>
      <c r="C21" s="356"/>
      <c r="D21" s="911"/>
      <c r="E21" s="1528"/>
      <c r="F21" s="1901" t="s">
        <v>116</v>
      </c>
      <c r="G21" s="1880"/>
      <c r="H21" s="90"/>
      <c r="I21" s="972"/>
      <c r="J21" s="85" t="s">
        <v>62</v>
      </c>
      <c r="K21" s="478">
        <v>1.5</v>
      </c>
      <c r="L21" s="62"/>
      <c r="M21" s="101"/>
      <c r="N21" s="62"/>
      <c r="O21" s="1883"/>
      <c r="P21" s="426"/>
      <c r="Q21" s="974"/>
      <c r="R21" s="370"/>
      <c r="S21" s="316"/>
    </row>
    <row r="22" spans="1:20" ht="27.75" customHeight="1" x14ac:dyDescent="0.2">
      <c r="A22" s="923"/>
      <c r="B22" s="920"/>
      <c r="C22" s="356"/>
      <c r="D22" s="911"/>
      <c r="E22" s="1528"/>
      <c r="F22" s="1902"/>
      <c r="G22" s="1880"/>
      <c r="H22" s="90"/>
      <c r="I22" s="972"/>
      <c r="J22" s="85"/>
      <c r="K22" s="62"/>
      <c r="L22" s="62"/>
      <c r="M22" s="101"/>
      <c r="N22" s="62"/>
      <c r="O22" s="424" t="s">
        <v>191</v>
      </c>
      <c r="P22" s="425"/>
      <c r="Q22" s="197">
        <v>1</v>
      </c>
      <c r="R22" s="197"/>
      <c r="S22" s="111"/>
    </row>
    <row r="23" spans="1:20" ht="20.25" customHeight="1" x14ac:dyDescent="0.2">
      <c r="A23" s="923"/>
      <c r="B23" s="920"/>
      <c r="C23" s="356"/>
      <c r="D23" s="997"/>
      <c r="E23" s="1529"/>
      <c r="F23" s="1903"/>
      <c r="G23" s="1894"/>
      <c r="H23" s="90"/>
      <c r="I23" s="972"/>
      <c r="J23" s="136"/>
      <c r="K23" s="61"/>
      <c r="L23" s="61"/>
      <c r="M23" s="159"/>
      <c r="N23" s="61"/>
      <c r="O23" s="480" t="s">
        <v>192</v>
      </c>
      <c r="P23" s="20"/>
      <c r="Q23" s="46">
        <v>20</v>
      </c>
      <c r="R23" s="671">
        <v>100</v>
      </c>
      <c r="S23" s="289"/>
    </row>
    <row r="24" spans="1:20" ht="15" customHeight="1" x14ac:dyDescent="0.2">
      <c r="A24" s="1432"/>
      <c r="B24" s="1492"/>
      <c r="C24" s="1736"/>
      <c r="D24" s="1737" t="s">
        <v>33</v>
      </c>
      <c r="E24" s="1433" t="s">
        <v>294</v>
      </c>
      <c r="F24" s="954" t="s">
        <v>47</v>
      </c>
      <c r="G24" s="1884" t="s">
        <v>145</v>
      </c>
      <c r="H24" s="1567"/>
      <c r="I24" s="417"/>
      <c r="J24" s="89" t="s">
        <v>25</v>
      </c>
      <c r="K24" s="766">
        <f>700-300-100</f>
        <v>300</v>
      </c>
      <c r="L24" s="766">
        <f>1629.1+300+100</f>
        <v>2029.1</v>
      </c>
      <c r="M24" s="133"/>
      <c r="N24" s="54"/>
      <c r="O24" s="958" t="s">
        <v>215</v>
      </c>
      <c r="P24" s="454">
        <v>20</v>
      </c>
      <c r="Q24" s="461">
        <v>100</v>
      </c>
      <c r="R24" s="672"/>
      <c r="S24" s="462"/>
    </row>
    <row r="25" spans="1:20" ht="8.25" customHeight="1" x14ac:dyDescent="0.2">
      <c r="A25" s="1432"/>
      <c r="B25" s="1492"/>
      <c r="C25" s="1736"/>
      <c r="D25" s="1551"/>
      <c r="E25" s="1500"/>
      <c r="F25" s="485"/>
      <c r="G25" s="1825"/>
      <c r="H25" s="1567"/>
      <c r="I25" s="417"/>
      <c r="J25" s="85"/>
      <c r="K25" s="62"/>
      <c r="L25" s="62"/>
      <c r="M25" s="101"/>
      <c r="N25" s="62"/>
      <c r="O25" s="958"/>
      <c r="P25" s="454"/>
      <c r="Q25" s="461"/>
      <c r="R25" s="202"/>
      <c r="S25" s="220"/>
    </row>
    <row r="26" spans="1:20" ht="17.25" customHeight="1" x14ac:dyDescent="0.2">
      <c r="A26" s="1432"/>
      <c r="B26" s="1492"/>
      <c r="C26" s="1736"/>
      <c r="D26" s="1738"/>
      <c r="E26" s="1501"/>
      <c r="F26" s="481"/>
      <c r="G26" s="1885"/>
      <c r="H26" s="1567"/>
      <c r="I26" s="417"/>
      <c r="J26" s="136"/>
      <c r="K26" s="61"/>
      <c r="L26" s="61"/>
      <c r="M26" s="159"/>
      <c r="N26" s="61"/>
      <c r="O26" s="431"/>
      <c r="P26" s="171"/>
      <c r="Q26" s="288"/>
      <c r="R26" s="673"/>
      <c r="S26" s="290"/>
    </row>
    <row r="27" spans="1:20" ht="17.25" customHeight="1" x14ac:dyDescent="0.2">
      <c r="A27" s="923"/>
      <c r="B27" s="920"/>
      <c r="C27" s="356"/>
      <c r="D27" s="911" t="s">
        <v>34</v>
      </c>
      <c r="E27" s="1570" t="s">
        <v>304</v>
      </c>
      <c r="F27" s="1019" t="s">
        <v>47</v>
      </c>
      <c r="G27" s="1884" t="s">
        <v>225</v>
      </c>
      <c r="H27" s="942"/>
      <c r="I27" s="417"/>
      <c r="J27" s="85" t="s">
        <v>45</v>
      </c>
      <c r="K27" s="62">
        <v>31.2</v>
      </c>
      <c r="L27" s="176"/>
      <c r="M27" s="506"/>
      <c r="N27" s="176"/>
      <c r="O27" s="958" t="s">
        <v>46</v>
      </c>
      <c r="P27" s="313"/>
      <c r="Q27" s="974">
        <v>1</v>
      </c>
      <c r="R27" s="974"/>
      <c r="S27" s="989"/>
      <c r="T27" s="1020"/>
    </row>
    <row r="28" spans="1:20" ht="18" customHeight="1" x14ac:dyDescent="0.2">
      <c r="A28" s="923"/>
      <c r="B28" s="920"/>
      <c r="C28" s="355"/>
      <c r="D28" s="997"/>
      <c r="E28" s="1829"/>
      <c r="F28" s="1021" t="s">
        <v>395</v>
      </c>
      <c r="G28" s="1893"/>
      <c r="H28" s="942"/>
      <c r="I28" s="417"/>
      <c r="J28" s="88"/>
      <c r="K28" s="442"/>
      <c r="L28" s="50"/>
      <c r="M28" s="507"/>
      <c r="N28" s="50"/>
      <c r="O28" s="223"/>
      <c r="P28" s="20"/>
      <c r="Q28" s="46"/>
      <c r="R28" s="46"/>
      <c r="S28" s="21"/>
    </row>
    <row r="29" spans="1:20" ht="13.5" customHeight="1" x14ac:dyDescent="0.2">
      <c r="A29" s="923"/>
      <c r="B29" s="920"/>
      <c r="C29" s="356"/>
      <c r="D29" s="911" t="s">
        <v>35</v>
      </c>
      <c r="E29" s="1528" t="s">
        <v>205</v>
      </c>
      <c r="F29" s="952" t="s">
        <v>47</v>
      </c>
      <c r="G29" s="1880" t="s">
        <v>223</v>
      </c>
      <c r="H29" s="90"/>
      <c r="I29" s="258"/>
      <c r="J29" s="85" t="s">
        <v>25</v>
      </c>
      <c r="K29" s="440"/>
      <c r="L29" s="440"/>
      <c r="M29" s="441">
        <v>31</v>
      </c>
      <c r="N29" s="440"/>
      <c r="O29" s="916" t="s">
        <v>193</v>
      </c>
      <c r="P29" s="428"/>
      <c r="Q29" s="428"/>
      <c r="R29" s="646">
        <v>1</v>
      </c>
      <c r="S29" s="760"/>
    </row>
    <row r="30" spans="1:20" ht="23.25" customHeight="1" x14ac:dyDescent="0.2">
      <c r="A30" s="923"/>
      <c r="B30" s="920"/>
      <c r="C30" s="355"/>
      <c r="D30" s="997"/>
      <c r="E30" s="1529"/>
      <c r="F30" s="955"/>
      <c r="G30" s="1894"/>
      <c r="H30" s="90"/>
      <c r="I30" s="258"/>
      <c r="J30" s="136"/>
      <c r="K30" s="442"/>
      <c r="L30" s="442"/>
      <c r="M30" s="443"/>
      <c r="N30" s="442"/>
      <c r="O30" s="570"/>
      <c r="P30" s="430"/>
      <c r="Q30" s="430"/>
      <c r="R30" s="647"/>
      <c r="S30" s="761"/>
    </row>
    <row r="31" spans="1:20" ht="13.5" customHeight="1" x14ac:dyDescent="0.2">
      <c r="A31" s="923"/>
      <c r="B31" s="920"/>
      <c r="C31" s="983"/>
      <c r="D31" s="1737" t="s">
        <v>36</v>
      </c>
      <c r="E31" s="1569" t="s">
        <v>295</v>
      </c>
      <c r="F31" s="954" t="s">
        <v>47</v>
      </c>
      <c r="G31" s="1825" t="s">
        <v>124</v>
      </c>
      <c r="H31" s="1567"/>
      <c r="I31" s="417"/>
      <c r="J31" s="85" t="s">
        <v>25</v>
      </c>
      <c r="K31" s="440"/>
      <c r="L31" s="62">
        <v>25</v>
      </c>
      <c r="M31" s="101">
        <v>350</v>
      </c>
      <c r="N31" s="62"/>
      <c r="O31" s="932" t="s">
        <v>193</v>
      </c>
      <c r="P31" s="980"/>
      <c r="Q31" s="980">
        <v>1</v>
      </c>
      <c r="R31" s="292"/>
      <c r="S31" s="989"/>
    </row>
    <row r="32" spans="1:20" ht="26.25" customHeight="1" x14ac:dyDescent="0.2">
      <c r="A32" s="923"/>
      <c r="B32" s="920"/>
      <c r="C32" s="983"/>
      <c r="D32" s="1738"/>
      <c r="E32" s="1829"/>
      <c r="F32" s="955"/>
      <c r="G32" s="1895"/>
      <c r="H32" s="1567"/>
      <c r="I32" s="417"/>
      <c r="J32" s="88"/>
      <c r="K32" s="442"/>
      <c r="L32" s="61"/>
      <c r="M32" s="159"/>
      <c r="N32" s="61"/>
      <c r="O32" s="932" t="s">
        <v>343</v>
      </c>
      <c r="P32" s="980"/>
      <c r="Q32" s="980"/>
      <c r="R32" s="292">
        <v>100</v>
      </c>
      <c r="S32" s="989"/>
    </row>
    <row r="33" spans="1:19" ht="27.75" customHeight="1" x14ac:dyDescent="0.2">
      <c r="A33" s="923"/>
      <c r="B33" s="920"/>
      <c r="C33" s="356"/>
      <c r="D33" s="911" t="s">
        <v>277</v>
      </c>
      <c r="E33" s="1528" t="s">
        <v>301</v>
      </c>
      <c r="F33" s="1019" t="s">
        <v>47</v>
      </c>
      <c r="G33" s="1880" t="s">
        <v>223</v>
      </c>
      <c r="H33" s="90"/>
      <c r="I33" s="258"/>
      <c r="J33" s="85" t="s">
        <v>25</v>
      </c>
      <c r="K33" s="62"/>
      <c r="L33" s="62">
        <v>19.5</v>
      </c>
      <c r="M33" s="441"/>
      <c r="N33" s="440"/>
      <c r="O33" s="916" t="s">
        <v>308</v>
      </c>
      <c r="P33" s="428"/>
      <c r="Q33" s="428">
        <v>1</v>
      </c>
      <c r="R33" s="646"/>
      <c r="S33" s="760"/>
    </row>
    <row r="34" spans="1:19" ht="22.5" customHeight="1" x14ac:dyDescent="0.2">
      <c r="A34" s="923"/>
      <c r="B34" s="920"/>
      <c r="C34" s="356"/>
      <c r="D34" s="911"/>
      <c r="E34" s="1528"/>
      <c r="F34" s="1019" t="s">
        <v>395</v>
      </c>
      <c r="G34" s="1880"/>
      <c r="H34" s="90"/>
      <c r="I34" s="259"/>
      <c r="J34" s="88"/>
      <c r="K34" s="442"/>
      <c r="L34" s="442"/>
      <c r="M34" s="443"/>
      <c r="N34" s="442"/>
      <c r="O34" s="562"/>
      <c r="P34" s="429"/>
      <c r="Q34" s="429"/>
      <c r="R34" s="648"/>
      <c r="S34" s="738"/>
    </row>
    <row r="35" spans="1:19" ht="17.25" customHeight="1" thickBot="1" x14ac:dyDescent="0.25">
      <c r="A35" s="68"/>
      <c r="B35" s="939"/>
      <c r="C35" s="190"/>
      <c r="D35" s="270"/>
      <c r="E35" s="347"/>
      <c r="F35" s="348"/>
      <c r="G35" s="349"/>
      <c r="H35" s="270"/>
      <c r="I35" s="338"/>
      <c r="J35" s="218" t="s">
        <v>6</v>
      </c>
      <c r="K35" s="146">
        <f>SUM(K14:K34)</f>
        <v>891.4</v>
      </c>
      <c r="L35" s="146">
        <f>SUM(L14:L34)</f>
        <v>2256.6</v>
      </c>
      <c r="M35" s="218">
        <f>SUM(M14:M34)</f>
        <v>985.9</v>
      </c>
      <c r="N35" s="146">
        <f>SUM(N14:N34)</f>
        <v>300</v>
      </c>
      <c r="O35" s="364"/>
      <c r="P35" s="352"/>
      <c r="Q35" s="353"/>
      <c r="R35" s="353"/>
      <c r="S35" s="354"/>
    </row>
    <row r="36" spans="1:19" ht="32.25" customHeight="1" x14ac:dyDescent="0.2">
      <c r="A36" s="936" t="s">
        <v>5</v>
      </c>
      <c r="B36" s="938" t="s">
        <v>5</v>
      </c>
      <c r="C36" s="350" t="s">
        <v>7</v>
      </c>
      <c r="D36" s="198"/>
      <c r="E36" s="112" t="s">
        <v>50</v>
      </c>
      <c r="F36" s="115" t="s">
        <v>93</v>
      </c>
      <c r="G36" s="105"/>
      <c r="H36" s="126" t="s">
        <v>43</v>
      </c>
      <c r="I36" s="221"/>
      <c r="J36" s="71"/>
      <c r="K36" s="445"/>
      <c r="L36" s="445"/>
      <c r="M36" s="444"/>
      <c r="N36" s="445"/>
      <c r="O36" s="65"/>
      <c r="P36" s="27"/>
      <c r="Q36" s="27"/>
      <c r="R36" s="655"/>
      <c r="S36" s="762"/>
    </row>
    <row r="37" spans="1:19" ht="39.75" customHeight="1" x14ac:dyDescent="0.2">
      <c r="A37" s="1633"/>
      <c r="B37" s="1492"/>
      <c r="C37" s="1736"/>
      <c r="D37" s="911" t="s">
        <v>5</v>
      </c>
      <c r="E37" s="1528" t="s">
        <v>291</v>
      </c>
      <c r="F37" s="952" t="s">
        <v>47</v>
      </c>
      <c r="G37" s="1891" t="s">
        <v>126</v>
      </c>
      <c r="H37" s="1497"/>
      <c r="I37" s="1743" t="s">
        <v>72</v>
      </c>
      <c r="J37" s="89" t="s">
        <v>105</v>
      </c>
      <c r="K37" s="54">
        <v>100</v>
      </c>
      <c r="L37" s="54">
        <v>300</v>
      </c>
      <c r="M37" s="133">
        <v>300</v>
      </c>
      <c r="N37" s="54"/>
      <c r="O37" s="43" t="s">
        <v>201</v>
      </c>
      <c r="P37" s="47">
        <v>1</v>
      </c>
      <c r="Q37" s="47"/>
      <c r="R37" s="650"/>
      <c r="S37" s="110"/>
    </row>
    <row r="38" spans="1:19" ht="45" customHeight="1" x14ac:dyDescent="0.2">
      <c r="A38" s="1633"/>
      <c r="B38" s="1492"/>
      <c r="C38" s="1736"/>
      <c r="D38" s="921"/>
      <c r="E38" s="1528"/>
      <c r="F38" s="952"/>
      <c r="G38" s="1892"/>
      <c r="H38" s="1497"/>
      <c r="I38" s="1743"/>
      <c r="J38" s="85" t="s">
        <v>25</v>
      </c>
      <c r="K38" s="62">
        <f>1000-366.6</f>
        <v>633.4</v>
      </c>
      <c r="L38" s="62">
        <v>800</v>
      </c>
      <c r="M38" s="101">
        <v>800</v>
      </c>
      <c r="N38" s="62">
        <v>647</v>
      </c>
      <c r="O38" s="29" t="s">
        <v>268</v>
      </c>
      <c r="P38" s="47">
        <v>100</v>
      </c>
      <c r="Q38" s="47"/>
      <c r="R38" s="650"/>
      <c r="S38" s="110"/>
    </row>
    <row r="39" spans="1:19" ht="30" customHeight="1" x14ac:dyDescent="0.2">
      <c r="A39" s="1633"/>
      <c r="B39" s="1492"/>
      <c r="C39" s="1736"/>
      <c r="D39" s="921"/>
      <c r="E39" s="1528"/>
      <c r="F39" s="952"/>
      <c r="G39" s="1892"/>
      <c r="H39" s="1497"/>
      <c r="I39" s="1743"/>
      <c r="J39" s="85" t="s">
        <v>104</v>
      </c>
      <c r="K39" s="62">
        <v>366.6</v>
      </c>
      <c r="L39" s="62"/>
      <c r="M39" s="101"/>
      <c r="N39" s="62"/>
      <c r="O39" s="29" t="s">
        <v>269</v>
      </c>
      <c r="P39" s="47">
        <v>40</v>
      </c>
      <c r="Q39" s="47">
        <v>100</v>
      </c>
      <c r="R39" s="650"/>
      <c r="S39" s="110"/>
    </row>
    <row r="40" spans="1:19" ht="40.5" customHeight="1" x14ac:dyDescent="0.2">
      <c r="A40" s="1633"/>
      <c r="B40" s="1492"/>
      <c r="C40" s="1736"/>
      <c r="D40" s="921"/>
      <c r="E40" s="1528"/>
      <c r="F40" s="952"/>
      <c r="G40" s="1892"/>
      <c r="H40" s="1497"/>
      <c r="I40" s="1743"/>
      <c r="J40" s="85"/>
      <c r="K40" s="62"/>
      <c r="L40" s="62"/>
      <c r="M40" s="101"/>
      <c r="N40" s="62"/>
      <c r="O40" s="29" t="s">
        <v>270</v>
      </c>
      <c r="P40" s="47"/>
      <c r="Q40" s="47">
        <v>30</v>
      </c>
      <c r="R40" s="650">
        <v>60</v>
      </c>
      <c r="S40" s="110"/>
    </row>
    <row r="41" spans="1:19" ht="24.75" customHeight="1" x14ac:dyDescent="0.2">
      <c r="A41" s="1633"/>
      <c r="B41" s="1492"/>
      <c r="C41" s="1736"/>
      <c r="D41" s="1737" t="s">
        <v>7</v>
      </c>
      <c r="E41" s="1527" t="s">
        <v>59</v>
      </c>
      <c r="F41" s="113" t="s">
        <v>47</v>
      </c>
      <c r="G41" s="1846" t="s">
        <v>125</v>
      </c>
      <c r="H41" s="1567"/>
      <c r="I41" s="129"/>
      <c r="J41" s="89" t="s">
        <v>105</v>
      </c>
      <c r="K41" s="54">
        <v>0</v>
      </c>
      <c r="L41" s="766">
        <f>2200+650</f>
        <v>2850</v>
      </c>
      <c r="M41" s="710">
        <f>1400+750</f>
        <v>2150</v>
      </c>
      <c r="N41" s="54"/>
      <c r="O41" s="1656" t="s">
        <v>195</v>
      </c>
      <c r="P41" s="977">
        <v>0</v>
      </c>
      <c r="Q41" s="852">
        <v>70</v>
      </c>
      <c r="R41" s="651">
        <v>100</v>
      </c>
      <c r="S41" s="982"/>
    </row>
    <row r="42" spans="1:19" ht="12.75" customHeight="1" x14ac:dyDescent="0.2">
      <c r="A42" s="1633"/>
      <c r="B42" s="1492"/>
      <c r="C42" s="1736"/>
      <c r="D42" s="1551"/>
      <c r="E42" s="1528"/>
      <c r="F42" s="114"/>
      <c r="G42" s="1886"/>
      <c r="H42" s="1567"/>
      <c r="I42" s="129"/>
      <c r="J42" s="85" t="s">
        <v>25</v>
      </c>
      <c r="K42" s="478">
        <f>100-87.4</f>
        <v>12.6</v>
      </c>
      <c r="L42" s="478">
        <f>300+87.4</f>
        <v>387.4</v>
      </c>
      <c r="M42" s="101">
        <v>572.6</v>
      </c>
      <c r="N42" s="62"/>
      <c r="O42" s="1883"/>
      <c r="P42" s="854"/>
      <c r="Q42" s="854"/>
      <c r="R42" s="657"/>
      <c r="S42" s="316"/>
    </row>
    <row r="43" spans="1:19" ht="9.75" customHeight="1" x14ac:dyDescent="0.2">
      <c r="A43" s="1633"/>
      <c r="B43" s="1492"/>
      <c r="C43" s="1736"/>
      <c r="D43" s="1738"/>
      <c r="E43" s="1529"/>
      <c r="F43" s="114"/>
      <c r="G43" s="1887"/>
      <c r="H43" s="1567"/>
      <c r="I43" s="129"/>
      <c r="J43" s="136"/>
      <c r="K43" s="61"/>
      <c r="L43" s="61"/>
      <c r="M43" s="159"/>
      <c r="N43" s="61"/>
      <c r="O43" s="260"/>
      <c r="P43" s="853"/>
      <c r="Q43" s="853"/>
      <c r="R43" s="652"/>
      <c r="S43" s="30"/>
    </row>
    <row r="44" spans="1:19" ht="17.25" customHeight="1" x14ac:dyDescent="0.2">
      <c r="A44" s="923"/>
      <c r="B44" s="920"/>
      <c r="C44" s="359"/>
      <c r="D44" s="1737" t="s">
        <v>28</v>
      </c>
      <c r="E44" s="1527" t="s">
        <v>296</v>
      </c>
      <c r="F44" s="1640" t="s">
        <v>47</v>
      </c>
      <c r="G44" s="1869" t="s">
        <v>226</v>
      </c>
      <c r="H44" s="1642"/>
      <c r="I44" s="1871"/>
      <c r="J44" s="89" t="s">
        <v>25</v>
      </c>
      <c r="K44" s="64">
        <v>6.2</v>
      </c>
      <c r="L44" s="64"/>
      <c r="M44" s="326"/>
      <c r="N44" s="64">
        <v>200</v>
      </c>
      <c r="O44" s="432" t="s">
        <v>98</v>
      </c>
      <c r="P44" s="433">
        <v>1</v>
      </c>
      <c r="Q44" s="414"/>
      <c r="R44" s="851"/>
      <c r="S44" s="988"/>
    </row>
    <row r="45" spans="1:19" ht="21.75" customHeight="1" x14ac:dyDescent="0.2">
      <c r="A45" s="923"/>
      <c r="B45" s="920"/>
      <c r="C45" s="359"/>
      <c r="D45" s="1738"/>
      <c r="E45" s="1528"/>
      <c r="F45" s="1877"/>
      <c r="G45" s="1878"/>
      <c r="H45" s="1642"/>
      <c r="I45" s="1871"/>
      <c r="J45" s="572" t="s">
        <v>62</v>
      </c>
      <c r="K45" s="767">
        <v>5.9</v>
      </c>
      <c r="L45" s="483"/>
      <c r="M45" s="482"/>
      <c r="N45" s="483"/>
      <c r="O45" s="563"/>
      <c r="P45" s="423"/>
      <c r="Q45" s="426"/>
      <c r="R45" s="292"/>
      <c r="S45" s="989"/>
    </row>
    <row r="46" spans="1:19" ht="17.25" customHeight="1" x14ac:dyDescent="0.2">
      <c r="A46" s="923"/>
      <c r="B46" s="920"/>
      <c r="C46" s="359"/>
      <c r="D46" s="911" t="s">
        <v>33</v>
      </c>
      <c r="E46" s="1433" t="s">
        <v>286</v>
      </c>
      <c r="F46" s="965"/>
      <c r="G46" s="1006"/>
      <c r="H46" s="966"/>
      <c r="I46" s="1000"/>
      <c r="J46" s="1022" t="s">
        <v>25</v>
      </c>
      <c r="K46" s="766">
        <f>5-5</f>
        <v>0</v>
      </c>
      <c r="L46" s="54">
        <f>30+5</f>
        <v>35</v>
      </c>
      <c r="M46" s="133">
        <v>70</v>
      </c>
      <c r="N46" s="54"/>
      <c r="O46" s="962" t="s">
        <v>309</v>
      </c>
      <c r="P46" s="458">
        <v>1</v>
      </c>
      <c r="Q46" s="414"/>
      <c r="R46" s="851"/>
      <c r="S46" s="988"/>
    </row>
    <row r="47" spans="1:19" ht="17.25" customHeight="1" x14ac:dyDescent="0.2">
      <c r="A47" s="923"/>
      <c r="B47" s="920"/>
      <c r="C47" s="359"/>
      <c r="D47" s="911"/>
      <c r="E47" s="1522"/>
      <c r="F47" s="965"/>
      <c r="G47" s="1006"/>
      <c r="H47" s="966"/>
      <c r="I47" s="1000"/>
      <c r="J47" s="755"/>
      <c r="K47" s="61"/>
      <c r="L47" s="61"/>
      <c r="M47" s="159"/>
      <c r="N47" s="61"/>
      <c r="O47" s="459" t="s">
        <v>46</v>
      </c>
      <c r="P47" s="460"/>
      <c r="Q47" s="435"/>
      <c r="R47" s="294">
        <v>1</v>
      </c>
      <c r="S47" s="21"/>
    </row>
    <row r="48" spans="1:19" ht="16.5" customHeight="1" x14ac:dyDescent="0.2">
      <c r="A48" s="923"/>
      <c r="B48" s="920"/>
      <c r="C48" s="359"/>
      <c r="D48" s="1737" t="s">
        <v>34</v>
      </c>
      <c r="E48" s="1527" t="s">
        <v>278</v>
      </c>
      <c r="F48" s="1640" t="s">
        <v>47</v>
      </c>
      <c r="G48" s="1869" t="s">
        <v>226</v>
      </c>
      <c r="H48" s="1642"/>
      <c r="I48" s="1871"/>
      <c r="J48" s="85" t="s">
        <v>45</v>
      </c>
      <c r="K48" s="64"/>
      <c r="L48" s="64"/>
      <c r="M48" s="326">
        <v>95</v>
      </c>
      <c r="N48" s="64"/>
      <c r="O48" s="563" t="s">
        <v>98</v>
      </c>
      <c r="P48" s="423"/>
      <c r="Q48" s="426"/>
      <c r="R48" s="292">
        <v>1</v>
      </c>
      <c r="S48" s="989"/>
    </row>
    <row r="49" spans="1:21" ht="17.25" customHeight="1" x14ac:dyDescent="0.2">
      <c r="A49" s="923"/>
      <c r="B49" s="920"/>
      <c r="C49" s="359"/>
      <c r="D49" s="1551"/>
      <c r="E49" s="1528"/>
      <c r="F49" s="1641"/>
      <c r="G49" s="1870"/>
      <c r="H49" s="1642"/>
      <c r="I49" s="1872"/>
      <c r="J49" s="755"/>
      <c r="K49" s="61"/>
      <c r="L49" s="61"/>
      <c r="M49" s="159"/>
      <c r="N49" s="61"/>
      <c r="O49" s="1007"/>
      <c r="P49" s="423"/>
      <c r="Q49" s="426"/>
      <c r="R49" s="292"/>
      <c r="S49" s="989"/>
    </row>
    <row r="50" spans="1:21" ht="16.5" customHeight="1" thickBot="1" x14ac:dyDescent="0.25">
      <c r="A50" s="68"/>
      <c r="B50" s="939"/>
      <c r="C50" s="190"/>
      <c r="D50" s="270"/>
      <c r="E50" s="347"/>
      <c r="F50" s="348"/>
      <c r="G50" s="349"/>
      <c r="H50" s="270"/>
      <c r="I50" s="228"/>
      <c r="J50" s="188" t="s">
        <v>6</v>
      </c>
      <c r="K50" s="91">
        <f>SUM(K37:K49)</f>
        <v>1124.7</v>
      </c>
      <c r="L50" s="91">
        <f>SUM(L37:L49)</f>
        <v>4372.3999999999996</v>
      </c>
      <c r="M50" s="270">
        <f t="shared" ref="M50:N50" si="0">SUM(M37:M49)</f>
        <v>3987.6</v>
      </c>
      <c r="N50" s="91">
        <f t="shared" si="0"/>
        <v>847</v>
      </c>
      <c r="O50" s="351"/>
      <c r="P50" s="352"/>
      <c r="Q50" s="353"/>
      <c r="R50" s="353"/>
      <c r="S50" s="354"/>
    </row>
    <row r="51" spans="1:21" ht="36" customHeight="1" x14ac:dyDescent="0.2">
      <c r="A51" s="923" t="s">
        <v>5</v>
      </c>
      <c r="B51" s="948" t="s">
        <v>5</v>
      </c>
      <c r="C51" s="983" t="s">
        <v>28</v>
      </c>
      <c r="D51" s="239"/>
      <c r="E51" s="241" t="s">
        <v>100</v>
      </c>
      <c r="F51" s="961" t="s">
        <v>95</v>
      </c>
      <c r="G51" s="106"/>
      <c r="H51" s="913" t="s">
        <v>43</v>
      </c>
      <c r="I51" s="242"/>
      <c r="J51" s="469"/>
      <c r="K51" s="468"/>
      <c r="L51" s="503"/>
      <c r="M51" s="240"/>
      <c r="N51" s="468"/>
      <c r="O51" s="933"/>
      <c r="P51" s="7"/>
      <c r="Q51" s="52"/>
      <c r="R51" s="167"/>
      <c r="S51" s="291"/>
    </row>
    <row r="52" spans="1:21" ht="14.1" customHeight="1" x14ac:dyDescent="0.2">
      <c r="A52" s="1432"/>
      <c r="B52" s="1591"/>
      <c r="C52" s="1736"/>
      <c r="D52" s="1876" t="s">
        <v>5</v>
      </c>
      <c r="E52" s="1433" t="s">
        <v>175</v>
      </c>
      <c r="F52" s="1827" t="s">
        <v>47</v>
      </c>
      <c r="G52" s="1879" t="s">
        <v>146</v>
      </c>
      <c r="H52" s="1876"/>
      <c r="I52" s="1873" t="s">
        <v>73</v>
      </c>
      <c r="J52" s="89" t="s">
        <v>105</v>
      </c>
      <c r="K52" s="768">
        <f>860-300</f>
        <v>560</v>
      </c>
      <c r="L52" s="264">
        <v>1000</v>
      </c>
      <c r="M52" s="133"/>
      <c r="N52" s="54"/>
      <c r="O52" s="1462"/>
      <c r="P52" s="979"/>
      <c r="Q52" s="969"/>
      <c r="R52" s="969"/>
      <c r="S52" s="988"/>
    </row>
    <row r="53" spans="1:21" ht="14.1" customHeight="1" x14ac:dyDescent="0.2">
      <c r="A53" s="1432"/>
      <c r="B53" s="1591"/>
      <c r="C53" s="1736"/>
      <c r="D53" s="1497"/>
      <c r="E53" s="1868"/>
      <c r="F53" s="1594"/>
      <c r="G53" s="1880"/>
      <c r="H53" s="1497"/>
      <c r="I53" s="1882"/>
      <c r="J53" s="85" t="s">
        <v>25</v>
      </c>
      <c r="K53" s="64">
        <f>618.4-420</f>
        <v>198.4</v>
      </c>
      <c r="L53" s="767">
        <v>875.5</v>
      </c>
      <c r="M53" s="718">
        <v>1280.8</v>
      </c>
      <c r="N53" s="64"/>
      <c r="O53" s="1663"/>
      <c r="P53" s="974"/>
      <c r="Q53" s="974"/>
      <c r="R53" s="974"/>
      <c r="S53" s="989"/>
    </row>
    <row r="54" spans="1:21" ht="14.1" customHeight="1" x14ac:dyDescent="0.2">
      <c r="A54" s="1432"/>
      <c r="B54" s="1591"/>
      <c r="C54" s="1736"/>
      <c r="D54" s="1497"/>
      <c r="E54" s="964"/>
      <c r="F54" s="1594"/>
      <c r="G54" s="1880"/>
      <c r="H54" s="1497"/>
      <c r="I54" s="1882"/>
      <c r="J54" s="85" t="s">
        <v>347</v>
      </c>
      <c r="K54" s="62">
        <v>984.5</v>
      </c>
      <c r="L54" s="62">
        <v>846.2</v>
      </c>
      <c r="M54" s="101">
        <v>149.9</v>
      </c>
      <c r="N54" s="62"/>
      <c r="O54" s="959"/>
      <c r="P54" s="974"/>
      <c r="Q54" s="974"/>
      <c r="R54" s="974"/>
      <c r="S54" s="989"/>
    </row>
    <row r="55" spans="1:21" ht="14.1" customHeight="1" x14ac:dyDescent="0.2">
      <c r="A55" s="1432"/>
      <c r="B55" s="1591"/>
      <c r="C55" s="1736"/>
      <c r="D55" s="1497"/>
      <c r="E55" s="964"/>
      <c r="F55" s="1594"/>
      <c r="G55" s="1880"/>
      <c r="H55" s="1497"/>
      <c r="I55" s="1882"/>
      <c r="J55" s="85" t="s">
        <v>48</v>
      </c>
      <c r="K55" s="478">
        <f>300-182.4</f>
        <v>117.6</v>
      </c>
      <c r="L55" s="478">
        <v>182.4</v>
      </c>
      <c r="M55" s="686">
        <v>0</v>
      </c>
      <c r="N55" s="62"/>
      <c r="O55" s="959"/>
      <c r="P55" s="974"/>
      <c r="Q55" s="974"/>
      <c r="R55" s="974"/>
      <c r="S55" s="989"/>
    </row>
    <row r="56" spans="1:21" ht="14.1" customHeight="1" x14ac:dyDescent="0.2">
      <c r="A56" s="1432"/>
      <c r="B56" s="1591"/>
      <c r="C56" s="1736"/>
      <c r="D56" s="1497"/>
      <c r="E56" s="964"/>
      <c r="F56" s="1594"/>
      <c r="G56" s="1880"/>
      <c r="H56" s="1497"/>
      <c r="I56" s="1882"/>
      <c r="J56" s="85" t="s">
        <v>45</v>
      </c>
      <c r="K56" s="62"/>
      <c r="L56" s="62">
        <v>150</v>
      </c>
      <c r="M56" s="101"/>
      <c r="N56" s="62"/>
      <c r="O56" s="959"/>
      <c r="P56" s="974"/>
      <c r="Q56" s="974"/>
      <c r="R56" s="974"/>
      <c r="S56" s="989"/>
    </row>
    <row r="57" spans="1:21" ht="14.1" customHeight="1" x14ac:dyDescent="0.2">
      <c r="A57" s="1432"/>
      <c r="B57" s="1591"/>
      <c r="C57" s="1736"/>
      <c r="D57" s="1497"/>
      <c r="E57" s="964"/>
      <c r="F57" s="1594"/>
      <c r="G57" s="1880"/>
      <c r="H57" s="1497"/>
      <c r="I57" s="1882"/>
      <c r="J57" s="85" t="s">
        <v>62</v>
      </c>
      <c r="K57" s="478">
        <f>420-260</f>
        <v>160</v>
      </c>
      <c r="L57" s="62"/>
      <c r="M57" s="101"/>
      <c r="N57" s="62"/>
      <c r="O57" s="959"/>
      <c r="P57" s="974"/>
      <c r="Q57" s="974"/>
      <c r="R57" s="974"/>
      <c r="S57" s="989"/>
    </row>
    <row r="58" spans="1:21" ht="25.5" customHeight="1" x14ac:dyDescent="0.2">
      <c r="A58" s="1432"/>
      <c r="B58" s="1591"/>
      <c r="C58" s="1736"/>
      <c r="D58" s="1497"/>
      <c r="E58" s="463" t="s">
        <v>199</v>
      </c>
      <c r="F58" s="1594"/>
      <c r="G58" s="1880"/>
      <c r="H58" s="1497"/>
      <c r="I58" s="1882"/>
      <c r="J58" s="145"/>
      <c r="K58" s="59"/>
      <c r="L58" s="59"/>
      <c r="M58" s="199"/>
      <c r="N58" s="59"/>
      <c r="O58" s="87" t="s">
        <v>271</v>
      </c>
      <c r="P58" s="24">
        <v>80</v>
      </c>
      <c r="Q58" s="173">
        <v>100</v>
      </c>
      <c r="R58" s="173"/>
      <c r="S58" s="25"/>
    </row>
    <row r="59" spans="1:21" ht="40.5" customHeight="1" x14ac:dyDescent="0.2">
      <c r="A59" s="1432"/>
      <c r="B59" s="1591"/>
      <c r="C59" s="1736"/>
      <c r="D59" s="1497"/>
      <c r="E59" s="919" t="s">
        <v>163</v>
      </c>
      <c r="F59" s="1653"/>
      <c r="G59" s="1881"/>
      <c r="H59" s="1867"/>
      <c r="I59" s="285"/>
      <c r="J59" s="88"/>
      <c r="K59" s="61"/>
      <c r="L59" s="61"/>
      <c r="M59" s="159"/>
      <c r="N59" s="61"/>
      <c r="O59" s="464" t="s">
        <v>272</v>
      </c>
      <c r="P59" s="20"/>
      <c r="Q59" s="46">
        <v>80</v>
      </c>
      <c r="R59" s="46">
        <v>100</v>
      </c>
      <c r="S59" s="21"/>
      <c r="U59" s="49"/>
    </row>
    <row r="60" spans="1:21" ht="15" customHeight="1" x14ac:dyDescent="0.2">
      <c r="A60" s="923"/>
      <c r="B60" s="948"/>
      <c r="C60" s="386"/>
      <c r="D60" s="1876" t="s">
        <v>7</v>
      </c>
      <c r="E60" s="1527" t="s">
        <v>356</v>
      </c>
      <c r="F60" s="1641" t="s">
        <v>396</v>
      </c>
      <c r="G60" s="1878" t="s">
        <v>127</v>
      </c>
      <c r="H60" s="1642"/>
      <c r="I60" s="1871" t="s">
        <v>72</v>
      </c>
      <c r="J60" s="85" t="s">
        <v>62</v>
      </c>
      <c r="K60" s="62">
        <f>295-32</f>
        <v>263</v>
      </c>
      <c r="L60" s="478">
        <v>32</v>
      </c>
      <c r="M60" s="101"/>
      <c r="N60" s="62"/>
      <c r="O60" s="1656" t="s">
        <v>196</v>
      </c>
      <c r="P60" s="769">
        <v>40</v>
      </c>
      <c r="Q60" s="980">
        <v>100</v>
      </c>
      <c r="R60" s="292"/>
      <c r="S60" s="989"/>
    </row>
    <row r="61" spans="1:21" ht="15.75" customHeight="1" x14ac:dyDescent="0.2">
      <c r="A61" s="923"/>
      <c r="B61" s="948"/>
      <c r="C61" s="386"/>
      <c r="D61" s="1497"/>
      <c r="E61" s="1528"/>
      <c r="F61" s="1641"/>
      <c r="G61" s="1878"/>
      <c r="H61" s="1642"/>
      <c r="I61" s="1871"/>
      <c r="J61" s="85" t="s">
        <v>25</v>
      </c>
      <c r="K61" s="478">
        <f>101.6-101.6</f>
        <v>0</v>
      </c>
      <c r="L61" s="478">
        <f>583.9-263.4+101.6</f>
        <v>422.1</v>
      </c>
      <c r="M61" s="101"/>
      <c r="N61" s="62"/>
      <c r="O61" s="1657"/>
      <c r="P61" s="980"/>
      <c r="Q61" s="980"/>
      <c r="R61" s="292"/>
      <c r="S61" s="989"/>
    </row>
    <row r="62" spans="1:21" ht="18" customHeight="1" x14ac:dyDescent="0.2">
      <c r="A62" s="923"/>
      <c r="B62" s="948"/>
      <c r="C62" s="386"/>
      <c r="D62" s="1867"/>
      <c r="E62" s="1529"/>
      <c r="F62" s="1877"/>
      <c r="G62" s="1870"/>
      <c r="H62" s="1642"/>
      <c r="I62" s="1872"/>
      <c r="J62" s="136" t="s">
        <v>104</v>
      </c>
      <c r="K62" s="778">
        <f>198.4-198.4</f>
        <v>0</v>
      </c>
      <c r="L62" s="778">
        <v>198.4</v>
      </c>
      <c r="M62" s="159"/>
      <c r="N62" s="61"/>
      <c r="O62" s="958" t="s">
        <v>46</v>
      </c>
      <c r="P62" s="20">
        <v>1</v>
      </c>
      <c r="Q62" s="20"/>
      <c r="R62" s="294"/>
      <c r="S62" s="21"/>
    </row>
    <row r="63" spans="1:21" ht="18" customHeight="1" x14ac:dyDescent="0.2">
      <c r="A63" s="923"/>
      <c r="B63" s="948"/>
      <c r="C63" s="386"/>
      <c r="D63" s="1737" t="s">
        <v>28</v>
      </c>
      <c r="E63" s="1527" t="s">
        <v>60</v>
      </c>
      <c r="F63" s="1874" t="s">
        <v>47</v>
      </c>
      <c r="G63" s="1869" t="s">
        <v>227</v>
      </c>
      <c r="H63" s="1642"/>
      <c r="I63" s="1871"/>
      <c r="J63" s="89" t="s">
        <v>25</v>
      </c>
      <c r="K63" s="54"/>
      <c r="L63" s="54">
        <v>50</v>
      </c>
      <c r="M63" s="133">
        <v>99</v>
      </c>
      <c r="N63" s="54"/>
      <c r="O63" s="915" t="s">
        <v>46</v>
      </c>
      <c r="P63" s="979"/>
      <c r="Q63" s="979"/>
      <c r="R63" s="851">
        <v>1</v>
      </c>
      <c r="S63" s="988"/>
    </row>
    <row r="64" spans="1:21" ht="16.5" customHeight="1" x14ac:dyDescent="0.2">
      <c r="A64" s="923"/>
      <c r="B64" s="948"/>
      <c r="C64" s="386"/>
      <c r="D64" s="1738"/>
      <c r="E64" s="1529"/>
      <c r="F64" s="1875"/>
      <c r="G64" s="1870"/>
      <c r="H64" s="1642"/>
      <c r="I64" s="1872"/>
      <c r="J64" s="136"/>
      <c r="K64" s="61"/>
      <c r="L64" s="61"/>
      <c r="M64" s="159"/>
      <c r="N64" s="61"/>
      <c r="O64" s="537"/>
      <c r="P64" s="935"/>
      <c r="Q64" s="935"/>
      <c r="R64" s="654"/>
      <c r="S64" s="994"/>
    </row>
    <row r="65" spans="1:19" ht="19.5" customHeight="1" x14ac:dyDescent="0.2">
      <c r="A65" s="923"/>
      <c r="B65" s="948"/>
      <c r="C65" s="386"/>
      <c r="D65" s="1737" t="s">
        <v>33</v>
      </c>
      <c r="E65" s="1433" t="s">
        <v>284</v>
      </c>
      <c r="F65" s="1004" t="s">
        <v>47</v>
      </c>
      <c r="G65" s="1869"/>
      <c r="H65" s="1642"/>
      <c r="I65" s="1871"/>
      <c r="J65" s="89" t="s">
        <v>25</v>
      </c>
      <c r="K65" s="54">
        <v>26</v>
      </c>
      <c r="L65" s="54"/>
      <c r="M65" s="133">
        <v>1084</v>
      </c>
      <c r="N65" s="54"/>
      <c r="O65" s="916" t="s">
        <v>46</v>
      </c>
      <c r="P65" s="414">
        <v>1</v>
      </c>
      <c r="Q65" s="414"/>
      <c r="R65" s="653"/>
      <c r="S65" s="763"/>
    </row>
    <row r="66" spans="1:19" ht="23.25" customHeight="1" x14ac:dyDescent="0.2">
      <c r="A66" s="923"/>
      <c r="B66" s="948"/>
      <c r="C66" s="386"/>
      <c r="D66" s="1551"/>
      <c r="E66" s="1868"/>
      <c r="F66" s="536"/>
      <c r="G66" s="1870"/>
      <c r="H66" s="1642"/>
      <c r="I66" s="1872"/>
      <c r="J66" s="136" t="s">
        <v>45</v>
      </c>
      <c r="K66" s="61">
        <v>40</v>
      </c>
      <c r="L66" s="61"/>
      <c r="M66" s="159"/>
      <c r="N66" s="61"/>
      <c r="O66" s="958" t="s">
        <v>194</v>
      </c>
      <c r="P66" s="426"/>
      <c r="Q66" s="426"/>
      <c r="R66" s="436">
        <v>100</v>
      </c>
      <c r="S66" s="597"/>
    </row>
    <row r="67" spans="1:19" ht="16.5" customHeight="1" thickBot="1" x14ac:dyDescent="0.25">
      <c r="A67" s="68"/>
      <c r="B67" s="939"/>
      <c r="C67" s="190"/>
      <c r="D67" s="270"/>
      <c r="E67" s="347"/>
      <c r="F67" s="348"/>
      <c r="G67" s="349"/>
      <c r="H67" s="270"/>
      <c r="I67" s="228"/>
      <c r="J67" s="188" t="s">
        <v>6</v>
      </c>
      <c r="K67" s="146">
        <f>SUM(K52:K66)</f>
        <v>2349.5</v>
      </c>
      <c r="L67" s="91">
        <f>SUM(L52:L66)</f>
        <v>3756.6</v>
      </c>
      <c r="M67" s="270">
        <f>SUM(M52:M66)</f>
        <v>2613.6999999999998</v>
      </c>
      <c r="N67" s="91">
        <f>SUM(N52:N66)</f>
        <v>0</v>
      </c>
      <c r="O67" s="351"/>
      <c r="P67" s="352"/>
      <c r="Q67" s="353"/>
      <c r="R67" s="353"/>
      <c r="S67" s="354"/>
    </row>
    <row r="68" spans="1:19" ht="33" customHeight="1" x14ac:dyDescent="0.2">
      <c r="A68" s="936" t="s">
        <v>5</v>
      </c>
      <c r="B68" s="267" t="s">
        <v>5</v>
      </c>
      <c r="C68" s="350" t="s">
        <v>33</v>
      </c>
      <c r="D68" s="99"/>
      <c r="E68" s="112" t="s">
        <v>51</v>
      </c>
      <c r="F68" s="116" t="s">
        <v>92</v>
      </c>
      <c r="G68" s="116"/>
      <c r="H68" s="127" t="s">
        <v>43</v>
      </c>
      <c r="I68" s="243"/>
      <c r="J68" s="71"/>
      <c r="K68" s="69"/>
      <c r="L68" s="69"/>
      <c r="M68" s="368"/>
      <c r="N68" s="69"/>
      <c r="O68" s="72"/>
      <c r="P68" s="27"/>
      <c r="Q68" s="27"/>
      <c r="R68" s="655"/>
      <c r="S68" s="762"/>
    </row>
    <row r="69" spans="1:19" ht="15" customHeight="1" x14ac:dyDescent="0.2">
      <c r="A69" s="923"/>
      <c r="B69" s="948"/>
      <c r="C69" s="983"/>
      <c r="D69" s="1827" t="s">
        <v>5</v>
      </c>
      <c r="E69" s="1433" t="s">
        <v>61</v>
      </c>
      <c r="F69" s="1640" t="s">
        <v>47</v>
      </c>
      <c r="G69" s="1865" t="s">
        <v>128</v>
      </c>
      <c r="H69" s="1594"/>
      <c r="I69" s="1873" t="s">
        <v>72</v>
      </c>
      <c r="J69" s="54" t="s">
        <v>105</v>
      </c>
      <c r="K69" s="366">
        <f>500+617.1</f>
        <v>1117.0999999999999</v>
      </c>
      <c r="L69" s="54">
        <v>200</v>
      </c>
      <c r="M69" s="710"/>
      <c r="N69" s="766"/>
      <c r="O69" s="1701" t="s">
        <v>273</v>
      </c>
      <c r="P69" s="770">
        <v>80</v>
      </c>
      <c r="Q69" s="770">
        <v>100</v>
      </c>
      <c r="R69" s="851"/>
      <c r="S69" s="988"/>
    </row>
    <row r="70" spans="1:19" ht="15" customHeight="1" x14ac:dyDescent="0.2">
      <c r="A70" s="923"/>
      <c r="B70" s="948"/>
      <c r="C70" s="983"/>
      <c r="D70" s="1594"/>
      <c r="E70" s="1500"/>
      <c r="F70" s="1641"/>
      <c r="G70" s="1858"/>
      <c r="H70" s="1594"/>
      <c r="I70" s="1871"/>
      <c r="J70" s="62" t="s">
        <v>25</v>
      </c>
      <c r="K70" s="686">
        <f>400+1508.2</f>
        <v>1908.2</v>
      </c>
      <c r="L70" s="478">
        <f>1500+635.7-1000.1</f>
        <v>1135.5999999999999</v>
      </c>
      <c r="M70" s="686"/>
      <c r="N70" s="478"/>
      <c r="O70" s="1863"/>
      <c r="P70" s="980"/>
      <c r="Q70" s="980"/>
      <c r="R70" s="292"/>
      <c r="S70" s="989"/>
    </row>
    <row r="71" spans="1:19" ht="15" customHeight="1" x14ac:dyDescent="0.2">
      <c r="A71" s="923"/>
      <c r="B71" s="948"/>
      <c r="C71" s="983"/>
      <c r="D71" s="1594"/>
      <c r="E71" s="1500"/>
      <c r="F71" s="1641"/>
      <c r="G71" s="1858"/>
      <c r="H71" s="1594"/>
      <c r="I71" s="1871"/>
      <c r="J71" s="62" t="s">
        <v>104</v>
      </c>
      <c r="K71" s="686">
        <v>198.4</v>
      </c>
      <c r="L71" s="478"/>
      <c r="M71" s="686"/>
      <c r="N71" s="478"/>
      <c r="O71" s="1007"/>
      <c r="P71" s="980"/>
      <c r="Q71" s="980"/>
      <c r="R71" s="292"/>
      <c r="S71" s="989"/>
    </row>
    <row r="72" spans="1:19" ht="15" customHeight="1" x14ac:dyDescent="0.2">
      <c r="A72" s="923"/>
      <c r="B72" s="948"/>
      <c r="C72" s="983"/>
      <c r="D72" s="1594"/>
      <c r="E72" s="1500"/>
      <c r="F72" s="1641"/>
      <c r="G72" s="1858"/>
      <c r="H72" s="1594"/>
      <c r="I72" s="1871"/>
      <c r="J72" s="62" t="s">
        <v>62</v>
      </c>
      <c r="K72" s="686">
        <v>192.4</v>
      </c>
      <c r="L72" s="478"/>
      <c r="M72" s="686"/>
      <c r="N72" s="478"/>
      <c r="O72" s="1007"/>
      <c r="P72" s="980"/>
      <c r="Q72" s="980"/>
      <c r="R72" s="292"/>
      <c r="S72" s="989"/>
    </row>
    <row r="73" spans="1:19" ht="15" customHeight="1" x14ac:dyDescent="0.2">
      <c r="A73" s="923"/>
      <c r="B73" s="948"/>
      <c r="C73" s="983"/>
      <c r="D73" s="1594"/>
      <c r="E73" s="1500"/>
      <c r="F73" s="1641"/>
      <c r="G73" s="1858"/>
      <c r="H73" s="1594"/>
      <c r="I73" s="1871"/>
      <c r="J73" s="62" t="s">
        <v>48</v>
      </c>
      <c r="K73" s="686">
        <f>993.4+482.4</f>
        <v>1475.8</v>
      </c>
      <c r="L73" s="478"/>
      <c r="M73" s="101"/>
      <c r="N73" s="62"/>
      <c r="O73" s="1703"/>
      <c r="P73" s="980"/>
      <c r="Q73" s="980"/>
      <c r="R73" s="292"/>
      <c r="S73" s="989"/>
    </row>
    <row r="74" spans="1:19" ht="15" customHeight="1" x14ac:dyDescent="0.2">
      <c r="A74" s="923"/>
      <c r="B74" s="948"/>
      <c r="C74" s="983"/>
      <c r="D74" s="1594"/>
      <c r="E74" s="1500"/>
      <c r="F74" s="1641"/>
      <c r="G74" s="1858"/>
      <c r="H74" s="1594"/>
      <c r="I74" s="1871"/>
      <c r="J74" s="61" t="s">
        <v>45</v>
      </c>
      <c r="K74" s="159">
        <v>3.2</v>
      </c>
      <c r="L74" s="61"/>
      <c r="M74" s="159"/>
      <c r="N74" s="61"/>
      <c r="O74" s="1864"/>
      <c r="P74" s="20"/>
      <c r="Q74" s="20"/>
      <c r="R74" s="292"/>
      <c r="S74" s="989"/>
    </row>
    <row r="75" spans="1:19" ht="15.75" customHeight="1" x14ac:dyDescent="0.2">
      <c r="A75" s="1432"/>
      <c r="B75" s="1591"/>
      <c r="C75" s="1736"/>
      <c r="D75" s="1737" t="s">
        <v>7</v>
      </c>
      <c r="E75" s="1527" t="s">
        <v>297</v>
      </c>
      <c r="F75" s="1856" t="s">
        <v>47</v>
      </c>
      <c r="G75" s="1865" t="s">
        <v>129</v>
      </c>
      <c r="H75" s="1497"/>
      <c r="I75" s="1743"/>
      <c r="J75" s="85" t="s">
        <v>105</v>
      </c>
      <c r="K75" s="62"/>
      <c r="L75" s="62"/>
      <c r="M75" s="101">
        <v>400</v>
      </c>
      <c r="N75" s="62"/>
      <c r="O75" s="771" t="s">
        <v>274</v>
      </c>
      <c r="P75" s="980"/>
      <c r="Q75" s="980"/>
      <c r="R75" s="851">
        <v>35</v>
      </c>
      <c r="S75" s="988"/>
    </row>
    <row r="76" spans="1:19" ht="17.25" customHeight="1" x14ac:dyDescent="0.2">
      <c r="A76" s="1432"/>
      <c r="B76" s="1591"/>
      <c r="C76" s="1736"/>
      <c r="D76" s="1551"/>
      <c r="E76" s="1528"/>
      <c r="F76" s="1457"/>
      <c r="G76" s="1866"/>
      <c r="H76" s="1867"/>
      <c r="I76" s="1755"/>
      <c r="J76" s="136"/>
      <c r="K76" s="61"/>
      <c r="L76" s="61"/>
      <c r="M76" s="159"/>
      <c r="N76" s="61"/>
      <c r="O76" s="293"/>
      <c r="P76" s="980"/>
      <c r="Q76" s="980"/>
      <c r="R76" s="292"/>
      <c r="S76" s="989"/>
    </row>
    <row r="77" spans="1:19" ht="14.25" customHeight="1" x14ac:dyDescent="0.2">
      <c r="A77" s="1432"/>
      <c r="B77" s="1591"/>
      <c r="C77" s="1736"/>
      <c r="D77" s="1737" t="s">
        <v>28</v>
      </c>
      <c r="E77" s="1527" t="s">
        <v>299</v>
      </c>
      <c r="F77" s="1856" t="s">
        <v>47</v>
      </c>
      <c r="G77" s="1858" t="s">
        <v>228</v>
      </c>
      <c r="H77" s="1860">
        <v>6</v>
      </c>
      <c r="I77" s="1743" t="s">
        <v>298</v>
      </c>
      <c r="J77" s="45" t="s">
        <v>25</v>
      </c>
      <c r="K77" s="62"/>
      <c r="L77" s="62">
        <v>10</v>
      </c>
      <c r="M77" s="101">
        <v>12</v>
      </c>
      <c r="N77" s="62"/>
      <c r="O77" s="915" t="s">
        <v>46</v>
      </c>
      <c r="P77" s="979"/>
      <c r="Q77" s="979">
        <v>1</v>
      </c>
      <c r="R77" s="851"/>
      <c r="S77" s="988"/>
    </row>
    <row r="78" spans="1:19" ht="21" customHeight="1" x14ac:dyDescent="0.2">
      <c r="A78" s="1432"/>
      <c r="B78" s="1591"/>
      <c r="C78" s="1736"/>
      <c r="D78" s="1551"/>
      <c r="E78" s="1528"/>
      <c r="F78" s="1457"/>
      <c r="G78" s="1858"/>
      <c r="H78" s="1860"/>
      <c r="I78" s="1743"/>
      <c r="J78" s="85"/>
      <c r="K78" s="62"/>
      <c r="L78" s="62"/>
      <c r="M78" s="101"/>
      <c r="N78" s="62"/>
      <c r="O78" s="1853" t="s">
        <v>185</v>
      </c>
      <c r="P78" s="980"/>
      <c r="Q78" s="980">
        <v>50</v>
      </c>
      <c r="R78" s="292">
        <v>100</v>
      </c>
      <c r="S78" s="989"/>
    </row>
    <row r="79" spans="1:19" ht="18.75" customHeight="1" x14ac:dyDescent="0.2">
      <c r="A79" s="1432"/>
      <c r="B79" s="1591"/>
      <c r="C79" s="1736"/>
      <c r="D79" s="1738"/>
      <c r="E79" s="1529"/>
      <c r="F79" s="1857"/>
      <c r="G79" s="1859"/>
      <c r="H79" s="1861"/>
      <c r="I79" s="1755"/>
      <c r="J79" s="136"/>
      <c r="K79" s="61"/>
      <c r="L79" s="61"/>
      <c r="M79" s="159"/>
      <c r="N79" s="61"/>
      <c r="O79" s="1854"/>
      <c r="P79" s="20"/>
      <c r="Q79" s="20"/>
      <c r="R79" s="294"/>
      <c r="S79" s="21"/>
    </row>
    <row r="80" spans="1:19" ht="16.5" customHeight="1" thickBot="1" x14ac:dyDescent="0.25">
      <c r="A80" s="68"/>
      <c r="B80" s="939"/>
      <c r="C80" s="190"/>
      <c r="D80" s="270"/>
      <c r="E80" s="347"/>
      <c r="F80" s="348"/>
      <c r="G80" s="349"/>
      <c r="H80" s="270"/>
      <c r="I80" s="228"/>
      <c r="J80" s="188" t="s">
        <v>6</v>
      </c>
      <c r="K80" s="91">
        <f>SUM(K69:K79)</f>
        <v>4895.1000000000004</v>
      </c>
      <c r="L80" s="91">
        <f>SUM(L69:L79)</f>
        <v>1345.6</v>
      </c>
      <c r="M80" s="270">
        <f>SUM(M69:M79)</f>
        <v>412</v>
      </c>
      <c r="N80" s="91">
        <f>SUM(N69:N79)</f>
        <v>0</v>
      </c>
      <c r="O80" s="351"/>
      <c r="P80" s="352"/>
      <c r="Q80" s="353"/>
      <c r="R80" s="353"/>
      <c r="S80" s="354"/>
    </row>
    <row r="81" spans="1:21" ht="33" customHeight="1" x14ac:dyDescent="0.2">
      <c r="A81" s="936" t="s">
        <v>5</v>
      </c>
      <c r="B81" s="267" t="s">
        <v>5</v>
      </c>
      <c r="C81" s="350" t="s">
        <v>34</v>
      </c>
      <c r="D81" s="99"/>
      <c r="E81" s="74" t="s">
        <v>99</v>
      </c>
      <c r="F81" s="116" t="s">
        <v>89</v>
      </c>
      <c r="G81" s="107"/>
      <c r="H81" s="126" t="s">
        <v>43</v>
      </c>
      <c r="I81" s="128"/>
      <c r="J81" s="368"/>
      <c r="K81" s="69"/>
      <c r="L81" s="69"/>
      <c r="M81" s="368"/>
      <c r="N81" s="69"/>
      <c r="O81" s="178"/>
      <c r="P81" s="28"/>
      <c r="Q81" s="28"/>
      <c r="R81" s="749"/>
      <c r="S81" s="291"/>
    </row>
    <row r="82" spans="1:21" ht="18" customHeight="1" x14ac:dyDescent="0.2">
      <c r="A82" s="923"/>
      <c r="B82" s="948"/>
      <c r="C82" s="983"/>
      <c r="D82" s="911" t="s">
        <v>5</v>
      </c>
      <c r="E82" s="1527" t="s">
        <v>174</v>
      </c>
      <c r="F82" s="117" t="s">
        <v>47</v>
      </c>
      <c r="G82" s="1750" t="s">
        <v>230</v>
      </c>
      <c r="H82" s="942"/>
      <c r="I82" s="1743" t="s">
        <v>131</v>
      </c>
      <c r="J82" s="89" t="s">
        <v>105</v>
      </c>
      <c r="K82" s="54"/>
      <c r="L82" s="54">
        <v>1900</v>
      </c>
      <c r="M82" s="133">
        <v>2000</v>
      </c>
      <c r="N82" s="54"/>
      <c r="O82" s="1656" t="s">
        <v>155</v>
      </c>
      <c r="P82" s="979">
        <v>10</v>
      </c>
      <c r="Q82" s="979">
        <v>40</v>
      </c>
      <c r="R82" s="851">
        <v>100</v>
      </c>
      <c r="S82" s="988"/>
    </row>
    <row r="83" spans="1:21" ht="18.75" customHeight="1" x14ac:dyDescent="0.2">
      <c r="A83" s="923"/>
      <c r="B83" s="948"/>
      <c r="C83" s="386"/>
      <c r="D83" s="911"/>
      <c r="E83" s="1528"/>
      <c r="F83" s="998"/>
      <c r="G83" s="1751"/>
      <c r="H83" s="942"/>
      <c r="I83" s="1743"/>
      <c r="J83" s="85" t="s">
        <v>25</v>
      </c>
      <c r="K83" s="478">
        <f>326.1+123.9-430</f>
        <v>20</v>
      </c>
      <c r="L83" s="478">
        <f>2850+430-1017.6</f>
        <v>2262.4</v>
      </c>
      <c r="M83" s="686">
        <f>4892.8+300-798.1</f>
        <v>4394.7</v>
      </c>
      <c r="N83" s="62"/>
      <c r="O83" s="1663"/>
      <c r="P83" s="980"/>
      <c r="Q83" s="980"/>
      <c r="R83" s="292"/>
      <c r="S83" s="989"/>
    </row>
    <row r="84" spans="1:21" ht="18" customHeight="1" x14ac:dyDescent="0.2">
      <c r="A84" s="923"/>
      <c r="B84" s="948"/>
      <c r="C84" s="386"/>
      <c r="D84" s="911"/>
      <c r="E84" s="1528"/>
      <c r="F84" s="998"/>
      <c r="G84" s="1751"/>
      <c r="H84" s="942"/>
      <c r="I84" s="1743"/>
      <c r="J84" s="85" t="s">
        <v>48</v>
      </c>
      <c r="K84" s="478">
        <v>0</v>
      </c>
      <c r="L84" s="478">
        <v>1317.6</v>
      </c>
      <c r="M84" s="686">
        <v>1500</v>
      </c>
      <c r="N84" s="62"/>
      <c r="O84" s="1663"/>
      <c r="P84" s="980"/>
      <c r="Q84" s="980"/>
      <c r="R84" s="292"/>
      <c r="S84" s="989"/>
      <c r="U84" s="49"/>
    </row>
    <row r="85" spans="1:21" ht="8.25" customHeight="1" x14ac:dyDescent="0.2">
      <c r="A85" s="923"/>
      <c r="B85" s="948"/>
      <c r="C85" s="386"/>
      <c r="D85" s="911"/>
      <c r="E85" s="1645"/>
      <c r="F85" s="118"/>
      <c r="G85" s="1855"/>
      <c r="H85" s="942"/>
      <c r="I85" s="1743"/>
      <c r="J85" s="88"/>
      <c r="K85" s="61"/>
      <c r="L85" s="61"/>
      <c r="M85" s="159"/>
      <c r="N85" s="61"/>
      <c r="O85" s="390"/>
      <c r="P85" s="20"/>
      <c r="Q85" s="20"/>
      <c r="R85" s="294"/>
      <c r="S85" s="21"/>
    </row>
    <row r="86" spans="1:21" ht="15.75" customHeight="1" x14ac:dyDescent="0.2">
      <c r="A86" s="923"/>
      <c r="B86" s="948"/>
      <c r="C86" s="983"/>
      <c r="D86" s="984" t="s">
        <v>7</v>
      </c>
      <c r="E86" s="1527" t="s">
        <v>292</v>
      </c>
      <c r="F86" s="117" t="s">
        <v>47</v>
      </c>
      <c r="G86" s="1846" t="s">
        <v>229</v>
      </c>
      <c r="H86" s="942"/>
      <c r="I86" s="1743"/>
      <c r="J86" s="85" t="s">
        <v>105</v>
      </c>
      <c r="K86" s="478">
        <v>700</v>
      </c>
      <c r="L86" s="62"/>
      <c r="M86" s="101"/>
      <c r="N86" s="62"/>
      <c r="O86" s="1656" t="s">
        <v>275</v>
      </c>
      <c r="P86" s="736">
        <v>60</v>
      </c>
      <c r="Q86" s="854">
        <v>100</v>
      </c>
      <c r="R86" s="657"/>
      <c r="S86" s="316"/>
    </row>
    <row r="87" spans="1:21" ht="15" customHeight="1" x14ac:dyDescent="0.2">
      <c r="A87" s="923"/>
      <c r="B87" s="948"/>
      <c r="C87" s="983"/>
      <c r="D87" s="911"/>
      <c r="E87" s="1528"/>
      <c r="F87" s="1851"/>
      <c r="G87" s="1862"/>
      <c r="H87" s="942"/>
      <c r="I87" s="1841"/>
      <c r="J87" s="641" t="s">
        <v>25</v>
      </c>
      <c r="K87" s="758">
        <v>352.5</v>
      </c>
      <c r="L87" s="776">
        <f>351.4+916.8</f>
        <v>1268.2</v>
      </c>
      <c r="M87" s="101"/>
      <c r="N87" s="62"/>
      <c r="O87" s="1657"/>
      <c r="P87" s="854"/>
      <c r="Q87" s="854"/>
      <c r="R87" s="657"/>
      <c r="S87" s="316"/>
      <c r="U87" s="49"/>
    </row>
    <row r="88" spans="1:21" ht="16.5" customHeight="1" x14ac:dyDescent="0.2">
      <c r="A88" s="923"/>
      <c r="B88" s="948"/>
      <c r="C88" s="983"/>
      <c r="D88" s="921"/>
      <c r="E88" s="1528"/>
      <c r="F88" s="1851"/>
      <c r="G88" s="1862"/>
      <c r="H88" s="942"/>
      <c r="I88" s="1841"/>
      <c r="J88" s="775" t="s">
        <v>62</v>
      </c>
      <c r="K88" s="758">
        <v>1533.9</v>
      </c>
      <c r="L88" s="574"/>
      <c r="M88" s="101"/>
      <c r="N88" s="62"/>
      <c r="O88" s="917"/>
      <c r="P88" s="854"/>
      <c r="Q88" s="854"/>
      <c r="R88" s="657"/>
      <c r="S88" s="316"/>
    </row>
    <row r="89" spans="1:21" ht="16.5" customHeight="1" x14ac:dyDescent="0.2">
      <c r="A89" s="923"/>
      <c r="B89" s="948"/>
      <c r="C89" s="983"/>
      <c r="D89" s="921"/>
      <c r="E89" s="1528"/>
      <c r="F89" s="1851"/>
      <c r="G89" s="1862"/>
      <c r="H89" s="942"/>
      <c r="I89" s="1841"/>
      <c r="J89" s="575" t="s">
        <v>104</v>
      </c>
      <c r="K89" s="772">
        <v>403.6</v>
      </c>
      <c r="L89" s="573"/>
      <c r="M89" s="159"/>
      <c r="N89" s="61"/>
      <c r="O89" s="950"/>
      <c r="P89" s="853"/>
      <c r="Q89" s="853"/>
      <c r="R89" s="657"/>
      <c r="S89" s="316"/>
    </row>
    <row r="90" spans="1:21" ht="25.5" customHeight="1" x14ac:dyDescent="0.2">
      <c r="A90" s="923"/>
      <c r="B90" s="948"/>
      <c r="C90" s="983"/>
      <c r="D90" s="984" t="s">
        <v>28</v>
      </c>
      <c r="E90" s="1527" t="s">
        <v>300</v>
      </c>
      <c r="F90" s="117" t="s">
        <v>47</v>
      </c>
      <c r="G90" s="1846" t="s">
        <v>130</v>
      </c>
      <c r="H90" s="942"/>
      <c r="I90" s="1743"/>
      <c r="J90" s="85" t="s">
        <v>25</v>
      </c>
      <c r="K90" s="64"/>
      <c r="L90" s="478">
        <v>720</v>
      </c>
      <c r="M90" s="686">
        <v>250</v>
      </c>
      <c r="N90" s="62">
        <v>1500</v>
      </c>
      <c r="O90" s="932" t="s">
        <v>306</v>
      </c>
      <c r="P90" s="773"/>
      <c r="Q90" s="774"/>
      <c r="R90" s="750">
        <v>30</v>
      </c>
      <c r="S90" s="764">
        <v>60</v>
      </c>
    </row>
    <row r="91" spans="1:21" ht="14.25" customHeight="1" x14ac:dyDescent="0.2">
      <c r="A91" s="923"/>
      <c r="B91" s="948"/>
      <c r="C91" s="983"/>
      <c r="D91" s="997"/>
      <c r="E91" s="1852"/>
      <c r="F91" s="576"/>
      <c r="G91" s="1847"/>
      <c r="H91" s="942"/>
      <c r="I91" s="1841"/>
      <c r="J91" s="61" t="s">
        <v>25</v>
      </c>
      <c r="K91" s="57"/>
      <c r="L91" s="61"/>
      <c r="M91" s="687">
        <v>470</v>
      </c>
      <c r="N91" s="61"/>
      <c r="O91" s="437"/>
      <c r="P91" s="853"/>
      <c r="Q91" s="853"/>
      <c r="R91" s="652"/>
      <c r="S91" s="30"/>
    </row>
    <row r="92" spans="1:21" ht="14.25" customHeight="1" x14ac:dyDescent="0.2">
      <c r="A92" s="923"/>
      <c r="B92" s="948"/>
      <c r="C92" s="983"/>
      <c r="D92" s="911" t="s">
        <v>33</v>
      </c>
      <c r="E92" s="1842" t="s">
        <v>345</v>
      </c>
      <c r="F92" s="722" t="s">
        <v>47</v>
      </c>
      <c r="G92" s="995"/>
      <c r="H92" s="942"/>
      <c r="I92" s="976"/>
      <c r="J92" s="85" t="s">
        <v>25</v>
      </c>
      <c r="K92" s="64"/>
      <c r="L92" s="478"/>
      <c r="M92" s="686">
        <v>82</v>
      </c>
      <c r="N92" s="478">
        <v>380</v>
      </c>
      <c r="O92" s="726" t="s">
        <v>46</v>
      </c>
      <c r="P92" s="721"/>
      <c r="Q92" s="721"/>
      <c r="R92" s="1844">
        <v>1</v>
      </c>
      <c r="S92" s="316"/>
    </row>
    <row r="93" spans="1:21" ht="30" customHeight="1" x14ac:dyDescent="0.2">
      <c r="A93" s="923"/>
      <c r="B93" s="948"/>
      <c r="C93" s="983"/>
      <c r="D93" s="911"/>
      <c r="E93" s="1843"/>
      <c r="F93" s="723"/>
      <c r="G93" s="995"/>
      <c r="H93" s="942"/>
      <c r="I93" s="976"/>
      <c r="J93" s="88"/>
      <c r="K93" s="57"/>
      <c r="L93" s="778"/>
      <c r="M93" s="687"/>
      <c r="N93" s="778"/>
      <c r="O93" s="727" t="s">
        <v>267</v>
      </c>
      <c r="P93" s="854"/>
      <c r="Q93" s="854"/>
      <c r="R93" s="1845"/>
      <c r="S93" s="30">
        <v>20</v>
      </c>
    </row>
    <row r="94" spans="1:21" ht="25.5" customHeight="1" x14ac:dyDescent="0.2">
      <c r="A94" s="923"/>
      <c r="B94" s="948"/>
      <c r="C94" s="983"/>
      <c r="D94" s="984" t="s">
        <v>34</v>
      </c>
      <c r="E94" s="1842" t="s">
        <v>346</v>
      </c>
      <c r="F94" s="724" t="s">
        <v>47</v>
      </c>
      <c r="G94" s="1846" t="s">
        <v>130</v>
      </c>
      <c r="H94" s="942"/>
      <c r="I94" s="1743"/>
      <c r="J94" s="85" t="s">
        <v>25</v>
      </c>
      <c r="K94" s="64"/>
      <c r="L94" s="478">
        <v>50</v>
      </c>
      <c r="M94" s="686">
        <v>65</v>
      </c>
      <c r="N94" s="478">
        <v>500</v>
      </c>
      <c r="O94" s="726" t="s">
        <v>46</v>
      </c>
      <c r="P94" s="721"/>
      <c r="Q94" s="721"/>
      <c r="R94" s="688">
        <v>1</v>
      </c>
      <c r="S94" s="777"/>
    </row>
    <row r="95" spans="1:21" ht="14.25" customHeight="1" x14ac:dyDescent="0.2">
      <c r="A95" s="923"/>
      <c r="B95" s="948"/>
      <c r="C95" s="983"/>
      <c r="D95" s="997"/>
      <c r="E95" s="1843"/>
      <c r="F95" s="725"/>
      <c r="G95" s="1847"/>
      <c r="H95" s="942"/>
      <c r="I95" s="1841"/>
      <c r="J95" s="61"/>
      <c r="K95" s="57"/>
      <c r="L95" s="61"/>
      <c r="M95" s="159"/>
      <c r="N95" s="61"/>
      <c r="O95" s="437"/>
      <c r="P95" s="853"/>
      <c r="Q95" s="853"/>
      <c r="R95" s="652"/>
      <c r="S95" s="30"/>
    </row>
    <row r="96" spans="1:21" ht="16.5" customHeight="1" thickBot="1" x14ac:dyDescent="0.25">
      <c r="A96" s="68"/>
      <c r="B96" s="939"/>
      <c r="C96" s="190"/>
      <c r="D96" s="270"/>
      <c r="E96" s="347"/>
      <c r="F96" s="348"/>
      <c r="G96" s="349"/>
      <c r="H96" s="270"/>
      <c r="I96" s="228"/>
      <c r="J96" s="218" t="s">
        <v>6</v>
      </c>
      <c r="K96" s="146">
        <f>SUM(K82:K95)</f>
        <v>3010</v>
      </c>
      <c r="L96" s="146">
        <f>SUM(L82:L95)</f>
        <v>7518.2</v>
      </c>
      <c r="M96" s="146">
        <f>SUM(M82:M95)</f>
        <v>8761.7000000000007</v>
      </c>
      <c r="N96" s="146">
        <f t="shared" ref="N96" si="1">SUM(N82:N95)</f>
        <v>2380</v>
      </c>
      <c r="O96" s="351"/>
      <c r="P96" s="352"/>
      <c r="Q96" s="353"/>
      <c r="R96" s="353"/>
      <c r="S96" s="354"/>
    </row>
    <row r="97" spans="1:20" ht="30" customHeight="1" x14ac:dyDescent="0.2">
      <c r="A97" s="923" t="s">
        <v>5</v>
      </c>
      <c r="B97" s="948" t="s">
        <v>5</v>
      </c>
      <c r="C97" s="983" t="s">
        <v>35</v>
      </c>
      <c r="D97" s="1002"/>
      <c r="E97" s="222" t="s">
        <v>74</v>
      </c>
      <c r="F97" s="381" t="s">
        <v>94</v>
      </c>
      <c r="G97" s="116"/>
      <c r="H97" s="512" t="s">
        <v>43</v>
      </c>
      <c r="I97" s="263"/>
      <c r="J97" s="69"/>
      <c r="K97" s="1017"/>
      <c r="L97" s="76"/>
      <c r="M97" s="367"/>
      <c r="N97" s="76"/>
      <c r="O97" s="63"/>
      <c r="P97" s="7"/>
      <c r="Q97" s="52"/>
      <c r="R97" s="167"/>
      <c r="S97" s="291"/>
    </row>
    <row r="98" spans="1:20" ht="15.75" customHeight="1" x14ac:dyDescent="0.2">
      <c r="A98" s="923"/>
      <c r="B98" s="948"/>
      <c r="C98" s="983"/>
      <c r="D98" s="357" t="s">
        <v>5</v>
      </c>
      <c r="E98" s="1527" t="s">
        <v>172</v>
      </c>
      <c r="F98" s="536" t="s">
        <v>47</v>
      </c>
      <c r="G98" s="1848">
        <v>6010602</v>
      </c>
      <c r="H98" s="942"/>
      <c r="I98" s="1850" t="s">
        <v>91</v>
      </c>
      <c r="J98" s="264" t="s">
        <v>25</v>
      </c>
      <c r="K98" s="1010">
        <v>70.5</v>
      </c>
      <c r="L98" s="54"/>
      <c r="M98" s="133"/>
      <c r="N98" s="54"/>
      <c r="O98" s="1014" t="s">
        <v>46</v>
      </c>
      <c r="P98" s="426"/>
      <c r="Q98" s="436">
        <v>1</v>
      </c>
      <c r="R98" s="969"/>
      <c r="S98" s="988"/>
    </row>
    <row r="99" spans="1:20" ht="15.75" customHeight="1" x14ac:dyDescent="0.2">
      <c r="A99" s="923"/>
      <c r="B99" s="948"/>
      <c r="C99" s="983"/>
      <c r="D99" s="357"/>
      <c r="E99" s="1528"/>
      <c r="F99" s="536"/>
      <c r="G99" s="1848"/>
      <c r="H99" s="942"/>
      <c r="I99" s="1743"/>
      <c r="J99" s="64" t="s">
        <v>62</v>
      </c>
      <c r="K99" s="1010">
        <v>219.3</v>
      </c>
      <c r="L99" s="62"/>
      <c r="M99" s="101"/>
      <c r="N99" s="62"/>
      <c r="O99" s="447"/>
      <c r="P99" s="426"/>
      <c r="Q99" s="436"/>
      <c r="R99" s="974"/>
      <c r="S99" s="989"/>
    </row>
    <row r="100" spans="1:20" ht="15.75" customHeight="1" x14ac:dyDescent="0.2">
      <c r="A100" s="923"/>
      <c r="B100" s="948"/>
      <c r="C100" s="983"/>
      <c r="D100" s="357"/>
      <c r="E100" s="1528"/>
      <c r="F100" s="536"/>
      <c r="G100" s="1848"/>
      <c r="H100" s="942"/>
      <c r="I100" s="1743"/>
      <c r="J100" s="64" t="s">
        <v>104</v>
      </c>
      <c r="K100" s="686">
        <v>1.1000000000000001</v>
      </c>
      <c r="L100" s="62"/>
      <c r="M100" s="101"/>
      <c r="N100" s="62"/>
      <c r="O100" s="447"/>
      <c r="P100" s="426"/>
      <c r="Q100" s="436"/>
      <c r="R100" s="974"/>
      <c r="S100" s="989"/>
    </row>
    <row r="101" spans="1:20" ht="15" customHeight="1" x14ac:dyDescent="0.2">
      <c r="A101" s="923"/>
      <c r="B101" s="948"/>
      <c r="C101" s="983"/>
      <c r="D101" s="357"/>
      <c r="E101" s="1528"/>
      <c r="F101" s="536"/>
      <c r="G101" s="1848"/>
      <c r="H101" s="942"/>
      <c r="I101" s="1743"/>
      <c r="J101" s="57" t="s">
        <v>105</v>
      </c>
      <c r="K101" s="778"/>
      <c r="L101" s="778">
        <f>780-536.9</f>
        <v>243.1</v>
      </c>
      <c r="M101" s="159"/>
      <c r="N101" s="61"/>
      <c r="O101" s="452"/>
      <c r="P101" s="426"/>
      <c r="Q101" s="436"/>
      <c r="R101" s="974"/>
      <c r="S101" s="989"/>
    </row>
    <row r="102" spans="1:20" ht="15.75" hidden="1" customHeight="1" x14ac:dyDescent="0.2">
      <c r="A102" s="923"/>
      <c r="B102" s="948"/>
      <c r="C102" s="983"/>
      <c r="D102" s="357"/>
      <c r="E102" s="1528"/>
      <c r="F102" s="536"/>
      <c r="G102" s="1848"/>
      <c r="H102" s="942"/>
      <c r="I102" s="1743"/>
      <c r="J102" s="1023" t="s">
        <v>25</v>
      </c>
      <c r="K102" s="1024"/>
      <c r="L102" s="1025"/>
      <c r="M102" s="134"/>
      <c r="N102" s="66"/>
      <c r="O102" s="1026" t="s">
        <v>397</v>
      </c>
      <c r="P102" s="1027"/>
      <c r="Q102" s="1028">
        <v>1</v>
      </c>
      <c r="R102" s="1027"/>
      <c r="S102" s="25"/>
    </row>
    <row r="103" spans="1:20" ht="15.75" hidden="1" customHeight="1" x14ac:dyDescent="0.2">
      <c r="A103" s="923"/>
      <c r="B103" s="948"/>
      <c r="C103" s="983"/>
      <c r="D103" s="357"/>
      <c r="E103" s="1528"/>
      <c r="F103" s="536"/>
      <c r="G103" s="1848"/>
      <c r="H103" s="942"/>
      <c r="I103" s="1743"/>
      <c r="J103" s="1029" t="s">
        <v>25</v>
      </c>
      <c r="K103" s="1015"/>
      <c r="L103" s="478"/>
      <c r="M103" s="686"/>
      <c r="N103" s="478"/>
      <c r="O103" s="1030" t="s">
        <v>398</v>
      </c>
      <c r="P103" s="1031"/>
      <c r="Q103" s="1032">
        <v>5</v>
      </c>
      <c r="R103" s="1033">
        <v>60</v>
      </c>
      <c r="S103" s="1034">
        <v>100</v>
      </c>
    </row>
    <row r="104" spans="1:20" ht="21.75" hidden="1" customHeight="1" x14ac:dyDescent="0.2">
      <c r="A104" s="923"/>
      <c r="B104" s="948"/>
      <c r="C104" s="983"/>
      <c r="D104" s="358"/>
      <c r="E104" s="1528"/>
      <c r="F104" s="1005"/>
      <c r="G104" s="1849"/>
      <c r="H104" s="942"/>
      <c r="I104" s="1743"/>
      <c r="J104" s="1035" t="s">
        <v>105</v>
      </c>
      <c r="K104" s="181"/>
      <c r="L104" s="778"/>
      <c r="M104" s="687"/>
      <c r="N104" s="778"/>
      <c r="O104" s="943"/>
      <c r="P104" s="980"/>
      <c r="Q104" s="292"/>
      <c r="R104" s="46"/>
      <c r="S104" s="21"/>
      <c r="T104" s="49"/>
    </row>
    <row r="105" spans="1:20" ht="15" customHeight="1" x14ac:dyDescent="0.2">
      <c r="A105" s="923"/>
      <c r="B105" s="948"/>
      <c r="C105" s="983"/>
      <c r="D105" s="357" t="s">
        <v>7</v>
      </c>
      <c r="E105" s="1527" t="s">
        <v>307</v>
      </c>
      <c r="F105" s="536" t="s">
        <v>47</v>
      </c>
      <c r="G105" s="1750" t="s">
        <v>231</v>
      </c>
      <c r="H105" s="942"/>
      <c r="I105" s="129"/>
      <c r="J105" s="64" t="s">
        <v>45</v>
      </c>
      <c r="K105" s="60">
        <v>30</v>
      </c>
      <c r="L105" s="62">
        <v>72.5</v>
      </c>
      <c r="M105" s="101"/>
      <c r="N105" s="62"/>
      <c r="O105" s="448" t="s">
        <v>162</v>
      </c>
      <c r="P105" s="414">
        <v>1</v>
      </c>
      <c r="Q105" s="449"/>
      <c r="R105" s="674"/>
      <c r="S105" s="450"/>
    </row>
    <row r="106" spans="1:20" ht="15" customHeight="1" x14ac:dyDescent="0.2">
      <c r="A106" s="923"/>
      <c r="B106" s="948"/>
      <c r="C106" s="983"/>
      <c r="D106" s="357"/>
      <c r="E106" s="1528"/>
      <c r="F106" s="536"/>
      <c r="G106" s="1751"/>
      <c r="H106" s="942"/>
      <c r="I106" s="972"/>
      <c r="J106" s="64"/>
      <c r="K106" s="60"/>
      <c r="L106" s="62"/>
      <c r="M106" s="101"/>
      <c r="N106" s="62"/>
      <c r="O106" s="447" t="s">
        <v>46</v>
      </c>
      <c r="P106" s="426"/>
      <c r="Q106" s="436">
        <v>1</v>
      </c>
      <c r="R106" s="675"/>
      <c r="S106" s="451"/>
    </row>
    <row r="107" spans="1:20" ht="27" customHeight="1" x14ac:dyDescent="0.2">
      <c r="A107" s="923"/>
      <c r="B107" s="948"/>
      <c r="C107" s="983"/>
      <c r="D107" s="358"/>
      <c r="E107" s="1839"/>
      <c r="F107" s="1005"/>
      <c r="G107" s="1840"/>
      <c r="H107" s="588"/>
      <c r="I107" s="972"/>
      <c r="J107" s="57"/>
      <c r="K107" s="181"/>
      <c r="L107" s="61"/>
      <c r="M107" s="159"/>
      <c r="N107" s="61"/>
      <c r="O107" s="452"/>
      <c r="P107" s="435"/>
      <c r="Q107" s="508"/>
      <c r="R107" s="779"/>
      <c r="S107" s="453"/>
    </row>
    <row r="108" spans="1:20" ht="15" customHeight="1" thickBot="1" x14ac:dyDescent="0.25">
      <c r="A108" s="937"/>
      <c r="B108" s="266"/>
      <c r="C108" s="346"/>
      <c r="D108" s="270"/>
      <c r="E108" s="347"/>
      <c r="F108" s="348"/>
      <c r="G108" s="349"/>
      <c r="H108" s="270"/>
      <c r="I108" s="228"/>
      <c r="J108" s="91" t="s">
        <v>6</v>
      </c>
      <c r="K108" s="338">
        <f>SUM(K98:K107)</f>
        <v>320.89999999999998</v>
      </c>
      <c r="L108" s="146">
        <f>SUM(L98:L107)</f>
        <v>315.60000000000002</v>
      </c>
      <c r="M108" s="218">
        <f>SUM(M98:M107)</f>
        <v>0</v>
      </c>
      <c r="N108" s="146">
        <f>SUM(N98:N107)</f>
        <v>0</v>
      </c>
      <c r="O108" s="351"/>
      <c r="P108" s="352"/>
      <c r="Q108" s="353"/>
      <c r="R108" s="353"/>
      <c r="S108" s="354"/>
    </row>
    <row r="109" spans="1:20" ht="27" customHeight="1" x14ac:dyDescent="0.2">
      <c r="A109" s="923" t="s">
        <v>5</v>
      </c>
      <c r="B109" s="948" t="s">
        <v>5</v>
      </c>
      <c r="C109" s="356" t="s">
        <v>36</v>
      </c>
      <c r="D109" s="1002"/>
      <c r="E109" s="119" t="s">
        <v>310</v>
      </c>
      <c r="F109" s="137"/>
      <c r="G109" s="382"/>
      <c r="H109" s="970" t="s">
        <v>43</v>
      </c>
      <c r="I109" s="1783" t="s">
        <v>72</v>
      </c>
      <c r="J109" s="756"/>
      <c r="K109" s="55"/>
      <c r="L109" s="369"/>
      <c r="M109" s="135"/>
      <c r="N109" s="55"/>
      <c r="O109" s="70"/>
      <c r="P109" s="23"/>
      <c r="Q109" s="27"/>
      <c r="R109" s="663"/>
      <c r="S109" s="633"/>
    </row>
    <row r="110" spans="1:20" ht="13.5" customHeight="1" x14ac:dyDescent="0.2">
      <c r="A110" s="923"/>
      <c r="B110" s="948"/>
      <c r="C110" s="355"/>
      <c r="D110" s="921" t="s">
        <v>5</v>
      </c>
      <c r="E110" s="387" t="s">
        <v>88</v>
      </c>
      <c r="F110" s="922"/>
      <c r="G110" s="141" t="s">
        <v>147</v>
      </c>
      <c r="H110" s="921"/>
      <c r="I110" s="1841"/>
      <c r="J110" s="89" t="s">
        <v>105</v>
      </c>
      <c r="K110" s="766">
        <v>0</v>
      </c>
      <c r="L110" s="54">
        <v>3</v>
      </c>
      <c r="M110" s="133">
        <v>3</v>
      </c>
      <c r="N110" s="54">
        <v>3</v>
      </c>
      <c r="O110" s="1656" t="s">
        <v>180</v>
      </c>
      <c r="P110" s="414">
        <v>100</v>
      </c>
      <c r="Q110" s="414">
        <v>100</v>
      </c>
      <c r="R110" s="653">
        <v>100</v>
      </c>
      <c r="S110" s="763">
        <v>100</v>
      </c>
    </row>
    <row r="111" spans="1:20" ht="16.5" customHeight="1" x14ac:dyDescent="0.2">
      <c r="A111" s="923"/>
      <c r="B111" s="948"/>
      <c r="C111" s="355"/>
      <c r="D111" s="1002"/>
      <c r="E111" s="154"/>
      <c r="F111" s="1008"/>
      <c r="G111" s="465"/>
      <c r="H111" s="942"/>
      <c r="I111" s="976"/>
      <c r="J111" s="88" t="s">
        <v>25</v>
      </c>
      <c r="K111" s="61">
        <v>3</v>
      </c>
      <c r="L111" s="61">
        <v>3</v>
      </c>
      <c r="M111" s="159">
        <v>3</v>
      </c>
      <c r="N111" s="61">
        <v>3</v>
      </c>
      <c r="O111" s="1694"/>
      <c r="P111" s="426"/>
      <c r="Q111" s="426"/>
      <c r="R111" s="436"/>
      <c r="S111" s="597"/>
    </row>
    <row r="112" spans="1:20" s="9" customFormat="1" ht="54.75" customHeight="1" x14ac:dyDescent="0.2">
      <c r="A112" s="923"/>
      <c r="B112" s="948"/>
      <c r="C112" s="983"/>
      <c r="D112" s="921" t="s">
        <v>7</v>
      </c>
      <c r="E112" s="466" t="s">
        <v>80</v>
      </c>
      <c r="F112" s="255"/>
      <c r="G112" s="295" t="s">
        <v>132</v>
      </c>
      <c r="H112" s="512"/>
      <c r="I112" s="296"/>
      <c r="J112" s="757" t="s">
        <v>25</v>
      </c>
      <c r="K112" s="332">
        <v>25</v>
      </c>
      <c r="L112" s="332">
        <v>25</v>
      </c>
      <c r="M112" s="331">
        <v>25</v>
      </c>
      <c r="N112" s="332">
        <v>25</v>
      </c>
      <c r="O112" s="1695"/>
      <c r="P112" s="415"/>
      <c r="Q112" s="415"/>
      <c r="R112" s="658"/>
      <c r="S112" s="677"/>
    </row>
    <row r="113" spans="1:20" ht="15" customHeight="1" thickBot="1" x14ac:dyDescent="0.25">
      <c r="A113" s="937"/>
      <c r="B113" s="266"/>
      <c r="C113" s="346"/>
      <c r="D113" s="270"/>
      <c r="E113" s="347"/>
      <c r="F113" s="348"/>
      <c r="G113" s="349"/>
      <c r="H113" s="270"/>
      <c r="I113" s="228"/>
      <c r="J113" s="188" t="s">
        <v>6</v>
      </c>
      <c r="K113" s="146">
        <f>SUM(K110:K112)</f>
        <v>28</v>
      </c>
      <c r="L113" s="146">
        <f t="shared" ref="L113:N113" si="2">SUM(L110:L112)</f>
        <v>31</v>
      </c>
      <c r="M113" s="218">
        <f t="shared" si="2"/>
        <v>31</v>
      </c>
      <c r="N113" s="146">
        <f t="shared" si="2"/>
        <v>31</v>
      </c>
      <c r="O113" s="351"/>
      <c r="P113" s="352"/>
      <c r="Q113" s="353"/>
      <c r="R113" s="353"/>
      <c r="S113" s="354"/>
    </row>
    <row r="114" spans="1:20" ht="14.25" customHeight="1" thickBot="1" x14ac:dyDescent="0.25">
      <c r="A114" s="78" t="s">
        <v>5</v>
      </c>
      <c r="B114" s="268" t="s">
        <v>5</v>
      </c>
      <c r="C114" s="1553" t="s">
        <v>8</v>
      </c>
      <c r="D114" s="1491"/>
      <c r="E114" s="1491"/>
      <c r="F114" s="1491"/>
      <c r="G114" s="1491"/>
      <c r="H114" s="1491"/>
      <c r="I114" s="1491"/>
      <c r="J114" s="1447"/>
      <c r="K114" s="149">
        <f>K113+K108+K96+K80+K67+K50+K35</f>
        <v>12619.6</v>
      </c>
      <c r="L114" s="149">
        <f>L113+L108+L96+L80+L67+L50+L35</f>
        <v>19596</v>
      </c>
      <c r="M114" s="333">
        <f>M113+M108+M96+M80+M67+M50+M35</f>
        <v>16791.900000000001</v>
      </c>
      <c r="N114" s="149">
        <f>N113+N108+N96+N80+N67+N50+N35</f>
        <v>3558</v>
      </c>
      <c r="O114" s="80"/>
      <c r="P114" s="991"/>
      <c r="Q114" s="991"/>
      <c r="R114" s="991"/>
      <c r="S114" s="914"/>
    </row>
    <row r="115" spans="1:20" ht="14.25" customHeight="1" thickBot="1" x14ac:dyDescent="0.25">
      <c r="A115" s="78" t="s">
        <v>5</v>
      </c>
      <c r="B115" s="268" t="s">
        <v>7</v>
      </c>
      <c r="C115" s="1664" t="s">
        <v>32</v>
      </c>
      <c r="D115" s="1664"/>
      <c r="E115" s="1664"/>
      <c r="F115" s="1664"/>
      <c r="G115" s="1664"/>
      <c r="H115" s="1664"/>
      <c r="I115" s="1664"/>
      <c r="J115" s="1664"/>
      <c r="K115" s="1665"/>
      <c r="L115" s="1665"/>
      <c r="M115" s="1665"/>
      <c r="N115" s="1665"/>
      <c r="O115" s="1664"/>
      <c r="P115" s="1439"/>
      <c r="Q115" s="1439"/>
      <c r="R115" s="1439"/>
      <c r="S115" s="1666"/>
    </row>
    <row r="116" spans="1:20" ht="30" customHeight="1" x14ac:dyDescent="0.2">
      <c r="A116" s="936" t="s">
        <v>5</v>
      </c>
      <c r="B116" s="267" t="s">
        <v>7</v>
      </c>
      <c r="C116" s="350" t="s">
        <v>5</v>
      </c>
      <c r="D116" s="198"/>
      <c r="E116" s="125" t="s">
        <v>57</v>
      </c>
      <c r="F116" s="121" t="s">
        <v>120</v>
      </c>
      <c r="G116" s="120"/>
      <c r="H116" s="392"/>
      <c r="I116" s="393"/>
      <c r="J116" s="93"/>
      <c r="K116" s="156"/>
      <c r="L116" s="156"/>
      <c r="M116" s="156"/>
      <c r="N116" s="156"/>
      <c r="O116" s="83"/>
      <c r="P116" s="184"/>
      <c r="Q116" s="184"/>
      <c r="R116" s="751"/>
      <c r="S116" s="781"/>
    </row>
    <row r="117" spans="1:20" ht="14.25" customHeight="1" x14ac:dyDescent="0.2">
      <c r="A117" s="923"/>
      <c r="B117" s="948"/>
      <c r="C117" s="983"/>
      <c r="D117" s="921" t="s">
        <v>5</v>
      </c>
      <c r="E117" s="930" t="s">
        <v>52</v>
      </c>
      <c r="F117" s="706"/>
      <c r="G117" s="1836" t="s">
        <v>148</v>
      </c>
      <c r="H117" s="911">
        <v>6</v>
      </c>
      <c r="I117" s="1743" t="s">
        <v>75</v>
      </c>
      <c r="J117" s="84"/>
      <c r="K117" s="183"/>
      <c r="L117" s="183"/>
      <c r="M117" s="183"/>
      <c r="N117" s="183"/>
      <c r="O117" s="297"/>
      <c r="P117" s="174"/>
      <c r="Q117" s="174"/>
      <c r="R117" s="385"/>
      <c r="S117" s="300"/>
    </row>
    <row r="118" spans="1:20" ht="15.75" customHeight="1" x14ac:dyDescent="0.2">
      <c r="A118" s="923"/>
      <c r="B118" s="948"/>
      <c r="C118" s="983"/>
      <c r="D118" s="921"/>
      <c r="E118" s="1667" t="s">
        <v>81</v>
      </c>
      <c r="F118" s="706"/>
      <c r="G118" s="1837"/>
      <c r="H118" s="921"/>
      <c r="I118" s="1744"/>
      <c r="J118" s="85" t="s">
        <v>25</v>
      </c>
      <c r="K118" s="62">
        <f>3746.2-1556.5-388.2</f>
        <v>1801.5</v>
      </c>
      <c r="L118" s="139">
        <v>4900</v>
      </c>
      <c r="M118" s="139">
        <v>4900</v>
      </c>
      <c r="N118" s="139">
        <v>4900</v>
      </c>
      <c r="O118" s="932" t="s">
        <v>41</v>
      </c>
      <c r="P118" s="239">
        <v>5.9</v>
      </c>
      <c r="Q118" s="239">
        <v>5.9</v>
      </c>
      <c r="R118" s="101">
        <v>5.9</v>
      </c>
      <c r="S118" s="39">
        <v>5.9</v>
      </c>
    </row>
    <row r="119" spans="1:20" ht="15.75" customHeight="1" x14ac:dyDescent="0.2">
      <c r="A119" s="923"/>
      <c r="B119" s="948"/>
      <c r="C119" s="983"/>
      <c r="D119" s="921"/>
      <c r="E119" s="1667"/>
      <c r="F119" s="706"/>
      <c r="G119" s="1837"/>
      <c r="H119" s="921"/>
      <c r="I119" s="1744"/>
      <c r="J119" s="85" t="s">
        <v>62</v>
      </c>
      <c r="K119" s="478">
        <f>1150+1556.5-56-26</f>
        <v>2624.5</v>
      </c>
      <c r="L119" s="139"/>
      <c r="M119" s="139"/>
      <c r="N119" s="139"/>
      <c r="O119" s="932"/>
      <c r="P119" s="239"/>
      <c r="Q119" s="980"/>
      <c r="R119" s="292"/>
      <c r="S119" s="989"/>
    </row>
    <row r="120" spans="1:20" ht="14.25" customHeight="1" x14ac:dyDescent="0.2">
      <c r="A120" s="923"/>
      <c r="B120" s="948"/>
      <c r="C120" s="983"/>
      <c r="D120" s="921"/>
      <c r="E120" s="1667"/>
      <c r="F120" s="952"/>
      <c r="G120" s="1837"/>
      <c r="H120" s="921"/>
      <c r="I120" s="1744"/>
      <c r="J120" s="153" t="s">
        <v>77</v>
      </c>
      <c r="K120" s="153"/>
      <c r="L120" s="144"/>
      <c r="M120" s="144"/>
      <c r="N120" s="144"/>
      <c r="O120" s="981"/>
      <c r="P120" s="227"/>
      <c r="Q120" s="707"/>
      <c r="R120" s="304"/>
      <c r="S120" s="747"/>
      <c r="T120" s="814">
        <v>-26</v>
      </c>
    </row>
    <row r="121" spans="1:20" ht="19.5" customHeight="1" x14ac:dyDescent="0.2">
      <c r="A121" s="923"/>
      <c r="B121" s="948"/>
      <c r="C121" s="983"/>
      <c r="D121" s="921"/>
      <c r="E121" s="236" t="s">
        <v>82</v>
      </c>
      <c r="F121" s="952"/>
      <c r="G121" s="383" t="s">
        <v>156</v>
      </c>
      <c r="H121" s="921"/>
      <c r="I121" s="996"/>
      <c r="J121" s="85" t="s">
        <v>25</v>
      </c>
      <c r="K121" s="85">
        <v>8.6</v>
      </c>
      <c r="L121" s="139">
        <v>8.8000000000000007</v>
      </c>
      <c r="M121" s="139">
        <v>9</v>
      </c>
      <c r="N121" s="139">
        <v>9</v>
      </c>
      <c r="O121" s="87" t="s">
        <v>187</v>
      </c>
      <c r="P121" s="200">
        <v>3.7</v>
      </c>
      <c r="Q121" s="33">
        <f>+P121</f>
        <v>3.7</v>
      </c>
      <c r="R121" s="660">
        <f>+P121</f>
        <v>3.7</v>
      </c>
      <c r="S121" s="34">
        <f>+Q121</f>
        <v>3.7</v>
      </c>
    </row>
    <row r="122" spans="1:20" ht="26.25" customHeight="1" x14ac:dyDescent="0.2">
      <c r="A122" s="923"/>
      <c r="B122" s="948"/>
      <c r="C122" s="983"/>
      <c r="D122" s="921"/>
      <c r="E122" s="282" t="s">
        <v>83</v>
      </c>
      <c r="F122" s="952"/>
      <c r="G122" s="383"/>
      <c r="H122" s="921"/>
      <c r="I122" s="996"/>
      <c r="J122" s="86" t="s">
        <v>25</v>
      </c>
      <c r="K122" s="145">
        <v>63.7</v>
      </c>
      <c r="L122" s="142">
        <f>73-L121</f>
        <v>64.2</v>
      </c>
      <c r="M122" s="142">
        <f>74.5-M121</f>
        <v>65.5</v>
      </c>
      <c r="N122" s="142">
        <f>74.5-N121</f>
        <v>65.5</v>
      </c>
      <c r="O122" s="981" t="s">
        <v>188</v>
      </c>
      <c r="P122" s="344">
        <v>26.7</v>
      </c>
      <c r="Q122" s="200">
        <f>+P122</f>
        <v>26.7</v>
      </c>
      <c r="R122" s="401">
        <f>+P122</f>
        <v>26.7</v>
      </c>
      <c r="S122" s="782">
        <f>+Q122</f>
        <v>26.7</v>
      </c>
    </row>
    <row r="123" spans="1:20" ht="21.75" customHeight="1" x14ac:dyDescent="0.2">
      <c r="A123" s="923"/>
      <c r="B123" s="948"/>
      <c r="C123" s="983"/>
      <c r="D123" s="911"/>
      <c r="E123" s="1428" t="s">
        <v>173</v>
      </c>
      <c r="F123" s="952"/>
      <c r="G123" s="605" t="s">
        <v>232</v>
      </c>
      <c r="H123" s="921"/>
      <c r="I123" s="949"/>
      <c r="J123" s="85" t="s">
        <v>70</v>
      </c>
      <c r="K123" s="85">
        <v>8</v>
      </c>
      <c r="L123" s="139">
        <v>10</v>
      </c>
      <c r="M123" s="139">
        <v>10</v>
      </c>
      <c r="N123" s="139">
        <v>10</v>
      </c>
      <c r="O123" s="1430" t="s">
        <v>357</v>
      </c>
      <c r="P123" s="708" t="s">
        <v>43</v>
      </c>
      <c r="Q123" s="499">
        <v>3</v>
      </c>
      <c r="R123" s="499">
        <v>3</v>
      </c>
      <c r="S123" s="217">
        <v>3</v>
      </c>
      <c r="T123" s="571"/>
    </row>
    <row r="124" spans="1:20" ht="24" customHeight="1" x14ac:dyDescent="0.2">
      <c r="A124" s="923"/>
      <c r="B124" s="948"/>
      <c r="C124" s="983"/>
      <c r="D124" s="911"/>
      <c r="E124" s="1503"/>
      <c r="F124" s="706"/>
      <c r="G124" s="606"/>
      <c r="H124" s="921"/>
      <c r="I124" s="949"/>
      <c r="J124" s="85" t="s">
        <v>77</v>
      </c>
      <c r="K124" s="85">
        <v>16.2</v>
      </c>
      <c r="L124" s="85"/>
      <c r="M124" s="85"/>
      <c r="N124" s="85"/>
      <c r="O124" s="1657"/>
      <c r="P124" s="36"/>
      <c r="Q124" s="974"/>
      <c r="R124" s="974"/>
      <c r="S124" s="989"/>
      <c r="T124" s="564"/>
    </row>
    <row r="125" spans="1:20" ht="58.5" customHeight="1" x14ac:dyDescent="0.2">
      <c r="A125" s="923"/>
      <c r="B125" s="948"/>
      <c r="C125" s="983"/>
      <c r="D125" s="997"/>
      <c r="E125" s="565"/>
      <c r="F125" s="706"/>
      <c r="G125" s="606"/>
      <c r="H125" s="921"/>
      <c r="I125" s="949"/>
      <c r="J125" s="85" t="s">
        <v>62</v>
      </c>
      <c r="K125" s="572">
        <f>56+26</f>
        <v>82</v>
      </c>
      <c r="L125" s="85"/>
      <c r="M125" s="85"/>
      <c r="N125" s="85"/>
      <c r="O125" s="1838"/>
      <c r="P125" s="298"/>
      <c r="Q125" s="46"/>
      <c r="R125" s="974"/>
      <c r="S125" s="989"/>
      <c r="T125" s="813">
        <v>26</v>
      </c>
    </row>
    <row r="126" spans="1:20" ht="14.25" customHeight="1" x14ac:dyDescent="0.2">
      <c r="A126" s="923"/>
      <c r="B126" s="948"/>
      <c r="C126" s="983"/>
      <c r="D126" s="911" t="s">
        <v>7</v>
      </c>
      <c r="E126" s="278" t="s">
        <v>208</v>
      </c>
      <c r="F126" s="706"/>
      <c r="G126" s="607"/>
      <c r="H126" s="921"/>
      <c r="I126" s="949"/>
      <c r="J126" s="157"/>
      <c r="K126" s="183"/>
      <c r="L126" s="152"/>
      <c r="M126" s="152"/>
      <c r="N126" s="152"/>
      <c r="O126" s="932"/>
      <c r="P126" s="36"/>
      <c r="Q126" s="207"/>
      <c r="R126" s="175"/>
      <c r="S126" s="300"/>
    </row>
    <row r="127" spans="1:20" ht="52.5" customHeight="1" x14ac:dyDescent="0.2">
      <c r="A127" s="923"/>
      <c r="B127" s="948"/>
      <c r="C127" s="983"/>
      <c r="D127" s="911"/>
      <c r="E127" s="279" t="s">
        <v>209</v>
      </c>
      <c r="F127" s="706"/>
      <c r="G127" s="384">
        <v>6010308</v>
      </c>
      <c r="H127" s="921"/>
      <c r="I127" s="949"/>
      <c r="J127" s="153" t="s">
        <v>25</v>
      </c>
      <c r="K127" s="66">
        <v>388.2</v>
      </c>
      <c r="L127" s="186"/>
      <c r="M127" s="144"/>
      <c r="N127" s="144"/>
      <c r="O127" s="43" t="s">
        <v>203</v>
      </c>
      <c r="P127" s="302">
        <v>21</v>
      </c>
      <c r="Q127" s="302">
        <v>21</v>
      </c>
      <c r="R127" s="339">
        <v>21</v>
      </c>
      <c r="S127" s="747">
        <v>21</v>
      </c>
    </row>
    <row r="128" spans="1:20" ht="22.5" customHeight="1" x14ac:dyDescent="0.2">
      <c r="A128" s="923"/>
      <c r="B128" s="948"/>
      <c r="C128" s="983"/>
      <c r="D128" s="911"/>
      <c r="E128" s="1671" t="s">
        <v>210</v>
      </c>
      <c r="F128" s="706"/>
      <c r="G128" s="383"/>
      <c r="H128" s="921"/>
      <c r="I128" s="949"/>
      <c r="J128" s="85" t="s">
        <v>25</v>
      </c>
      <c r="K128" s="62">
        <v>49.6</v>
      </c>
      <c r="L128" s="130"/>
      <c r="M128" s="139"/>
      <c r="N128" s="139"/>
      <c r="O128" s="1672" t="s">
        <v>311</v>
      </c>
      <c r="P128" s="301">
        <v>12</v>
      </c>
      <c r="Q128" s="301">
        <v>12</v>
      </c>
      <c r="R128" s="974">
        <v>12</v>
      </c>
      <c r="S128" s="989">
        <v>12</v>
      </c>
    </row>
    <row r="129" spans="1:19" ht="21" customHeight="1" x14ac:dyDescent="0.2">
      <c r="A129" s="923"/>
      <c r="B129" s="948"/>
      <c r="C129" s="983"/>
      <c r="D129" s="997"/>
      <c r="E129" s="1646"/>
      <c r="F129" s="706"/>
      <c r="G129" s="383"/>
      <c r="H129" s="921"/>
      <c r="I129" s="949"/>
      <c r="J129" s="88"/>
      <c r="K129" s="61"/>
      <c r="L129" s="131"/>
      <c r="M129" s="140"/>
      <c r="N129" s="140"/>
      <c r="O129" s="1838"/>
      <c r="P129" s="298"/>
      <c r="Q129" s="299"/>
      <c r="R129" s="46"/>
      <c r="S129" s="21"/>
    </row>
    <row r="130" spans="1:19" ht="18" customHeight="1" x14ac:dyDescent="0.2">
      <c r="A130" s="1432"/>
      <c r="B130" s="1492"/>
      <c r="C130" s="1736"/>
      <c r="D130" s="1551" t="s">
        <v>28</v>
      </c>
      <c r="E130" s="1569" t="s">
        <v>42</v>
      </c>
      <c r="F130" s="1594"/>
      <c r="G130" s="1825" t="s">
        <v>133</v>
      </c>
      <c r="H130" s="1497"/>
      <c r="I130" s="972"/>
      <c r="J130" s="85" t="s">
        <v>25</v>
      </c>
      <c r="K130" s="62">
        <v>59.5</v>
      </c>
      <c r="L130" s="60">
        <v>59.5</v>
      </c>
      <c r="M130" s="139">
        <v>59.5</v>
      </c>
      <c r="N130" s="139">
        <v>59.5</v>
      </c>
      <c r="O130" s="1742" t="s">
        <v>54</v>
      </c>
      <c r="P130" s="1832">
        <v>7</v>
      </c>
      <c r="Q130" s="1832">
        <v>7</v>
      </c>
      <c r="R130" s="1834">
        <v>7</v>
      </c>
      <c r="S130" s="1830">
        <v>7</v>
      </c>
    </row>
    <row r="131" spans="1:19" ht="18" customHeight="1" x14ac:dyDescent="0.2">
      <c r="A131" s="1432"/>
      <c r="B131" s="1492"/>
      <c r="C131" s="1736"/>
      <c r="D131" s="1551"/>
      <c r="E131" s="1829"/>
      <c r="F131" s="1594"/>
      <c r="G131" s="1825"/>
      <c r="H131" s="1497"/>
      <c r="I131" s="972"/>
      <c r="J131" s="88" t="s">
        <v>62</v>
      </c>
      <c r="K131" s="61"/>
      <c r="L131" s="131"/>
      <c r="M131" s="140"/>
      <c r="N131" s="140"/>
      <c r="O131" s="1523"/>
      <c r="P131" s="1833"/>
      <c r="Q131" s="1833"/>
      <c r="R131" s="1835"/>
      <c r="S131" s="1831"/>
    </row>
    <row r="132" spans="1:19" ht="18" customHeight="1" x14ac:dyDescent="0.2">
      <c r="A132" s="1432"/>
      <c r="B132" s="1591"/>
      <c r="C132" s="1736"/>
      <c r="D132" s="1737" t="s">
        <v>33</v>
      </c>
      <c r="E132" s="1592" t="s">
        <v>176</v>
      </c>
      <c r="F132" s="1596"/>
      <c r="G132" s="1751" t="s">
        <v>148</v>
      </c>
      <c r="H132" s="1567"/>
      <c r="I132" s="1743"/>
      <c r="J132" s="89" t="s">
        <v>25</v>
      </c>
      <c r="K132" s="472"/>
      <c r="L132" s="308"/>
      <c r="M132" s="309"/>
      <c r="N132" s="309"/>
      <c r="O132" s="251" t="s">
        <v>265</v>
      </c>
      <c r="P132" s="26"/>
      <c r="Q132" s="305"/>
      <c r="R132" s="678"/>
      <c r="S132" s="306"/>
    </row>
    <row r="133" spans="1:19" ht="18.75" customHeight="1" x14ac:dyDescent="0.2">
      <c r="A133" s="1432"/>
      <c r="B133" s="1591"/>
      <c r="C133" s="1736"/>
      <c r="D133" s="1551"/>
      <c r="E133" s="1507"/>
      <c r="F133" s="1596"/>
      <c r="G133" s="1751"/>
      <c r="H133" s="1567"/>
      <c r="I133" s="1743"/>
      <c r="J133" s="85" t="s">
        <v>25</v>
      </c>
      <c r="K133" s="66">
        <v>5</v>
      </c>
      <c r="L133" s="186">
        <v>5</v>
      </c>
      <c r="M133" s="144">
        <v>5</v>
      </c>
      <c r="N133" s="144">
        <v>5</v>
      </c>
      <c r="O133" s="87" t="s">
        <v>305</v>
      </c>
      <c r="P133" s="31">
        <v>1</v>
      </c>
      <c r="Q133" s="389">
        <v>1</v>
      </c>
      <c r="R133" s="413">
        <v>1</v>
      </c>
      <c r="S133" s="32">
        <v>1</v>
      </c>
    </row>
    <row r="134" spans="1:19" ht="25.5" customHeight="1" x14ac:dyDescent="0.2">
      <c r="A134" s="1432"/>
      <c r="B134" s="1591"/>
      <c r="C134" s="1736"/>
      <c r="D134" s="1551"/>
      <c r="E134" s="1507"/>
      <c r="F134" s="1596"/>
      <c r="G134" s="1751"/>
      <c r="H134" s="1567"/>
      <c r="I134" s="1743"/>
      <c r="J134" s="85" t="s">
        <v>25</v>
      </c>
      <c r="K134" s="59">
        <v>40.6</v>
      </c>
      <c r="L134" s="187">
        <v>40.6</v>
      </c>
      <c r="M134" s="145">
        <v>40.6</v>
      </c>
      <c r="N134" s="59">
        <v>40.6</v>
      </c>
      <c r="O134" s="87" t="s">
        <v>202</v>
      </c>
      <c r="P134" s="31">
        <v>1</v>
      </c>
      <c r="Q134" s="389">
        <v>1</v>
      </c>
      <c r="R134" s="413">
        <v>1</v>
      </c>
      <c r="S134" s="32">
        <v>1</v>
      </c>
    </row>
    <row r="135" spans="1:19" ht="17.25" customHeight="1" x14ac:dyDescent="0.2">
      <c r="A135" s="1432"/>
      <c r="B135" s="1591"/>
      <c r="C135" s="1736"/>
      <c r="D135" s="1753" t="s">
        <v>34</v>
      </c>
      <c r="E135" s="1569" t="s">
        <v>171</v>
      </c>
      <c r="F135" s="1827" t="s">
        <v>396</v>
      </c>
      <c r="G135" s="1825" t="s">
        <v>233</v>
      </c>
      <c r="H135" s="1567"/>
      <c r="I135" s="972"/>
      <c r="J135" s="89" t="s">
        <v>70</v>
      </c>
      <c r="K135" s="54">
        <v>486.4</v>
      </c>
      <c r="L135" s="206">
        <v>188.7</v>
      </c>
      <c r="M135" s="133">
        <v>188.7</v>
      </c>
      <c r="N135" s="54"/>
      <c r="O135" s="486" t="s">
        <v>264</v>
      </c>
      <c r="P135" s="487">
        <v>125</v>
      </c>
      <c r="Q135" s="488">
        <v>40</v>
      </c>
      <c r="R135" s="679">
        <v>40</v>
      </c>
      <c r="S135" s="608">
        <v>40</v>
      </c>
    </row>
    <row r="136" spans="1:19" ht="26.25" customHeight="1" x14ac:dyDescent="0.2">
      <c r="A136" s="1432"/>
      <c r="B136" s="1591"/>
      <c r="C136" s="1736"/>
      <c r="D136" s="1754"/>
      <c r="E136" s="1829"/>
      <c r="F136" s="1653"/>
      <c r="G136" s="1825"/>
      <c r="H136" s="1567"/>
      <c r="I136" s="972"/>
      <c r="J136" s="88" t="s">
        <v>77</v>
      </c>
      <c r="K136" s="61">
        <v>199.9</v>
      </c>
      <c r="L136" s="181"/>
      <c r="M136" s="88"/>
      <c r="N136" s="61"/>
      <c r="O136" s="390"/>
      <c r="P136" s="489"/>
      <c r="Q136" s="490"/>
      <c r="R136" s="680"/>
      <c r="S136" s="609"/>
    </row>
    <row r="137" spans="1:19" ht="19.5" customHeight="1" x14ac:dyDescent="0.2">
      <c r="A137" s="967"/>
      <c r="B137" s="948"/>
      <c r="C137" s="356"/>
      <c r="D137" s="911" t="s">
        <v>35</v>
      </c>
      <c r="E137" s="1507" t="s">
        <v>287</v>
      </c>
      <c r="F137" s="946"/>
      <c r="G137" s="1732"/>
      <c r="H137" s="942"/>
      <c r="I137" s="1743"/>
      <c r="J137" s="85" t="s">
        <v>70</v>
      </c>
      <c r="K137" s="62">
        <v>3</v>
      </c>
      <c r="L137" s="130"/>
      <c r="M137" s="85"/>
      <c r="N137" s="62"/>
      <c r="O137" s="943" t="s">
        <v>288</v>
      </c>
      <c r="P137" s="262">
        <v>1</v>
      </c>
      <c r="Q137" s="262"/>
      <c r="R137" s="412"/>
      <c r="S137" s="737"/>
    </row>
    <row r="138" spans="1:19" ht="10.5" customHeight="1" x14ac:dyDescent="0.2">
      <c r="A138" s="967"/>
      <c r="B138" s="948"/>
      <c r="C138" s="356"/>
      <c r="D138" s="477"/>
      <c r="E138" s="1507"/>
      <c r="F138" s="946"/>
      <c r="G138" s="1826"/>
      <c r="H138" s="942"/>
      <c r="I138" s="1776"/>
      <c r="J138" s="88"/>
      <c r="K138" s="61"/>
      <c r="L138" s="131"/>
      <c r="M138" s="140"/>
      <c r="N138" s="140"/>
      <c r="O138" s="943"/>
      <c r="P138" s="980"/>
      <c r="Q138" s="313"/>
      <c r="R138" s="292"/>
      <c r="S138" s="989"/>
    </row>
    <row r="139" spans="1:19" ht="34.5" customHeight="1" x14ac:dyDescent="0.2">
      <c r="A139" s="967"/>
      <c r="B139" s="948"/>
      <c r="C139" s="356"/>
      <c r="D139" s="911" t="s">
        <v>36</v>
      </c>
      <c r="E139" s="1592" t="s">
        <v>158</v>
      </c>
      <c r="F139" s="1827" t="s">
        <v>395</v>
      </c>
      <c r="G139" s="1731" t="s">
        <v>234</v>
      </c>
      <c r="H139" s="942"/>
      <c r="I139" s="972" t="s">
        <v>289</v>
      </c>
      <c r="J139" s="307" t="s">
        <v>70</v>
      </c>
      <c r="K139" s="472"/>
      <c r="L139" s="308">
        <v>50</v>
      </c>
      <c r="M139" s="472"/>
      <c r="N139" s="472">
        <v>50</v>
      </c>
      <c r="O139" s="476" t="s">
        <v>159</v>
      </c>
      <c r="P139" s="330"/>
      <c r="Q139" s="330">
        <v>6</v>
      </c>
      <c r="R139" s="661"/>
      <c r="S139" s="629">
        <v>6</v>
      </c>
    </row>
    <row r="140" spans="1:19" ht="19.5" customHeight="1" x14ac:dyDescent="0.2">
      <c r="A140" s="967"/>
      <c r="B140" s="948"/>
      <c r="C140" s="356"/>
      <c r="D140" s="911"/>
      <c r="E140" s="1507"/>
      <c r="F140" s="1594"/>
      <c r="G140" s="1732"/>
      <c r="H140" s="942"/>
      <c r="I140" s="1828" t="s">
        <v>351</v>
      </c>
      <c r="J140" s="62" t="s">
        <v>70</v>
      </c>
      <c r="K140" s="85">
        <v>50</v>
      </c>
      <c r="L140" s="139"/>
      <c r="M140" s="85">
        <v>50</v>
      </c>
      <c r="N140" s="85"/>
      <c r="O140" s="180" t="s">
        <v>290</v>
      </c>
      <c r="P140" s="262">
        <v>6</v>
      </c>
      <c r="Q140" s="475"/>
      <c r="R140" s="412">
        <v>6</v>
      </c>
      <c r="S140" s="737"/>
    </row>
    <row r="141" spans="1:19" ht="10.5" customHeight="1" x14ac:dyDescent="0.2">
      <c r="A141" s="967"/>
      <c r="B141" s="948"/>
      <c r="C141" s="356"/>
      <c r="D141" s="997"/>
      <c r="E141" s="1507"/>
      <c r="F141" s="946"/>
      <c r="G141" s="1826"/>
      <c r="H141" s="942"/>
      <c r="I141" s="1744"/>
      <c r="J141" s="61"/>
      <c r="K141" s="88"/>
      <c r="L141" s="140"/>
      <c r="M141" s="140"/>
      <c r="N141" s="140"/>
      <c r="O141" s="581"/>
      <c r="P141" s="980"/>
      <c r="Q141" s="313"/>
      <c r="R141" s="292"/>
      <c r="S141" s="21"/>
    </row>
    <row r="142" spans="1:19" ht="18" customHeight="1" thickBot="1" x14ac:dyDescent="0.25">
      <c r="A142" s="937"/>
      <c r="B142" s="266"/>
      <c r="C142" s="346"/>
      <c r="D142" s="270"/>
      <c r="E142" s="347"/>
      <c r="F142" s="348"/>
      <c r="G142" s="349"/>
      <c r="H142" s="270"/>
      <c r="I142" s="228"/>
      <c r="J142" s="146" t="s">
        <v>6</v>
      </c>
      <c r="K142" s="218">
        <f>SUM(K117:K141)</f>
        <v>5886.7</v>
      </c>
      <c r="L142" s="218">
        <f>SUM(L117:L141)</f>
        <v>5326.8</v>
      </c>
      <c r="M142" s="218">
        <f>SUM(M117:M141)</f>
        <v>5328.3</v>
      </c>
      <c r="N142" s="218">
        <f>SUM(N117:N141)</f>
        <v>5139.6000000000004</v>
      </c>
      <c r="O142" s="351"/>
      <c r="P142" s="352"/>
      <c r="Q142" s="353"/>
      <c r="R142" s="353"/>
      <c r="S142" s="354"/>
    </row>
    <row r="143" spans="1:19" ht="18" customHeight="1" x14ac:dyDescent="0.2">
      <c r="A143" s="1535" t="s">
        <v>5</v>
      </c>
      <c r="B143" s="1582" t="s">
        <v>7</v>
      </c>
      <c r="C143" s="1757" t="s">
        <v>7</v>
      </c>
      <c r="D143" s="1550"/>
      <c r="E143" s="1822" t="s">
        <v>312</v>
      </c>
      <c r="F143" s="1036" t="s">
        <v>47</v>
      </c>
      <c r="G143" s="1751" t="s">
        <v>134</v>
      </c>
      <c r="H143" s="1567" t="s">
        <v>43</v>
      </c>
      <c r="I143" s="1743" t="s">
        <v>164</v>
      </c>
      <c r="J143" s="324" t="s">
        <v>70</v>
      </c>
      <c r="K143" s="231">
        <v>150</v>
      </c>
      <c r="L143" s="191">
        <v>391.7</v>
      </c>
      <c r="M143" s="327"/>
      <c r="N143" s="327"/>
      <c r="O143" s="336" t="s">
        <v>313</v>
      </c>
      <c r="P143" s="212"/>
      <c r="Q143" s="456"/>
      <c r="R143" s="681"/>
      <c r="S143" s="457"/>
    </row>
    <row r="144" spans="1:19" ht="26.25" customHeight="1" x14ac:dyDescent="0.2">
      <c r="A144" s="1535"/>
      <c r="B144" s="1582"/>
      <c r="C144" s="1757"/>
      <c r="D144" s="1551"/>
      <c r="E144" s="1675"/>
      <c r="F144" s="1019" t="s">
        <v>395</v>
      </c>
      <c r="G144" s="1751"/>
      <c r="H144" s="1567"/>
      <c r="I144" s="1743"/>
      <c r="J144" s="58" t="s">
        <v>70</v>
      </c>
      <c r="K144" s="101"/>
      <c r="L144" s="62"/>
      <c r="M144" s="60"/>
      <c r="N144" s="60"/>
      <c r="O144" s="1509" t="s">
        <v>216</v>
      </c>
      <c r="P144" s="980">
        <v>4</v>
      </c>
      <c r="Q144" s="292">
        <v>6</v>
      </c>
      <c r="R144" s="974"/>
      <c r="S144" s="989"/>
    </row>
    <row r="145" spans="1:22" ht="30" customHeight="1" x14ac:dyDescent="0.2">
      <c r="A145" s="1535"/>
      <c r="B145" s="1582"/>
      <c r="C145" s="1757"/>
      <c r="D145" s="1551"/>
      <c r="E145" s="1675"/>
      <c r="F145" s="1019"/>
      <c r="G145" s="1751"/>
      <c r="H145" s="1567"/>
      <c r="I145" s="1743"/>
      <c r="J145" s="73"/>
      <c r="K145" s="164"/>
      <c r="L145" s="73"/>
      <c r="M145" s="185"/>
      <c r="N145" s="185"/>
      <c r="O145" s="1673"/>
      <c r="P145" s="494"/>
      <c r="Q145" s="493"/>
      <c r="R145" s="299"/>
      <c r="S145" s="422"/>
    </row>
    <row r="146" spans="1:22" ht="17.25" customHeight="1" x14ac:dyDescent="0.2">
      <c r="A146" s="314"/>
      <c r="B146" s="957"/>
      <c r="C146" s="491"/>
      <c r="D146" s="911"/>
      <c r="E146" s="1821"/>
      <c r="F146" s="952"/>
      <c r="G146" s="1751"/>
      <c r="H146" s="942"/>
      <c r="I146" s="972"/>
      <c r="J146" s="249" t="s">
        <v>70</v>
      </c>
      <c r="K146" s="252"/>
      <c r="L146" s="249">
        <v>15</v>
      </c>
      <c r="M146" s="275"/>
      <c r="N146" s="275"/>
      <c r="O146" s="943" t="s">
        <v>314</v>
      </c>
      <c r="P146" s="36"/>
      <c r="Q146" s="492" t="s">
        <v>56</v>
      </c>
      <c r="R146" s="207"/>
      <c r="S146" s="334"/>
    </row>
    <row r="147" spans="1:22" ht="27" customHeight="1" x14ac:dyDescent="0.2">
      <c r="A147" s="314"/>
      <c r="B147" s="957"/>
      <c r="C147" s="491"/>
      <c r="D147" s="911"/>
      <c r="E147" s="1821"/>
      <c r="F147" s="952"/>
      <c r="G147" s="1751"/>
      <c r="H147" s="942"/>
      <c r="I147" s="972"/>
      <c r="J147" s="73" t="s">
        <v>70</v>
      </c>
      <c r="K147" s="164"/>
      <c r="L147" s="73"/>
      <c r="M147" s="185">
        <v>558.6</v>
      </c>
      <c r="N147" s="185"/>
      <c r="O147" s="464" t="s">
        <v>279</v>
      </c>
      <c r="P147" s="298"/>
      <c r="Q147" s="493"/>
      <c r="R147" s="299" t="s">
        <v>276</v>
      </c>
      <c r="S147" s="422"/>
      <c r="V147" s="636"/>
    </row>
    <row r="148" spans="1:22" ht="40.5" customHeight="1" x14ac:dyDescent="0.2">
      <c r="A148" s="314"/>
      <c r="B148" s="957"/>
      <c r="C148" s="491"/>
      <c r="D148" s="911"/>
      <c r="E148" s="912"/>
      <c r="F148" s="952"/>
      <c r="G148" s="1751"/>
      <c r="H148" s="942"/>
      <c r="I148" s="972"/>
      <c r="J148" s="73" t="s">
        <v>25</v>
      </c>
      <c r="K148" s="164">
        <v>40</v>
      </c>
      <c r="L148" s="73"/>
      <c r="M148" s="185"/>
      <c r="N148" s="185"/>
      <c r="O148" s="960" t="s">
        <v>315</v>
      </c>
      <c r="P148" s="36">
        <v>1</v>
      </c>
      <c r="Q148" s="492"/>
      <c r="R148" s="207"/>
      <c r="S148" s="334"/>
    </row>
    <row r="149" spans="1:22" ht="18" customHeight="1" thickBot="1" x14ac:dyDescent="0.25">
      <c r="A149" s="937"/>
      <c r="B149" s="266"/>
      <c r="C149" s="346"/>
      <c r="D149" s="270"/>
      <c r="E149" s="347"/>
      <c r="F149" s="348"/>
      <c r="G149" s="1823"/>
      <c r="H149" s="270"/>
      <c r="I149" s="228"/>
      <c r="J149" s="146" t="s">
        <v>6</v>
      </c>
      <c r="K149" s="218">
        <f t="shared" ref="K149:N149" si="3">SUM(K143:K148)</f>
        <v>190</v>
      </c>
      <c r="L149" s="218">
        <f>SUM(L143:L148)</f>
        <v>406.7</v>
      </c>
      <c r="M149" s="218">
        <f t="shared" ref="M149" si="4">SUM(M143:M148)</f>
        <v>558.6</v>
      </c>
      <c r="N149" s="218">
        <f t="shared" si="3"/>
        <v>0</v>
      </c>
      <c r="O149" s="351"/>
      <c r="P149" s="352"/>
      <c r="Q149" s="353"/>
      <c r="R149" s="353"/>
      <c r="S149" s="354"/>
    </row>
    <row r="150" spans="1:22" ht="16.5" customHeight="1" x14ac:dyDescent="0.2">
      <c r="A150" s="1579" t="s">
        <v>5</v>
      </c>
      <c r="B150" s="1581" t="s">
        <v>7</v>
      </c>
      <c r="C150" s="1550" t="s">
        <v>28</v>
      </c>
      <c r="D150" s="1811"/>
      <c r="E150" s="1822" t="s">
        <v>157</v>
      </c>
      <c r="F150" s="1036" t="s">
        <v>47</v>
      </c>
      <c r="G150" s="1781" t="s">
        <v>234</v>
      </c>
      <c r="H150" s="1550">
        <v>5</v>
      </c>
      <c r="I150" s="1783" t="s">
        <v>73</v>
      </c>
      <c r="J150" s="191" t="s">
        <v>25</v>
      </c>
      <c r="K150" s="101">
        <v>113</v>
      </c>
      <c r="L150" s="191">
        <v>639.6</v>
      </c>
      <c r="M150" s="101"/>
      <c r="N150" s="191"/>
      <c r="O150" s="1810" t="s">
        <v>318</v>
      </c>
      <c r="P150" s="269"/>
      <c r="Q150" s="269">
        <v>17</v>
      </c>
      <c r="R150" s="752"/>
      <c r="S150" s="599"/>
    </row>
    <row r="151" spans="1:22" ht="21" customHeight="1" x14ac:dyDescent="0.2">
      <c r="A151" s="1535"/>
      <c r="B151" s="1582"/>
      <c r="C151" s="1551"/>
      <c r="D151" s="1497"/>
      <c r="E151" s="1570"/>
      <c r="F151" s="1019" t="s">
        <v>395</v>
      </c>
      <c r="G151" s="1751"/>
      <c r="H151" s="1551"/>
      <c r="I151" s="1743"/>
      <c r="J151" s="62" t="s">
        <v>347</v>
      </c>
      <c r="K151" s="101">
        <v>640</v>
      </c>
      <c r="L151" s="62">
        <v>3624.5</v>
      </c>
      <c r="M151" s="101"/>
      <c r="N151" s="62"/>
      <c r="O151" s="1734"/>
      <c r="P151" s="980"/>
      <c r="Q151" s="980"/>
      <c r="R151" s="292"/>
      <c r="S151" s="989"/>
      <c r="T151" s="49"/>
      <c r="V151" s="636"/>
    </row>
    <row r="152" spans="1:22" ht="16.5" customHeight="1" thickBot="1" x14ac:dyDescent="0.25">
      <c r="A152" s="1580"/>
      <c r="B152" s="1583"/>
      <c r="C152" s="1552"/>
      <c r="D152" s="1812"/>
      <c r="E152" s="248"/>
      <c r="F152" s="1037"/>
      <c r="G152" s="1782"/>
      <c r="H152" s="1552"/>
      <c r="I152" s="1824"/>
      <c r="J152" s="91" t="s">
        <v>6</v>
      </c>
      <c r="K152" s="270">
        <f t="shared" ref="K152:N152" si="5">SUM(K150:K151)</f>
        <v>753</v>
      </c>
      <c r="L152" s="91">
        <f t="shared" si="5"/>
        <v>4264.1000000000004</v>
      </c>
      <c r="M152" s="270">
        <f t="shared" si="5"/>
        <v>0</v>
      </c>
      <c r="N152" s="91">
        <f t="shared" si="5"/>
        <v>0</v>
      </c>
      <c r="O152" s="783"/>
      <c r="P152" s="195"/>
      <c r="Q152" s="195"/>
      <c r="R152" s="662"/>
      <c r="S152" s="559"/>
    </row>
    <row r="153" spans="1:22" ht="16.5" customHeight="1" x14ac:dyDescent="0.2">
      <c r="A153" s="1579" t="s">
        <v>5</v>
      </c>
      <c r="B153" s="1581" t="s">
        <v>7</v>
      </c>
      <c r="C153" s="1550"/>
      <c r="D153" s="1811"/>
      <c r="E153" s="1813" t="s">
        <v>354</v>
      </c>
      <c r="F153" s="1815" t="s">
        <v>47</v>
      </c>
      <c r="G153" s="1818" t="s">
        <v>234</v>
      </c>
      <c r="H153" s="1804">
        <v>5</v>
      </c>
      <c r="I153" s="1807"/>
      <c r="J153" s="191"/>
      <c r="K153" s="101"/>
      <c r="L153" s="191"/>
      <c r="M153" s="101"/>
      <c r="N153" s="191"/>
      <c r="O153" s="1810" t="s">
        <v>318</v>
      </c>
      <c r="P153" s="269"/>
      <c r="Q153" s="269">
        <v>17</v>
      </c>
      <c r="R153" s="752"/>
      <c r="S153" s="599"/>
      <c r="T153" s="812" t="s">
        <v>353</v>
      </c>
    </row>
    <row r="154" spans="1:22" ht="21" customHeight="1" x14ac:dyDescent="0.2">
      <c r="A154" s="1535"/>
      <c r="B154" s="1582"/>
      <c r="C154" s="1551"/>
      <c r="D154" s="1497"/>
      <c r="E154" s="1814"/>
      <c r="F154" s="1816"/>
      <c r="G154" s="1819"/>
      <c r="H154" s="1805"/>
      <c r="I154" s="1808"/>
      <c r="J154" s="62"/>
      <c r="K154" s="101"/>
      <c r="L154" s="62"/>
      <c r="M154" s="101"/>
      <c r="N154" s="62"/>
      <c r="O154" s="1734"/>
      <c r="P154" s="980"/>
      <c r="Q154" s="980"/>
      <c r="R154" s="292"/>
      <c r="S154" s="989"/>
      <c r="T154" s="810"/>
      <c r="V154" s="636"/>
    </row>
    <row r="155" spans="1:22" ht="16.5" customHeight="1" thickBot="1" x14ac:dyDescent="0.25">
      <c r="A155" s="1580"/>
      <c r="B155" s="1583"/>
      <c r="C155" s="1552"/>
      <c r="D155" s="1812"/>
      <c r="E155" s="811"/>
      <c r="F155" s="1817"/>
      <c r="G155" s="1820"/>
      <c r="H155" s="1806"/>
      <c r="I155" s="1809"/>
      <c r="J155" s="91" t="s">
        <v>6</v>
      </c>
      <c r="K155" s="270">
        <f t="shared" ref="K155:N155" si="6">SUM(K153:K154)</f>
        <v>0</v>
      </c>
      <c r="L155" s="91">
        <f t="shared" si="6"/>
        <v>0</v>
      </c>
      <c r="M155" s="270">
        <f t="shared" si="6"/>
        <v>0</v>
      </c>
      <c r="N155" s="91">
        <f t="shared" si="6"/>
        <v>0</v>
      </c>
      <c r="O155" s="783"/>
      <c r="P155" s="195"/>
      <c r="Q155" s="195"/>
      <c r="R155" s="662"/>
      <c r="S155" s="559"/>
    </row>
    <row r="156" spans="1:22" ht="14.25" customHeight="1" thickBot="1" x14ac:dyDescent="0.25">
      <c r="A156" s="92" t="s">
        <v>5</v>
      </c>
      <c r="B156" s="268" t="s">
        <v>7</v>
      </c>
      <c r="C156" s="1553" t="s">
        <v>8</v>
      </c>
      <c r="D156" s="1491"/>
      <c r="E156" s="1491"/>
      <c r="F156" s="1491"/>
      <c r="G156" s="1491"/>
      <c r="H156" s="1491"/>
      <c r="I156" s="1491"/>
      <c r="J156" s="1447"/>
      <c r="K156" s="333">
        <f t="shared" ref="K156:N156" si="7">K152+K149+K142</f>
        <v>6829.7</v>
      </c>
      <c r="L156" s="149">
        <f t="shared" si="7"/>
        <v>9997.6</v>
      </c>
      <c r="M156" s="149">
        <f t="shared" si="7"/>
        <v>5886.9</v>
      </c>
      <c r="N156" s="149">
        <f t="shared" si="7"/>
        <v>5139.6000000000004</v>
      </c>
      <c r="O156" s="1449"/>
      <c r="P156" s="1449"/>
      <c r="Q156" s="1449"/>
      <c r="R156" s="1449"/>
      <c r="S156" s="1450"/>
    </row>
    <row r="157" spans="1:22" ht="18" customHeight="1" thickBot="1" x14ac:dyDescent="0.25">
      <c r="A157" s="78" t="s">
        <v>5</v>
      </c>
      <c r="B157" s="268" t="s">
        <v>28</v>
      </c>
      <c r="C157" s="1439" t="s">
        <v>118</v>
      </c>
      <c r="D157" s="1440"/>
      <c r="E157" s="1440"/>
      <c r="F157" s="1440"/>
      <c r="G157" s="1440"/>
      <c r="H157" s="1440"/>
      <c r="I157" s="1440"/>
      <c r="J157" s="1440"/>
      <c r="K157" s="1440"/>
      <c r="L157" s="1440"/>
      <c r="M157" s="1440"/>
      <c r="N157" s="1440"/>
      <c r="O157" s="1440"/>
      <c r="P157" s="1440"/>
      <c r="Q157" s="1440"/>
      <c r="R157" s="1440"/>
      <c r="S157" s="1441"/>
    </row>
    <row r="158" spans="1:22" ht="27" customHeight="1" x14ac:dyDescent="0.2">
      <c r="A158" s="936" t="s">
        <v>5</v>
      </c>
      <c r="B158" s="267" t="s">
        <v>28</v>
      </c>
      <c r="C158" s="350" t="s">
        <v>5</v>
      </c>
      <c r="D158" s="970"/>
      <c r="E158" s="234" t="s">
        <v>114</v>
      </c>
      <c r="F158" s="122" t="s">
        <v>79</v>
      </c>
      <c r="G158" s="109"/>
      <c r="H158" s="941"/>
      <c r="I158" s="245"/>
      <c r="J158" s="93"/>
      <c r="K158" s="82"/>
      <c r="L158" s="143"/>
      <c r="M158" s="143"/>
      <c r="N158" s="143"/>
      <c r="O158" s="94"/>
      <c r="P158" s="198"/>
      <c r="Q158" s="196"/>
      <c r="R158" s="196"/>
      <c r="S158" s="310"/>
    </row>
    <row r="159" spans="1:22" ht="13.5" customHeight="1" x14ac:dyDescent="0.2">
      <c r="A159" s="923"/>
      <c r="B159" s="948"/>
      <c r="C159" s="983"/>
      <c r="D159" s="1001" t="s">
        <v>5</v>
      </c>
      <c r="E159" s="1433" t="s">
        <v>112</v>
      </c>
      <c r="F159" s="1540" t="s">
        <v>78</v>
      </c>
      <c r="G159" s="1731" t="s">
        <v>235</v>
      </c>
      <c r="H159" s="388" t="s">
        <v>37</v>
      </c>
      <c r="I159" s="1801" t="s">
        <v>76</v>
      </c>
      <c r="J159" s="54" t="s">
        <v>105</v>
      </c>
      <c r="K159" s="89"/>
      <c r="L159" s="138">
        <v>100</v>
      </c>
      <c r="M159" s="54">
        <v>100</v>
      </c>
      <c r="N159" s="54">
        <v>100</v>
      </c>
      <c r="O159" s="968"/>
      <c r="P159" s="239"/>
      <c r="Q159" s="38"/>
      <c r="R159" s="660"/>
      <c r="S159" s="34"/>
    </row>
    <row r="160" spans="1:22" ht="15" customHeight="1" x14ac:dyDescent="0.2">
      <c r="A160" s="923"/>
      <c r="B160" s="948"/>
      <c r="C160" s="983"/>
      <c r="D160" s="921"/>
      <c r="E160" s="1500"/>
      <c r="F160" s="1575"/>
      <c r="G160" s="1748"/>
      <c r="H160" s="942"/>
      <c r="I160" s="1723"/>
      <c r="J160" s="62" t="s">
        <v>25</v>
      </c>
      <c r="K160" s="85"/>
      <c r="L160" s="139">
        <v>270</v>
      </c>
      <c r="M160" s="62">
        <v>270</v>
      </c>
      <c r="N160" s="62">
        <v>270</v>
      </c>
      <c r="O160" s="943"/>
      <c r="P160" s="980"/>
      <c r="Q160" s="292"/>
      <c r="R160" s="780"/>
      <c r="S160" s="737"/>
    </row>
    <row r="161" spans="1:21" ht="18.75" customHeight="1" x14ac:dyDescent="0.2">
      <c r="A161" s="923"/>
      <c r="B161" s="948"/>
      <c r="C161" s="983"/>
      <c r="D161" s="921"/>
      <c r="E161" s="1500"/>
      <c r="F161" s="1576"/>
      <c r="G161" s="1748"/>
      <c r="H161" s="942"/>
      <c r="I161" s="1723"/>
      <c r="J161" s="62" t="s">
        <v>77</v>
      </c>
      <c r="K161" s="85"/>
      <c r="L161" s="144"/>
      <c r="M161" s="66"/>
      <c r="N161" s="66"/>
      <c r="O161" s="244"/>
      <c r="P161" s="707"/>
      <c r="Q161" s="304"/>
      <c r="R161" s="339"/>
      <c r="S161" s="747"/>
    </row>
    <row r="162" spans="1:21" ht="27.75" customHeight="1" x14ac:dyDescent="0.2">
      <c r="A162" s="923"/>
      <c r="B162" s="948"/>
      <c r="C162" s="983"/>
      <c r="D162" s="921"/>
      <c r="E162" s="1500"/>
      <c r="F162" s="946"/>
      <c r="G162" s="1748"/>
      <c r="H162" s="942"/>
      <c r="I162" s="1723"/>
      <c r="J162" s="75" t="s">
        <v>77</v>
      </c>
      <c r="K162" s="391">
        <v>149.19999999999999</v>
      </c>
      <c r="L162" s="139"/>
      <c r="M162" s="62"/>
      <c r="N162" s="62"/>
      <c r="O162" s="943" t="s">
        <v>119</v>
      </c>
      <c r="P162" s="239">
        <v>13.8</v>
      </c>
      <c r="Q162" s="38">
        <v>13.8</v>
      </c>
      <c r="R162" s="38">
        <v>13.8</v>
      </c>
      <c r="S162" s="39">
        <v>13.8</v>
      </c>
    </row>
    <row r="163" spans="1:21" ht="17.25" customHeight="1" x14ac:dyDescent="0.2">
      <c r="A163" s="923"/>
      <c r="B163" s="948"/>
      <c r="C163" s="983"/>
      <c r="D163" s="921"/>
      <c r="E163" s="1500"/>
      <c r="F163" s="946"/>
      <c r="G163" s="1748"/>
      <c r="H163" s="942"/>
      <c r="I163" s="1723"/>
      <c r="J163" s="62" t="s">
        <v>105</v>
      </c>
      <c r="K163" s="139">
        <v>100</v>
      </c>
      <c r="L163" s="139"/>
      <c r="M163" s="62"/>
      <c r="N163" s="62"/>
      <c r="O163" s="943" t="s">
        <v>38</v>
      </c>
      <c r="P163" s="980">
        <v>67</v>
      </c>
      <c r="Q163" s="292">
        <v>67</v>
      </c>
      <c r="R163" s="974">
        <v>67</v>
      </c>
      <c r="S163" s="989">
        <v>67</v>
      </c>
    </row>
    <row r="164" spans="1:21" ht="17.25" customHeight="1" x14ac:dyDescent="0.2">
      <c r="A164" s="923"/>
      <c r="B164" s="948"/>
      <c r="C164" s="983"/>
      <c r="D164" s="921"/>
      <c r="E164" s="1500"/>
      <c r="F164" s="946"/>
      <c r="G164" s="1748"/>
      <c r="H164" s="942"/>
      <c r="I164" s="1723"/>
      <c r="J164" s="66"/>
      <c r="K164" s="144"/>
      <c r="L164" s="144"/>
      <c r="M164" s="66"/>
      <c r="N164" s="66"/>
      <c r="O164" s="244" t="s">
        <v>84</v>
      </c>
      <c r="P164" s="395">
        <v>1.8</v>
      </c>
      <c r="Q164" s="396">
        <v>1.8</v>
      </c>
      <c r="R164" s="642">
        <v>1.8</v>
      </c>
      <c r="S164" s="397">
        <v>1.8</v>
      </c>
    </row>
    <row r="165" spans="1:21" ht="16.5" customHeight="1" x14ac:dyDescent="0.2">
      <c r="A165" s="923"/>
      <c r="B165" s="948"/>
      <c r="C165" s="983"/>
      <c r="D165" s="921"/>
      <c r="E165" s="1500"/>
      <c r="F165" s="946"/>
      <c r="G165" s="1748"/>
      <c r="H165" s="942"/>
      <c r="I165" s="1723"/>
      <c r="J165" s="59" t="s">
        <v>62</v>
      </c>
      <c r="K165" s="142">
        <v>49</v>
      </c>
      <c r="L165" s="142"/>
      <c r="M165" s="59"/>
      <c r="N165" s="59"/>
      <c r="O165" s="244" t="s">
        <v>340</v>
      </c>
      <c r="P165" s="24">
        <v>100</v>
      </c>
      <c r="Q165" s="303"/>
      <c r="R165" s="784"/>
      <c r="S165" s="398"/>
    </row>
    <row r="166" spans="1:21" ht="21" customHeight="1" x14ac:dyDescent="0.2">
      <c r="A166" s="923"/>
      <c r="B166" s="948"/>
      <c r="C166" s="983"/>
      <c r="D166" s="921"/>
      <c r="E166" s="1500"/>
      <c r="F166" s="946"/>
      <c r="G166" s="394"/>
      <c r="H166" s="942"/>
      <c r="I166" s="1723"/>
      <c r="J166" s="62" t="s">
        <v>77</v>
      </c>
      <c r="K166" s="85">
        <v>12.8</v>
      </c>
      <c r="L166" s="142"/>
      <c r="M166" s="59"/>
      <c r="N166" s="59"/>
      <c r="O166" s="229" t="s">
        <v>181</v>
      </c>
      <c r="P166" s="24">
        <v>165</v>
      </c>
      <c r="Q166" s="399"/>
      <c r="R166" s="785"/>
      <c r="S166" s="400"/>
    </row>
    <row r="167" spans="1:21" ht="19.5" customHeight="1" x14ac:dyDescent="0.2">
      <c r="A167" s="923"/>
      <c r="B167" s="948"/>
      <c r="C167" s="983"/>
      <c r="D167" s="921"/>
      <c r="E167" s="1500"/>
      <c r="F167" s="946"/>
      <c r="G167" s="394"/>
      <c r="H167" s="942"/>
      <c r="I167" s="1723"/>
      <c r="J167" s="75" t="s">
        <v>77</v>
      </c>
      <c r="K167" s="391">
        <v>54</v>
      </c>
      <c r="L167" s="391"/>
      <c r="M167" s="75"/>
      <c r="N167" s="75"/>
      <c r="O167" s="1802" t="s">
        <v>338</v>
      </c>
      <c r="P167" s="497">
        <v>4</v>
      </c>
      <c r="Q167" s="399"/>
      <c r="R167" s="786"/>
      <c r="S167" s="643"/>
    </row>
    <row r="168" spans="1:21" ht="48" customHeight="1" x14ac:dyDescent="0.2">
      <c r="A168" s="923"/>
      <c r="B168" s="948"/>
      <c r="C168" s="983"/>
      <c r="D168" s="1002"/>
      <c r="E168" s="1500"/>
      <c r="F168" s="946"/>
      <c r="G168" s="394"/>
      <c r="H168" s="942"/>
      <c r="I168" s="1723"/>
      <c r="J168" s="61" t="s">
        <v>62</v>
      </c>
      <c r="K168" s="1038">
        <f>150-16.7</f>
        <v>133.30000000000001</v>
      </c>
      <c r="L168" s="144"/>
      <c r="M168" s="66"/>
      <c r="N168" s="66"/>
      <c r="O168" s="1463"/>
      <c r="P168" s="707"/>
      <c r="Q168" s="304"/>
      <c r="R168" s="787"/>
      <c r="S168" s="644"/>
      <c r="T168" s="49" t="s">
        <v>399</v>
      </c>
      <c r="U168" s="49"/>
    </row>
    <row r="169" spans="1:21" ht="15" customHeight="1" x14ac:dyDescent="0.2">
      <c r="A169" s="923"/>
      <c r="B169" s="948"/>
      <c r="C169" s="983"/>
      <c r="D169" s="921" t="s">
        <v>7</v>
      </c>
      <c r="E169" s="945" t="s">
        <v>66</v>
      </c>
      <c r="F169" s="311"/>
      <c r="G169" s="1731" t="s">
        <v>135</v>
      </c>
      <c r="H169" s="921"/>
      <c r="I169" s="976"/>
      <c r="J169" s="58" t="s">
        <v>105</v>
      </c>
      <c r="K169" s="89">
        <v>150</v>
      </c>
      <c r="L169" s="138">
        <v>150</v>
      </c>
      <c r="M169" s="54">
        <v>150</v>
      </c>
      <c r="N169" s="54">
        <v>150</v>
      </c>
      <c r="O169" s="968" t="s">
        <v>85</v>
      </c>
      <c r="P169" s="934">
        <v>1</v>
      </c>
      <c r="Q169" s="934">
        <v>1</v>
      </c>
      <c r="R169" s="664">
        <v>1</v>
      </c>
      <c r="S169" s="993">
        <v>1</v>
      </c>
    </row>
    <row r="170" spans="1:21" ht="16.5" customHeight="1" x14ac:dyDescent="0.2">
      <c r="A170" s="923"/>
      <c r="B170" s="948"/>
      <c r="C170" s="983"/>
      <c r="D170" s="1002"/>
      <c r="E170" s="924"/>
      <c r="F170" s="147"/>
      <c r="G170" s="1803"/>
      <c r="H170" s="921"/>
      <c r="I170" s="976"/>
      <c r="J170" s="56" t="s">
        <v>77</v>
      </c>
      <c r="K170" s="88">
        <v>0.6</v>
      </c>
      <c r="L170" s="140"/>
      <c r="M170" s="88"/>
      <c r="N170" s="88"/>
      <c r="O170" s="223"/>
      <c r="P170" s="935"/>
      <c r="Q170" s="935"/>
      <c r="R170" s="654"/>
      <c r="S170" s="994"/>
    </row>
    <row r="171" spans="1:21" ht="13.5" customHeight="1" x14ac:dyDescent="0.2">
      <c r="A171" s="923"/>
      <c r="B171" s="948"/>
      <c r="C171" s="983"/>
      <c r="D171" s="984" t="s">
        <v>28</v>
      </c>
      <c r="E171" s="1796" t="s">
        <v>121</v>
      </c>
      <c r="F171" s="789"/>
      <c r="G171" s="1797" t="s">
        <v>136</v>
      </c>
      <c r="H171" s="446"/>
      <c r="I171" s="1799"/>
      <c r="J171" s="62" t="s">
        <v>77</v>
      </c>
      <c r="K171" s="89">
        <v>8</v>
      </c>
      <c r="L171" s="622"/>
      <c r="M171" s="622"/>
      <c r="N171" s="622"/>
      <c r="O171" s="1572" t="s">
        <v>325</v>
      </c>
      <c r="P171" s="1589">
        <v>14</v>
      </c>
      <c r="Q171" s="1589"/>
      <c r="R171" s="1784"/>
      <c r="S171" s="1785"/>
    </row>
    <row r="172" spans="1:21" ht="12" customHeight="1" x14ac:dyDescent="0.2">
      <c r="A172" s="923"/>
      <c r="B172" s="948"/>
      <c r="C172" s="983"/>
      <c r="D172" s="921"/>
      <c r="E172" s="1555"/>
      <c r="F172" s="621"/>
      <c r="G172" s="1798"/>
      <c r="H172" s="446"/>
      <c r="I172" s="1799"/>
      <c r="J172" s="261"/>
      <c r="K172" s="380"/>
      <c r="L172" s="379"/>
      <c r="M172" s="261"/>
      <c r="N172" s="261"/>
      <c r="O172" s="1557"/>
      <c r="P172" s="1800"/>
      <c r="Q172" s="1800"/>
      <c r="R172" s="1559"/>
      <c r="S172" s="1786"/>
    </row>
    <row r="173" spans="1:21" ht="15.75" customHeight="1" x14ac:dyDescent="0.2">
      <c r="A173" s="923"/>
      <c r="B173" s="948"/>
      <c r="C173" s="983"/>
      <c r="D173" s="1002"/>
      <c r="E173" s="1556"/>
      <c r="F173" s="623"/>
      <c r="G173" s="1798"/>
      <c r="H173" s="446"/>
      <c r="I173" s="978"/>
      <c r="J173" s="261"/>
      <c r="K173" s="380"/>
      <c r="L173" s="380"/>
      <c r="M173" s="380"/>
      <c r="N173" s="380"/>
      <c r="O173" s="635"/>
      <c r="P173" s="974"/>
      <c r="Q173" s="980"/>
      <c r="R173" s="292"/>
      <c r="S173" s="989"/>
      <c r="U173" s="49"/>
    </row>
    <row r="174" spans="1:21" ht="12" customHeight="1" x14ac:dyDescent="0.2">
      <c r="A174" s="923"/>
      <c r="B174" s="948"/>
      <c r="C174" s="983"/>
      <c r="D174" s="911" t="s">
        <v>33</v>
      </c>
      <c r="E174" s="1507" t="s">
        <v>113</v>
      </c>
      <c r="F174" s="998" t="s">
        <v>47</v>
      </c>
      <c r="G174" s="1788" t="s">
        <v>236</v>
      </c>
      <c r="H174" s="706"/>
      <c r="I174" s="1743"/>
      <c r="J174" s="54"/>
      <c r="K174" s="157"/>
      <c r="L174" s="89"/>
      <c r="M174" s="89"/>
      <c r="N174" s="89"/>
      <c r="O174" s="1462"/>
      <c r="P174" s="1792"/>
      <c r="Q174" s="1792"/>
      <c r="R174" s="1792"/>
      <c r="S174" s="1687"/>
    </row>
    <row r="175" spans="1:21" ht="14.25" customHeight="1" x14ac:dyDescent="0.2">
      <c r="A175" s="923"/>
      <c r="B175" s="948"/>
      <c r="C175" s="983"/>
      <c r="D175" s="911"/>
      <c r="E175" s="1787"/>
      <c r="F175" s="1008"/>
      <c r="G175" s="1789"/>
      <c r="H175" s="706"/>
      <c r="I175" s="1790"/>
      <c r="J175" s="66"/>
      <c r="K175" s="153"/>
      <c r="L175" s="153"/>
      <c r="M175" s="153"/>
      <c r="N175" s="153"/>
      <c r="O175" s="1791"/>
      <c r="P175" s="1793"/>
      <c r="Q175" s="1794"/>
      <c r="R175" s="1794"/>
      <c r="S175" s="1795"/>
    </row>
    <row r="176" spans="1:21" ht="29.25" customHeight="1" x14ac:dyDescent="0.2">
      <c r="A176" s="923"/>
      <c r="B176" s="948"/>
      <c r="C176" s="983"/>
      <c r="D176" s="911"/>
      <c r="E176" s="1009"/>
      <c r="F176" s="965"/>
      <c r="G176" s="1789"/>
      <c r="H176" s="706"/>
      <c r="I176" s="972" t="s">
        <v>152</v>
      </c>
      <c r="J176" s="59" t="s">
        <v>70</v>
      </c>
      <c r="K176" s="200">
        <f>476+12+30</f>
        <v>518</v>
      </c>
      <c r="L176" s="86">
        <f>493+12</f>
        <v>505</v>
      </c>
      <c r="M176" s="86">
        <v>505</v>
      </c>
      <c r="N176" s="86">
        <v>505</v>
      </c>
      <c r="O176" s="229" t="s">
        <v>182</v>
      </c>
      <c r="P176" s="619">
        <v>170</v>
      </c>
      <c r="Q176" s="619">
        <v>170</v>
      </c>
      <c r="R176" s="619">
        <v>170</v>
      </c>
      <c r="S176" s="620">
        <v>170</v>
      </c>
    </row>
    <row r="177" spans="1:20" ht="40.5" customHeight="1" x14ac:dyDescent="0.2">
      <c r="A177" s="923"/>
      <c r="B177" s="948"/>
      <c r="C177" s="983"/>
      <c r="D177" s="997"/>
      <c r="E177" s="931"/>
      <c r="F177" s="123"/>
      <c r="G177" s="1789"/>
      <c r="H177" s="706"/>
      <c r="I177" s="985" t="s">
        <v>76</v>
      </c>
      <c r="J177" s="790" t="s">
        <v>70</v>
      </c>
      <c r="K177" s="858">
        <f>291-95.9</f>
        <v>195.1</v>
      </c>
      <c r="L177" s="791"/>
      <c r="M177" s="791"/>
      <c r="N177" s="791"/>
      <c r="O177" s="280" t="s">
        <v>177</v>
      </c>
      <c r="P177" s="857"/>
      <c r="Q177" s="857"/>
      <c r="R177" s="857"/>
      <c r="S177" s="553"/>
      <c r="T177" s="1" t="s">
        <v>400</v>
      </c>
    </row>
    <row r="178" spans="1:20" ht="24" customHeight="1" x14ac:dyDescent="0.2">
      <c r="A178" s="967"/>
      <c r="B178" s="948"/>
      <c r="C178" s="356"/>
      <c r="D178" s="911" t="s">
        <v>34</v>
      </c>
      <c r="E178" s="1507" t="s">
        <v>200</v>
      </c>
      <c r="F178" s="965" t="s">
        <v>47</v>
      </c>
      <c r="G178" s="1774" t="s">
        <v>137</v>
      </c>
      <c r="H178" s="926"/>
      <c r="I178" s="1743"/>
      <c r="J178" s="62" t="s">
        <v>25</v>
      </c>
      <c r="K178" s="85">
        <v>90.1</v>
      </c>
      <c r="L178" s="85">
        <v>90.1</v>
      </c>
      <c r="M178" s="85">
        <f>+K178</f>
        <v>90.1</v>
      </c>
      <c r="N178" s="85">
        <v>90.1</v>
      </c>
      <c r="O178" s="1557" t="s">
        <v>178</v>
      </c>
      <c r="P178" s="860">
        <v>33</v>
      </c>
      <c r="Q178" s="454">
        <v>19</v>
      </c>
      <c r="R178" s="461">
        <v>19</v>
      </c>
      <c r="S178" s="220">
        <v>19</v>
      </c>
      <c r="T178" s="1" t="s">
        <v>401</v>
      </c>
    </row>
    <row r="179" spans="1:20" ht="14.25" customHeight="1" x14ac:dyDescent="0.2">
      <c r="A179" s="967"/>
      <c r="B179" s="948"/>
      <c r="C179" s="356"/>
      <c r="D179" s="997"/>
      <c r="E179" s="1593"/>
      <c r="F179" s="124"/>
      <c r="G179" s="1775"/>
      <c r="H179" s="588"/>
      <c r="I179" s="1776"/>
      <c r="J179" s="778" t="s">
        <v>70</v>
      </c>
      <c r="K179" s="859">
        <v>95.9</v>
      </c>
      <c r="L179" s="140"/>
      <c r="M179" s="140"/>
      <c r="N179" s="140"/>
      <c r="O179" s="1777"/>
      <c r="P179" s="455"/>
      <c r="Q179" s="455"/>
      <c r="R179" s="753"/>
      <c r="S179" s="788"/>
    </row>
    <row r="180" spans="1:20" ht="15.75" customHeight="1" thickBot="1" x14ac:dyDescent="0.25">
      <c r="A180" s="68"/>
      <c r="B180" s="939"/>
      <c r="C180" s="190"/>
      <c r="D180" s="270"/>
      <c r="E180" s="361"/>
      <c r="F180" s="362"/>
      <c r="G180" s="363"/>
      <c r="H180" s="190"/>
      <c r="I180" s="338"/>
      <c r="J180" s="146" t="s">
        <v>6</v>
      </c>
      <c r="K180" s="146">
        <f>SUM(K159:K179)</f>
        <v>1556</v>
      </c>
      <c r="L180" s="146">
        <f>SUM(L159:L179)</f>
        <v>1115.0999999999999</v>
      </c>
      <c r="M180" s="146">
        <f>SUM(M159:M179)</f>
        <v>1115.0999999999999</v>
      </c>
      <c r="N180" s="146">
        <f>SUM(N159:N179)</f>
        <v>1115.0999999999999</v>
      </c>
      <c r="O180" s="364"/>
      <c r="P180" s="352"/>
      <c r="Q180" s="353"/>
      <c r="R180" s="353"/>
      <c r="S180" s="354"/>
    </row>
    <row r="181" spans="1:20" ht="18" customHeight="1" x14ac:dyDescent="0.2">
      <c r="A181" s="1546" t="s">
        <v>5</v>
      </c>
      <c r="B181" s="1548" t="s">
        <v>28</v>
      </c>
      <c r="C181" s="1550" t="s">
        <v>7</v>
      </c>
      <c r="D181" s="1778"/>
      <c r="E181" s="1577" t="s">
        <v>302</v>
      </c>
      <c r="F181" s="1563" t="s">
        <v>395</v>
      </c>
      <c r="G181" s="1781" t="s">
        <v>149</v>
      </c>
      <c r="H181" s="1566" t="s">
        <v>56</v>
      </c>
      <c r="I181" s="1783" t="s">
        <v>65</v>
      </c>
      <c r="J181" s="98" t="s">
        <v>25</v>
      </c>
      <c r="K181" s="230">
        <v>112.6</v>
      </c>
      <c r="L181" s="191">
        <v>112.6</v>
      </c>
      <c r="M181" s="230">
        <v>112.6</v>
      </c>
      <c r="N181" s="230">
        <v>112.6</v>
      </c>
      <c r="O181" s="219" t="s">
        <v>69</v>
      </c>
      <c r="P181" s="265">
        <v>18</v>
      </c>
      <c r="Q181" s="265">
        <v>18</v>
      </c>
      <c r="R181" s="649">
        <v>18</v>
      </c>
      <c r="S181" s="676">
        <v>18</v>
      </c>
    </row>
    <row r="182" spans="1:20" ht="18" customHeight="1" x14ac:dyDescent="0.2">
      <c r="A182" s="1432"/>
      <c r="B182" s="1492"/>
      <c r="C182" s="1551"/>
      <c r="D182" s="1779"/>
      <c r="E182" s="1507"/>
      <c r="F182" s="1564"/>
      <c r="G182" s="1751"/>
      <c r="H182" s="1567"/>
      <c r="I182" s="1743"/>
      <c r="J182" s="249" t="s">
        <v>62</v>
      </c>
      <c r="K182" s="1039">
        <v>93</v>
      </c>
      <c r="L182" s="1040"/>
      <c r="M182" s="1039"/>
      <c r="N182" s="1039"/>
      <c r="O182" s="943" t="s">
        <v>86</v>
      </c>
      <c r="P182" s="980">
        <v>7</v>
      </c>
      <c r="Q182" s="980">
        <v>7</v>
      </c>
      <c r="R182" s="292">
        <v>7</v>
      </c>
      <c r="S182" s="989">
        <v>7</v>
      </c>
      <c r="T182" s="49"/>
    </row>
    <row r="183" spans="1:20" ht="41.25" customHeight="1" x14ac:dyDescent="0.2">
      <c r="A183" s="1432"/>
      <c r="B183" s="1492"/>
      <c r="C183" s="1551"/>
      <c r="D183" s="1779"/>
      <c r="E183" s="1507"/>
      <c r="F183" s="1564"/>
      <c r="G183" s="1751"/>
      <c r="H183" s="1567"/>
      <c r="I183" s="1743"/>
      <c r="J183" s="73"/>
      <c r="K183" s="155"/>
      <c r="L183" s="155"/>
      <c r="M183" s="155"/>
      <c r="N183" s="55"/>
      <c r="O183" s="1041" t="s">
        <v>402</v>
      </c>
      <c r="P183" s="980"/>
      <c r="Q183" s="980"/>
      <c r="R183" s="292"/>
      <c r="S183" s="989"/>
      <c r="T183" s="1042" t="s">
        <v>403</v>
      </c>
    </row>
    <row r="184" spans="1:20" ht="18.75" customHeight="1" thickBot="1" x14ac:dyDescent="0.25">
      <c r="A184" s="1547"/>
      <c r="B184" s="1549"/>
      <c r="C184" s="1552"/>
      <c r="D184" s="1780"/>
      <c r="E184" s="1578"/>
      <c r="F184" s="1565"/>
      <c r="G184" s="1782"/>
      <c r="H184" s="1568"/>
      <c r="I184" s="1724"/>
      <c r="J184" s="146" t="s">
        <v>6</v>
      </c>
      <c r="K184" s="158">
        <f>SUM(K181:K182)</f>
        <v>205.6</v>
      </c>
      <c r="L184" s="158">
        <f t="shared" ref="L184:N184" si="8">SUM(L181:L182)</f>
        <v>112.6</v>
      </c>
      <c r="M184" s="218">
        <f t="shared" si="8"/>
        <v>112.6</v>
      </c>
      <c r="N184" s="218">
        <f t="shared" si="8"/>
        <v>112.6</v>
      </c>
      <c r="O184" s="535"/>
      <c r="P184" s="195"/>
      <c r="Q184" s="195"/>
      <c r="R184" s="662"/>
      <c r="S184" s="559"/>
    </row>
    <row r="185" spans="1:20" ht="19.5" customHeight="1" x14ac:dyDescent="0.2">
      <c r="A185" s="956" t="s">
        <v>5</v>
      </c>
      <c r="B185" s="610" t="s">
        <v>28</v>
      </c>
      <c r="C185" s="611" t="s">
        <v>28</v>
      </c>
      <c r="D185" s="940"/>
      <c r="E185" s="1554" t="s">
        <v>221</v>
      </c>
      <c r="F185" s="1770" t="s">
        <v>396</v>
      </c>
      <c r="G185" s="612"/>
      <c r="H185" s="941"/>
      <c r="I185" s="613"/>
      <c r="J185" s="496"/>
      <c r="K185" s="614"/>
      <c r="L185" s="496"/>
      <c r="M185" s="614"/>
      <c r="N185" s="496"/>
      <c r="O185" s="615"/>
      <c r="P185" s="189"/>
      <c r="Q185" s="189"/>
      <c r="R185" s="231"/>
      <c r="S185" s="238"/>
    </row>
    <row r="186" spans="1:20" ht="20.25" customHeight="1" x14ac:dyDescent="0.2">
      <c r="A186" s="909"/>
      <c r="B186" s="910"/>
      <c r="C186" s="971"/>
      <c r="D186" s="997"/>
      <c r="E186" s="1769"/>
      <c r="F186" s="1771"/>
      <c r="G186" s="470"/>
      <c r="H186" s="588"/>
      <c r="I186" s="471"/>
      <c r="J186" s="468"/>
      <c r="K186" s="469"/>
      <c r="L186" s="468"/>
      <c r="M186" s="469"/>
      <c r="N186" s="468"/>
      <c r="O186" s="944"/>
      <c r="P186" s="40"/>
      <c r="Q186" s="41"/>
      <c r="R186" s="159"/>
      <c r="S186" s="42"/>
    </row>
    <row r="187" spans="1:20" ht="24.75" customHeight="1" x14ac:dyDescent="0.2">
      <c r="A187" s="1535"/>
      <c r="B187" s="1536"/>
      <c r="C187" s="1757"/>
      <c r="D187" s="984" t="s">
        <v>5</v>
      </c>
      <c r="E187" s="1592" t="s">
        <v>303</v>
      </c>
      <c r="F187" s="1540" t="s">
        <v>404</v>
      </c>
      <c r="G187" s="1767" t="s">
        <v>237</v>
      </c>
      <c r="H187" s="926">
        <v>5</v>
      </c>
      <c r="I187" s="1743" t="s">
        <v>218</v>
      </c>
      <c r="J187" s="62" t="s">
        <v>44</v>
      </c>
      <c r="K187" s="85">
        <v>342</v>
      </c>
      <c r="L187" s="62">
        <v>234</v>
      </c>
      <c r="M187" s="85">
        <v>234</v>
      </c>
      <c r="N187" s="62"/>
      <c r="O187" s="281" t="s">
        <v>168</v>
      </c>
      <c r="P187" s="467" t="s">
        <v>169</v>
      </c>
      <c r="Q187" s="262">
        <v>100</v>
      </c>
      <c r="R187" s="412"/>
      <c r="S187" s="737"/>
    </row>
    <row r="188" spans="1:20" ht="26.25" customHeight="1" x14ac:dyDescent="0.2">
      <c r="A188" s="1535"/>
      <c r="B188" s="1536"/>
      <c r="C188" s="1757"/>
      <c r="D188" s="911"/>
      <c r="E188" s="1772"/>
      <c r="F188" s="1541"/>
      <c r="G188" s="1768"/>
      <c r="H188" s="942"/>
      <c r="I188" s="1743"/>
      <c r="J188" s="62" t="s">
        <v>25</v>
      </c>
      <c r="K188" s="101">
        <f>164-4</f>
        <v>160</v>
      </c>
      <c r="L188" s="62">
        <f>314+4</f>
        <v>318</v>
      </c>
      <c r="M188" s="85"/>
      <c r="N188" s="62"/>
      <c r="O188" s="205" t="s">
        <v>285</v>
      </c>
      <c r="P188" s="173">
        <v>1</v>
      </c>
      <c r="Q188" s="31"/>
      <c r="R188" s="389"/>
      <c r="S188" s="32"/>
    </row>
    <row r="189" spans="1:20" ht="17.25" customHeight="1" x14ac:dyDescent="0.2">
      <c r="A189" s="1535"/>
      <c r="B189" s="1536"/>
      <c r="C189" s="1757"/>
      <c r="D189" s="997"/>
      <c r="E189" s="1773"/>
      <c r="F189" s="1542"/>
      <c r="G189" s="1768"/>
      <c r="H189" s="921"/>
      <c r="I189" s="1743"/>
      <c r="J189" s="61" t="s">
        <v>62</v>
      </c>
      <c r="K189" s="159">
        <v>150</v>
      </c>
      <c r="L189" s="61"/>
      <c r="M189" s="88"/>
      <c r="N189" s="61"/>
      <c r="O189" s="792" t="s">
        <v>160</v>
      </c>
      <c r="P189" s="554" t="s">
        <v>266</v>
      </c>
      <c r="Q189" s="555">
        <v>2</v>
      </c>
      <c r="R189" s="555"/>
      <c r="S189" s="556"/>
    </row>
    <row r="190" spans="1:20" ht="25.5" customHeight="1" x14ac:dyDescent="0.2">
      <c r="A190" s="1535"/>
      <c r="B190" s="1536"/>
      <c r="C190" s="1757"/>
      <c r="D190" s="911" t="s">
        <v>7</v>
      </c>
      <c r="E190" s="1570" t="s">
        <v>280</v>
      </c>
      <c r="F190" s="1496" t="s">
        <v>405</v>
      </c>
      <c r="G190" s="1767" t="s">
        <v>238</v>
      </c>
      <c r="H190" s="911"/>
      <c r="I190" s="1743"/>
      <c r="J190" s="62" t="s">
        <v>25</v>
      </c>
      <c r="K190" s="85">
        <v>15</v>
      </c>
      <c r="L190" s="62">
        <v>44.5</v>
      </c>
      <c r="M190" s="85">
        <v>5</v>
      </c>
      <c r="N190" s="478">
        <v>3</v>
      </c>
      <c r="O190" s="205" t="s">
        <v>212</v>
      </c>
      <c r="P190" s="173">
        <v>1</v>
      </c>
      <c r="Q190" s="173"/>
      <c r="R190" s="974"/>
      <c r="S190" s="989"/>
    </row>
    <row r="191" spans="1:20" ht="30.75" customHeight="1" x14ac:dyDescent="0.2">
      <c r="A191" s="1535"/>
      <c r="B191" s="1536"/>
      <c r="C191" s="1757"/>
      <c r="D191" s="911"/>
      <c r="E191" s="1761"/>
      <c r="F191" s="1624"/>
      <c r="G191" s="1768"/>
      <c r="H191" s="921"/>
      <c r="I191" s="1743"/>
      <c r="J191" s="62" t="s">
        <v>44</v>
      </c>
      <c r="K191" s="85">
        <v>135</v>
      </c>
      <c r="L191" s="62">
        <v>400.1</v>
      </c>
      <c r="M191" s="85">
        <v>45</v>
      </c>
      <c r="N191" s="478">
        <v>26.6</v>
      </c>
      <c r="O191" s="794" t="s">
        <v>281</v>
      </c>
      <c r="P191" s="499"/>
      <c r="Q191" s="499">
        <v>1</v>
      </c>
      <c r="R191" s="499"/>
      <c r="S191" s="217"/>
    </row>
    <row r="192" spans="1:20" ht="8.25" customHeight="1" x14ac:dyDescent="0.2">
      <c r="A192" s="314"/>
      <c r="B192" s="910"/>
      <c r="C192" s="371"/>
      <c r="D192" s="911"/>
      <c r="E192" s="1761"/>
      <c r="F192" s="1766"/>
      <c r="G192" s="1576"/>
      <c r="H192" s="921"/>
      <c r="I192" s="972"/>
      <c r="J192" s="62"/>
      <c r="K192" s="159"/>
      <c r="L192" s="61"/>
      <c r="M192" s="88"/>
      <c r="N192" s="778"/>
      <c r="O192" s="793"/>
      <c r="P192" s="339"/>
      <c r="Q192" s="339"/>
      <c r="R192" s="339"/>
      <c r="S192" s="747"/>
    </row>
    <row r="193" spans="1:19" ht="14.25" customHeight="1" x14ac:dyDescent="0.2">
      <c r="A193" s="1432"/>
      <c r="B193" s="1492"/>
      <c r="C193" s="1757"/>
      <c r="D193" s="1758" t="s">
        <v>28</v>
      </c>
      <c r="E193" s="1569" t="s">
        <v>207</v>
      </c>
      <c r="F193" s="1540" t="s">
        <v>161</v>
      </c>
      <c r="G193" s="1750" t="s">
        <v>239</v>
      </c>
      <c r="H193" s="1551"/>
      <c r="I193" s="1743"/>
      <c r="J193" s="204" t="s">
        <v>25</v>
      </c>
      <c r="K193" s="89">
        <v>18.100000000000001</v>
      </c>
      <c r="L193" s="54"/>
      <c r="M193" s="89"/>
      <c r="N193" s="766"/>
      <c r="O193" s="378" t="s">
        <v>183</v>
      </c>
      <c r="P193" s="852">
        <v>1</v>
      </c>
      <c r="Q193" s="975"/>
      <c r="R193" s="973"/>
      <c r="S193" s="993"/>
    </row>
    <row r="194" spans="1:19" ht="13.5" customHeight="1" x14ac:dyDescent="0.2">
      <c r="A194" s="1432"/>
      <c r="B194" s="1492"/>
      <c r="C194" s="1757"/>
      <c r="D194" s="1759"/>
      <c r="E194" s="1761"/>
      <c r="F194" s="1541"/>
      <c r="G194" s="1751"/>
      <c r="H194" s="1551"/>
      <c r="I194" s="1743"/>
      <c r="J194" s="62" t="s">
        <v>44</v>
      </c>
      <c r="K194" s="85">
        <v>102.5</v>
      </c>
      <c r="L194" s="62"/>
      <c r="M194" s="85"/>
      <c r="N194" s="478"/>
      <c r="O194" s="281" t="s">
        <v>282</v>
      </c>
      <c r="P194" s="854">
        <v>6</v>
      </c>
      <c r="Q194" s="370"/>
      <c r="R194" s="974"/>
      <c r="S194" s="989"/>
    </row>
    <row r="195" spans="1:19" ht="11.25" customHeight="1" x14ac:dyDescent="0.2">
      <c r="A195" s="1432"/>
      <c r="B195" s="1492"/>
      <c r="C195" s="1757"/>
      <c r="D195" s="1760"/>
      <c r="E195" s="1762"/>
      <c r="F195" s="1542"/>
      <c r="G195" s="1752"/>
      <c r="H195" s="1551"/>
      <c r="I195" s="1743"/>
      <c r="J195" s="73"/>
      <c r="K195" s="155"/>
      <c r="L195" s="55"/>
      <c r="M195" s="155"/>
      <c r="N195" s="795"/>
      <c r="O195" s="19"/>
      <c r="P195" s="166"/>
      <c r="Q195" s="52"/>
      <c r="R195" s="46"/>
      <c r="S195" s="21"/>
    </row>
    <row r="196" spans="1:19" ht="26.25" customHeight="1" x14ac:dyDescent="0.2">
      <c r="A196" s="909"/>
      <c r="B196" s="910"/>
      <c r="C196" s="971"/>
      <c r="D196" s="911" t="s">
        <v>33</v>
      </c>
      <c r="E196" s="1570" t="s">
        <v>322</v>
      </c>
      <c r="F196" s="1763" t="s">
        <v>406</v>
      </c>
      <c r="G196" s="986"/>
      <c r="H196" s="911"/>
      <c r="I196" s="1743"/>
      <c r="J196" s="62" t="s">
        <v>25</v>
      </c>
      <c r="K196" s="85">
        <v>4</v>
      </c>
      <c r="L196" s="478">
        <v>100</v>
      </c>
      <c r="M196" s="85">
        <v>150</v>
      </c>
      <c r="N196" s="766">
        <v>187.8</v>
      </c>
      <c r="O196" s="943" t="s">
        <v>324</v>
      </c>
      <c r="P196" s="36" t="s">
        <v>56</v>
      </c>
      <c r="Q196" s="36"/>
      <c r="R196" s="492"/>
      <c r="S196" s="334"/>
    </row>
    <row r="197" spans="1:19" ht="15.75" customHeight="1" x14ac:dyDescent="0.2">
      <c r="A197" s="909"/>
      <c r="B197" s="910"/>
      <c r="C197" s="971"/>
      <c r="D197" s="911"/>
      <c r="E197" s="1570"/>
      <c r="F197" s="1764"/>
      <c r="G197" s="986"/>
      <c r="H197" s="926"/>
      <c r="I197" s="1743"/>
      <c r="J197" s="62" t="s">
        <v>44</v>
      </c>
      <c r="K197" s="85"/>
      <c r="L197" s="62"/>
      <c r="M197" s="85">
        <v>850</v>
      </c>
      <c r="N197" s="478">
        <v>1064.4000000000001</v>
      </c>
      <c r="O197" s="229" t="s">
        <v>98</v>
      </c>
      <c r="P197" s="504"/>
      <c r="Q197" s="201" t="s">
        <v>56</v>
      </c>
      <c r="R197" s="601"/>
      <c r="S197" s="505"/>
    </row>
    <row r="198" spans="1:19" ht="16.5" customHeight="1" x14ac:dyDescent="0.2">
      <c r="A198" s="909"/>
      <c r="B198" s="910"/>
      <c r="C198" s="971"/>
      <c r="D198" s="911"/>
      <c r="E198" s="1761"/>
      <c r="F198" s="1765"/>
      <c r="G198" s="986"/>
      <c r="H198" s="911"/>
      <c r="I198" s="1743"/>
      <c r="J198" s="62"/>
      <c r="K198" s="85"/>
      <c r="L198" s="62"/>
      <c r="M198" s="85"/>
      <c r="N198" s="478"/>
      <c r="O198" s="943" t="s">
        <v>323</v>
      </c>
      <c r="P198" s="207"/>
      <c r="Q198" s="36"/>
      <c r="R198" s="492" t="s">
        <v>326</v>
      </c>
      <c r="S198" s="334" t="s">
        <v>352</v>
      </c>
    </row>
    <row r="199" spans="1:19" ht="37.5" customHeight="1" x14ac:dyDescent="0.2">
      <c r="A199" s="923"/>
      <c r="B199" s="920"/>
      <c r="C199" s="983"/>
      <c r="D199" s="984" t="s">
        <v>34</v>
      </c>
      <c r="E199" s="927" t="s">
        <v>165</v>
      </c>
      <c r="F199" s="645" t="s">
        <v>217</v>
      </c>
      <c r="G199" s="624" t="s">
        <v>138</v>
      </c>
      <c r="H199" s="473" t="s">
        <v>37</v>
      </c>
      <c r="I199" s="990" t="s">
        <v>283</v>
      </c>
      <c r="J199" s="472" t="s">
        <v>77</v>
      </c>
      <c r="K199" s="307">
        <v>24.2</v>
      </c>
      <c r="L199" s="472"/>
      <c r="M199" s="632"/>
      <c r="N199" s="631"/>
      <c r="O199" s="70" t="s">
        <v>87</v>
      </c>
      <c r="P199" s="330">
        <v>1</v>
      </c>
      <c r="Q199" s="628"/>
      <c r="R199" s="628"/>
      <c r="S199" s="629"/>
    </row>
    <row r="200" spans="1:19" ht="18.75" customHeight="1" x14ac:dyDescent="0.2">
      <c r="A200" s="1432"/>
      <c r="B200" s="1492"/>
      <c r="C200" s="1757"/>
      <c r="D200" s="1758" t="s">
        <v>35</v>
      </c>
      <c r="E200" s="1569" t="s">
        <v>320</v>
      </c>
      <c r="F200" s="1540" t="s">
        <v>161</v>
      </c>
      <c r="G200" s="1750" t="s">
        <v>239</v>
      </c>
      <c r="H200" s="1753" t="s">
        <v>37</v>
      </c>
      <c r="I200" s="1743"/>
      <c r="J200" s="54" t="s">
        <v>77</v>
      </c>
      <c r="K200" s="89">
        <v>4</v>
      </c>
      <c r="L200" s="54"/>
      <c r="M200" s="89"/>
      <c r="N200" s="766"/>
      <c r="O200" s="1462" t="s">
        <v>321</v>
      </c>
      <c r="P200" s="799">
        <v>6</v>
      </c>
      <c r="Q200" s="796">
        <v>6</v>
      </c>
      <c r="R200" s="797">
        <v>6</v>
      </c>
      <c r="S200" s="798">
        <v>6</v>
      </c>
    </row>
    <row r="201" spans="1:19" ht="13.5" customHeight="1" x14ac:dyDescent="0.2">
      <c r="A201" s="1432"/>
      <c r="B201" s="1492"/>
      <c r="C201" s="1757"/>
      <c r="D201" s="1759"/>
      <c r="E201" s="1761"/>
      <c r="F201" s="1541"/>
      <c r="G201" s="1751"/>
      <c r="H201" s="1435"/>
      <c r="I201" s="1743"/>
      <c r="J201" s="62" t="s">
        <v>25</v>
      </c>
      <c r="K201" s="478">
        <v>6</v>
      </c>
      <c r="L201" s="478">
        <v>6.2</v>
      </c>
      <c r="M201" s="572">
        <v>6.2</v>
      </c>
      <c r="N201" s="478">
        <v>6.2</v>
      </c>
      <c r="O201" s="1756"/>
      <c r="P201" s="854"/>
      <c r="Q201" s="370"/>
      <c r="R201" s="974"/>
      <c r="S201" s="989"/>
    </row>
    <row r="202" spans="1:19" ht="11.25" customHeight="1" x14ac:dyDescent="0.2">
      <c r="A202" s="1432"/>
      <c r="B202" s="1492"/>
      <c r="C202" s="1757"/>
      <c r="D202" s="1760"/>
      <c r="E202" s="1762"/>
      <c r="F202" s="1542"/>
      <c r="G202" s="1752"/>
      <c r="H202" s="1754"/>
      <c r="I202" s="1755"/>
      <c r="J202" s="73"/>
      <c r="K202" s="55"/>
      <c r="L202" s="55"/>
      <c r="M202" s="155"/>
      <c r="N202" s="795"/>
      <c r="O202" s="19"/>
      <c r="P202" s="166"/>
      <c r="Q202" s="52"/>
      <c r="R202" s="46"/>
      <c r="S202" s="21"/>
    </row>
    <row r="203" spans="1:19" ht="14.25" customHeight="1" thickBot="1" x14ac:dyDescent="0.25">
      <c r="A203" s="68"/>
      <c r="B203" s="939"/>
      <c r="C203" s="372"/>
      <c r="D203" s="372"/>
      <c r="E203" s="373"/>
      <c r="F203" s="374"/>
      <c r="G203" s="346"/>
      <c r="H203" s="372"/>
      <c r="I203" s="375"/>
      <c r="J203" s="146" t="s">
        <v>6</v>
      </c>
      <c r="K203" s="218">
        <f>SUM(K187:K202)</f>
        <v>960.8</v>
      </c>
      <c r="L203" s="218">
        <f>SUM(L187:L202)</f>
        <v>1102.8</v>
      </c>
      <c r="M203" s="218">
        <f t="shared" ref="M203:N203" si="9">SUM(M187:M202)</f>
        <v>1290.2</v>
      </c>
      <c r="N203" s="218">
        <f t="shared" si="9"/>
        <v>1288</v>
      </c>
      <c r="O203" s="376"/>
      <c r="P203" s="377"/>
      <c r="Q203" s="377"/>
      <c r="R203" s="754"/>
      <c r="S203" s="804"/>
    </row>
    <row r="204" spans="1:19" ht="14.25" customHeight="1" thickBot="1" x14ac:dyDescent="0.25">
      <c r="A204" s="92" t="s">
        <v>5</v>
      </c>
      <c r="B204" s="79" t="s">
        <v>28</v>
      </c>
      <c r="C204" s="1491" t="s">
        <v>8</v>
      </c>
      <c r="D204" s="1491"/>
      <c r="E204" s="1491"/>
      <c r="F204" s="1491"/>
      <c r="G204" s="1491"/>
      <c r="H204" s="1491"/>
      <c r="I204" s="1491"/>
      <c r="J204" s="1447"/>
      <c r="K204" s="224">
        <f>K203+K184+K180</f>
        <v>2722.4</v>
      </c>
      <c r="L204" s="224">
        <f>L203+L184+L180</f>
        <v>2330.5</v>
      </c>
      <c r="M204" s="224">
        <f>M203+M184+M180</f>
        <v>2517.9</v>
      </c>
      <c r="N204" s="224">
        <f>N203+N184+N180</f>
        <v>2515.6999999999998</v>
      </c>
      <c r="O204" s="1449"/>
      <c r="P204" s="1449"/>
      <c r="Q204" s="1449"/>
      <c r="R204" s="1449"/>
      <c r="S204" s="1450"/>
    </row>
    <row r="205" spans="1:19" ht="14.25" customHeight="1" thickBot="1" x14ac:dyDescent="0.25">
      <c r="A205" s="78" t="s">
        <v>5</v>
      </c>
      <c r="B205" s="79" t="s">
        <v>33</v>
      </c>
      <c r="C205" s="1439" t="s">
        <v>220</v>
      </c>
      <c r="D205" s="1440"/>
      <c r="E205" s="1440"/>
      <c r="F205" s="1440"/>
      <c r="G205" s="1440"/>
      <c r="H205" s="1440"/>
      <c r="I205" s="1440"/>
      <c r="J205" s="1440"/>
      <c r="K205" s="1440"/>
      <c r="L205" s="1440"/>
      <c r="M205" s="1440"/>
      <c r="N205" s="1440"/>
      <c r="O205" s="1440"/>
      <c r="P205" s="1440"/>
      <c r="Q205" s="1440"/>
      <c r="R205" s="1440"/>
      <c r="S205" s="1441"/>
    </row>
    <row r="206" spans="1:19" ht="31.5" customHeight="1" x14ac:dyDescent="0.2">
      <c r="A206" s="936" t="s">
        <v>5</v>
      </c>
      <c r="B206" s="938" t="s">
        <v>33</v>
      </c>
      <c r="C206" s="360" t="s">
        <v>5</v>
      </c>
      <c r="D206" s="99"/>
      <c r="E206" s="125" t="s">
        <v>111</v>
      </c>
      <c r="F206" s="137"/>
      <c r="G206" s="108"/>
      <c r="H206" s="99"/>
      <c r="I206" s="393"/>
      <c r="J206" s="93"/>
      <c r="K206" s="409"/>
      <c r="L206" s="77"/>
      <c r="M206" s="77"/>
      <c r="N206" s="77"/>
      <c r="O206" s="100"/>
      <c r="P206" s="6"/>
      <c r="Q206" s="6"/>
      <c r="R206" s="665"/>
      <c r="S206" s="800"/>
    </row>
    <row r="207" spans="1:19" ht="15.75" customHeight="1" x14ac:dyDescent="0.2">
      <c r="A207" s="923"/>
      <c r="B207" s="920"/>
      <c r="C207" s="356"/>
      <c r="D207" s="495" t="s">
        <v>5</v>
      </c>
      <c r="E207" s="403" t="s">
        <v>108</v>
      </c>
      <c r="F207" s="922"/>
      <c r="G207" s="407" t="s">
        <v>151</v>
      </c>
      <c r="H207" s="926">
        <v>6</v>
      </c>
      <c r="I207" s="1743" t="s">
        <v>107</v>
      </c>
      <c r="J207" s="54" t="s">
        <v>25</v>
      </c>
      <c r="K207" s="766">
        <f>1914.6-300-42.7-50-145+85.8</f>
        <v>1462.7</v>
      </c>
      <c r="L207" s="54"/>
      <c r="M207" s="54"/>
      <c r="N207" s="54"/>
      <c r="O207" s="915" t="s">
        <v>68</v>
      </c>
      <c r="P207" s="312">
        <v>11</v>
      </c>
      <c r="Q207" s="48"/>
      <c r="R207" s="133"/>
      <c r="S207" s="411"/>
    </row>
    <row r="208" spans="1:19" ht="26.25" customHeight="1" x14ac:dyDescent="0.2">
      <c r="A208" s="923"/>
      <c r="B208" s="920"/>
      <c r="C208" s="356"/>
      <c r="D208" s="1745" t="s">
        <v>240</v>
      </c>
      <c r="E208" s="405" t="s">
        <v>241</v>
      </c>
      <c r="F208" s="922"/>
      <c r="G208" s="992"/>
      <c r="H208" s="942"/>
      <c r="I208" s="1744"/>
      <c r="J208" s="62"/>
      <c r="K208" s="85"/>
      <c r="L208" s="62"/>
      <c r="M208" s="62"/>
      <c r="N208" s="62"/>
      <c r="O208" s="932"/>
      <c r="P208" s="239"/>
      <c r="Q208" s="239"/>
      <c r="R208" s="101"/>
      <c r="S208" s="39"/>
    </row>
    <row r="209" spans="1:19" ht="27.75" customHeight="1" x14ac:dyDescent="0.2">
      <c r="A209" s="923"/>
      <c r="B209" s="920"/>
      <c r="C209" s="356"/>
      <c r="D209" s="1745"/>
      <c r="E209" s="246" t="s">
        <v>243</v>
      </c>
      <c r="F209" s="922"/>
      <c r="G209" s="992"/>
      <c r="H209" s="942"/>
      <c r="I209" s="976"/>
      <c r="J209" s="62"/>
      <c r="K209" s="85"/>
      <c r="L209" s="62"/>
      <c r="M209" s="62"/>
      <c r="N209" s="62"/>
      <c r="O209" s="932"/>
      <c r="P209" s="239"/>
      <c r="Q209" s="239"/>
      <c r="R209" s="101"/>
      <c r="S209" s="39"/>
    </row>
    <row r="210" spans="1:19" ht="24.75" customHeight="1" x14ac:dyDescent="0.2">
      <c r="A210" s="923"/>
      <c r="B210" s="920"/>
      <c r="C210" s="356"/>
      <c r="D210" s="1745"/>
      <c r="E210" s="246" t="s">
        <v>244</v>
      </c>
      <c r="F210" s="922"/>
      <c r="G210" s="992"/>
      <c r="H210" s="942"/>
      <c r="I210" s="976"/>
      <c r="J210" s="62"/>
      <c r="K210" s="85"/>
      <c r="L210" s="62"/>
      <c r="M210" s="62"/>
      <c r="N210" s="62"/>
      <c r="O210" s="932"/>
      <c r="P210" s="239"/>
      <c r="Q210" s="239"/>
      <c r="R210" s="101"/>
      <c r="S210" s="39"/>
    </row>
    <row r="211" spans="1:19" ht="12.75" customHeight="1" x14ac:dyDescent="0.2">
      <c r="A211" s="923"/>
      <c r="B211" s="920"/>
      <c r="C211" s="356"/>
      <c r="D211" s="1745"/>
      <c r="E211" s="246" t="s">
        <v>245</v>
      </c>
      <c r="F211" s="922"/>
      <c r="G211" s="992"/>
      <c r="H211" s="942"/>
      <c r="I211" s="976"/>
      <c r="J211" s="62"/>
      <c r="K211" s="85"/>
      <c r="L211" s="62"/>
      <c r="M211" s="62"/>
      <c r="N211" s="62"/>
      <c r="O211" s="932"/>
      <c r="P211" s="239"/>
      <c r="Q211" s="239"/>
      <c r="R211" s="101"/>
      <c r="S211" s="39"/>
    </row>
    <row r="212" spans="1:19" ht="13.5" customHeight="1" x14ac:dyDescent="0.2">
      <c r="A212" s="923"/>
      <c r="B212" s="920"/>
      <c r="C212" s="356"/>
      <c r="D212" s="1745"/>
      <c r="E212" s="246" t="s">
        <v>248</v>
      </c>
      <c r="F212" s="922"/>
      <c r="G212" s="992"/>
      <c r="H212" s="942"/>
      <c r="I212" s="976"/>
      <c r="J212" s="62"/>
      <c r="K212" s="85"/>
      <c r="L212" s="62"/>
      <c r="M212" s="62"/>
      <c r="N212" s="62"/>
      <c r="O212" s="932"/>
      <c r="P212" s="239"/>
      <c r="Q212" s="239"/>
      <c r="R212" s="101"/>
      <c r="S212" s="39"/>
    </row>
    <row r="213" spans="1:19" ht="13.5" customHeight="1" x14ac:dyDescent="0.2">
      <c r="A213" s="923"/>
      <c r="B213" s="920"/>
      <c r="C213" s="356"/>
      <c r="D213" s="1745"/>
      <c r="E213" s="246" t="s">
        <v>249</v>
      </c>
      <c r="F213" s="922"/>
      <c r="G213" s="992"/>
      <c r="H213" s="942"/>
      <c r="I213" s="976"/>
      <c r="J213" s="62"/>
      <c r="K213" s="85"/>
      <c r="L213" s="62"/>
      <c r="M213" s="62"/>
      <c r="N213" s="62"/>
      <c r="O213" s="932"/>
      <c r="P213" s="239"/>
      <c r="Q213" s="239"/>
      <c r="R213" s="101"/>
      <c r="S213" s="39"/>
    </row>
    <row r="214" spans="1:19" ht="25.5" customHeight="1" x14ac:dyDescent="0.2">
      <c r="A214" s="923"/>
      <c r="B214" s="920"/>
      <c r="C214" s="356"/>
      <c r="D214" s="1745"/>
      <c r="E214" s="404" t="s">
        <v>250</v>
      </c>
      <c r="F214" s="922"/>
      <c r="G214" s="992"/>
      <c r="H214" s="942"/>
      <c r="I214" s="976"/>
      <c r="J214" s="62"/>
      <c r="K214" s="85"/>
      <c r="L214" s="62"/>
      <c r="M214" s="62"/>
      <c r="N214" s="62"/>
      <c r="O214" s="932"/>
      <c r="P214" s="239"/>
      <c r="Q214" s="239"/>
      <c r="R214" s="101"/>
      <c r="S214" s="39"/>
    </row>
    <row r="215" spans="1:19" ht="25.5" customHeight="1" x14ac:dyDescent="0.2">
      <c r="A215" s="923"/>
      <c r="B215" s="920"/>
      <c r="C215" s="356"/>
      <c r="D215" s="1746"/>
      <c r="E215" s="402" t="s">
        <v>251</v>
      </c>
      <c r="F215" s="1008"/>
      <c r="G215" s="992"/>
      <c r="H215" s="1002"/>
      <c r="I215" s="283"/>
      <c r="J215" s="61"/>
      <c r="K215" s="88"/>
      <c r="L215" s="61"/>
      <c r="M215" s="61"/>
      <c r="N215" s="61"/>
      <c r="O215" s="537"/>
      <c r="P215" s="41"/>
      <c r="Q215" s="41"/>
      <c r="R215" s="159"/>
      <c r="S215" s="42"/>
    </row>
    <row r="216" spans="1:19" ht="27.75" customHeight="1" x14ac:dyDescent="0.2">
      <c r="A216" s="923"/>
      <c r="B216" s="920"/>
      <c r="C216" s="356"/>
      <c r="D216" s="1747" t="s">
        <v>246</v>
      </c>
      <c r="E216" s="930" t="s">
        <v>252</v>
      </c>
      <c r="F216" s="922"/>
      <c r="G216" s="992"/>
      <c r="H216" s="942"/>
      <c r="I216" s="976"/>
      <c r="J216" s="62" t="s">
        <v>25</v>
      </c>
      <c r="K216" s="85"/>
      <c r="L216" s="62">
        <v>931.6</v>
      </c>
      <c r="M216" s="62"/>
      <c r="N216" s="62"/>
      <c r="O216" s="915" t="s">
        <v>68</v>
      </c>
      <c r="P216" s="239"/>
      <c r="Q216" s="239">
        <v>5.7</v>
      </c>
      <c r="R216" s="101"/>
      <c r="S216" s="39"/>
    </row>
    <row r="217" spans="1:19" ht="13.5" customHeight="1" x14ac:dyDescent="0.2">
      <c r="A217" s="923"/>
      <c r="B217" s="920"/>
      <c r="C217" s="356"/>
      <c r="D217" s="1745"/>
      <c r="E217" s="246" t="s">
        <v>253</v>
      </c>
      <c r="F217" s="922"/>
      <c r="G217" s="992"/>
      <c r="H217" s="942"/>
      <c r="I217" s="976"/>
      <c r="J217" s="62"/>
      <c r="K217" s="85"/>
      <c r="L217" s="62"/>
      <c r="M217" s="62"/>
      <c r="N217" s="62"/>
      <c r="O217" s="932"/>
      <c r="P217" s="239"/>
      <c r="Q217" s="239"/>
      <c r="R217" s="101"/>
      <c r="S217" s="39"/>
    </row>
    <row r="218" spans="1:19" ht="27.75" customHeight="1" x14ac:dyDescent="0.2">
      <c r="A218" s="923"/>
      <c r="B218" s="920"/>
      <c r="C218" s="356"/>
      <c r="D218" s="1745"/>
      <c r="E218" s="246" t="s">
        <v>254</v>
      </c>
      <c r="F218" s="922"/>
      <c r="G218" s="992"/>
      <c r="H218" s="942"/>
      <c r="I218" s="976"/>
      <c r="J218" s="62"/>
      <c r="K218" s="85"/>
      <c r="L218" s="62"/>
      <c r="M218" s="62"/>
      <c r="N218" s="62"/>
      <c r="O218" s="932"/>
      <c r="P218" s="239"/>
      <c r="Q218" s="239"/>
      <c r="R218" s="101"/>
      <c r="S218" s="39"/>
    </row>
    <row r="219" spans="1:19" ht="15.75" customHeight="1" x14ac:dyDescent="0.2">
      <c r="A219" s="923"/>
      <c r="B219" s="920"/>
      <c r="C219" s="356"/>
      <c r="D219" s="1745"/>
      <c r="E219" s="406" t="s">
        <v>255</v>
      </c>
      <c r="F219" s="922"/>
      <c r="G219" s="992"/>
      <c r="H219" s="942"/>
      <c r="I219" s="976"/>
      <c r="J219" s="62"/>
      <c r="K219" s="85"/>
      <c r="L219" s="62"/>
      <c r="M219" s="62"/>
      <c r="N219" s="62"/>
      <c r="O219" s="932"/>
      <c r="P219" s="239"/>
      <c r="Q219" s="239"/>
      <c r="R219" s="101"/>
      <c r="S219" s="39"/>
    </row>
    <row r="220" spans="1:19" ht="15" customHeight="1" x14ac:dyDescent="0.2">
      <c r="A220" s="923"/>
      <c r="B220" s="920"/>
      <c r="C220" s="356"/>
      <c r="D220" s="1745"/>
      <c r="E220" s="406" t="s">
        <v>256</v>
      </c>
      <c r="F220" s="922"/>
      <c r="G220" s="992"/>
      <c r="H220" s="942"/>
      <c r="I220" s="976"/>
      <c r="J220" s="62"/>
      <c r="K220" s="85"/>
      <c r="L220" s="62"/>
      <c r="M220" s="62"/>
      <c r="N220" s="62"/>
      <c r="O220" s="932"/>
      <c r="P220" s="239"/>
      <c r="Q220" s="239"/>
      <c r="R220" s="101"/>
      <c r="S220" s="39"/>
    </row>
    <row r="221" spans="1:19" ht="14.25" customHeight="1" x14ac:dyDescent="0.2">
      <c r="A221" s="923"/>
      <c r="B221" s="920"/>
      <c r="C221" s="356"/>
      <c r="D221" s="1745"/>
      <c r="E221" s="406" t="s">
        <v>257</v>
      </c>
      <c r="F221" s="922"/>
      <c r="G221" s="992"/>
      <c r="H221" s="942"/>
      <c r="I221" s="976"/>
      <c r="J221" s="62"/>
      <c r="K221" s="85"/>
      <c r="L221" s="62"/>
      <c r="M221" s="62"/>
      <c r="N221" s="62"/>
      <c r="O221" s="932"/>
      <c r="P221" s="239"/>
      <c r="Q221" s="239"/>
      <c r="R221" s="101"/>
      <c r="S221" s="39"/>
    </row>
    <row r="222" spans="1:19" ht="12.75" customHeight="1" x14ac:dyDescent="0.2">
      <c r="A222" s="923"/>
      <c r="B222" s="920"/>
      <c r="C222" s="356"/>
      <c r="D222" s="1745"/>
      <c r="E222" s="930" t="s">
        <v>242</v>
      </c>
      <c r="F222" s="922"/>
      <c r="G222" s="992"/>
      <c r="H222" s="942"/>
      <c r="I222" s="976"/>
      <c r="J222" s="62"/>
      <c r="K222" s="85"/>
      <c r="L222" s="62"/>
      <c r="M222" s="62"/>
      <c r="N222" s="62"/>
      <c r="O222" s="932"/>
      <c r="P222" s="239"/>
      <c r="Q222" s="239"/>
      <c r="R222" s="101"/>
      <c r="S222" s="39"/>
    </row>
    <row r="223" spans="1:19" ht="15.75" customHeight="1" x14ac:dyDescent="0.2">
      <c r="A223" s="923"/>
      <c r="B223" s="920"/>
      <c r="C223" s="356"/>
      <c r="D223" s="1746"/>
      <c r="E223" s="951" t="s">
        <v>258</v>
      </c>
      <c r="F223" s="1008"/>
      <c r="G223" s="408"/>
      <c r="H223" s="588"/>
      <c r="I223" s="283"/>
      <c r="J223" s="61"/>
      <c r="K223" s="88"/>
      <c r="L223" s="61"/>
      <c r="M223" s="61"/>
      <c r="N223" s="61"/>
      <c r="O223" s="537"/>
      <c r="P223" s="41"/>
      <c r="Q223" s="41"/>
      <c r="R223" s="159"/>
      <c r="S223" s="42"/>
    </row>
    <row r="224" spans="1:19" ht="27.75" customHeight="1" x14ac:dyDescent="0.2">
      <c r="A224" s="923"/>
      <c r="B224" s="920"/>
      <c r="C224" s="356"/>
      <c r="D224" s="1747" t="s">
        <v>247</v>
      </c>
      <c r="E224" s="929" t="s">
        <v>259</v>
      </c>
      <c r="F224" s="928"/>
      <c r="G224" s="407"/>
      <c r="H224" s="388"/>
      <c r="I224" s="410"/>
      <c r="J224" s="54" t="s">
        <v>25</v>
      </c>
      <c r="K224" s="89"/>
      <c r="L224" s="54"/>
      <c r="M224" s="54">
        <v>1040</v>
      </c>
      <c r="N224" s="54"/>
      <c r="O224" s="915" t="s">
        <v>68</v>
      </c>
      <c r="P224" s="48"/>
      <c r="Q224" s="48"/>
      <c r="R224" s="133">
        <v>6.5</v>
      </c>
      <c r="S224" s="411"/>
    </row>
    <row r="225" spans="1:20" ht="29.25" customHeight="1" x14ac:dyDescent="0.2">
      <c r="A225" s="923"/>
      <c r="B225" s="920"/>
      <c r="C225" s="356"/>
      <c r="D225" s="1745"/>
      <c r="E225" s="246" t="s">
        <v>260</v>
      </c>
      <c r="F225" s="922"/>
      <c r="G225" s="992"/>
      <c r="H225" s="942"/>
      <c r="I225" s="976"/>
      <c r="J225" s="62"/>
      <c r="K225" s="85"/>
      <c r="L225" s="62"/>
      <c r="M225" s="62"/>
      <c r="N225" s="62"/>
      <c r="O225" s="932"/>
      <c r="P225" s="239"/>
      <c r="Q225" s="239"/>
      <c r="R225" s="101"/>
      <c r="S225" s="39"/>
    </row>
    <row r="226" spans="1:20" ht="15.75" customHeight="1" x14ac:dyDescent="0.2">
      <c r="A226" s="923"/>
      <c r="B226" s="920"/>
      <c r="C226" s="356"/>
      <c r="D226" s="1745"/>
      <c r="E226" s="246" t="s">
        <v>261</v>
      </c>
      <c r="F226" s="922"/>
      <c r="G226" s="992"/>
      <c r="H226" s="942"/>
      <c r="I226" s="976"/>
      <c r="J226" s="62"/>
      <c r="K226" s="85"/>
      <c r="L226" s="62"/>
      <c r="M226" s="62"/>
      <c r="N226" s="62"/>
      <c r="O226" s="932"/>
      <c r="P226" s="239"/>
      <c r="Q226" s="239"/>
      <c r="R226" s="101"/>
      <c r="S226" s="39"/>
    </row>
    <row r="227" spans="1:20" ht="19.5" customHeight="1" x14ac:dyDescent="0.2">
      <c r="A227" s="923"/>
      <c r="B227" s="920"/>
      <c r="C227" s="356"/>
      <c r="D227" s="1746"/>
      <c r="E227" s="951" t="s">
        <v>262</v>
      </c>
      <c r="F227" s="1008"/>
      <c r="G227" s="408"/>
      <c r="H227" s="588"/>
      <c r="I227" s="283"/>
      <c r="J227" s="61"/>
      <c r="K227" s="88"/>
      <c r="L227" s="61"/>
      <c r="M227" s="61"/>
      <c r="N227" s="61"/>
      <c r="O227" s="537"/>
      <c r="P227" s="41"/>
      <c r="Q227" s="41"/>
      <c r="R227" s="159"/>
      <c r="S227" s="42"/>
    </row>
    <row r="228" spans="1:20" ht="29.25" customHeight="1" x14ac:dyDescent="0.2">
      <c r="A228" s="923"/>
      <c r="B228" s="920"/>
      <c r="C228" s="356"/>
      <c r="D228" s="235" t="s">
        <v>7</v>
      </c>
      <c r="E228" s="1527" t="s">
        <v>110</v>
      </c>
      <c r="F228" s="928"/>
      <c r="G228" s="1731" t="s">
        <v>139</v>
      </c>
      <c r="H228" s="942"/>
      <c r="I228" s="999"/>
      <c r="J228" s="54" t="s">
        <v>105</v>
      </c>
      <c r="K228" s="54">
        <f>1069.8+37.2</f>
        <v>1107</v>
      </c>
      <c r="L228" s="48">
        <v>1069.8</v>
      </c>
      <c r="M228" s="54">
        <v>1069.8</v>
      </c>
      <c r="N228" s="54">
        <v>1069.8</v>
      </c>
      <c r="O228" s="953" t="s">
        <v>211</v>
      </c>
      <c r="P228" s="312">
        <v>0.2</v>
      </c>
      <c r="Q228" s="312">
        <v>0.2</v>
      </c>
      <c r="R228" s="667">
        <v>0.2</v>
      </c>
      <c r="S228" s="801">
        <v>0.2</v>
      </c>
    </row>
    <row r="229" spans="1:20" ht="26.25" customHeight="1" x14ac:dyDescent="0.2">
      <c r="A229" s="923"/>
      <c r="B229" s="920"/>
      <c r="C229" s="356"/>
      <c r="D229" s="95"/>
      <c r="E229" s="1528"/>
      <c r="F229" s="922"/>
      <c r="G229" s="1748"/>
      <c r="H229" s="942"/>
      <c r="I229" s="999"/>
      <c r="J229" s="62" t="s">
        <v>25</v>
      </c>
      <c r="K229" s="62">
        <f>60-K230</f>
        <v>48.8</v>
      </c>
      <c r="L229" s="239"/>
      <c r="M229" s="62"/>
      <c r="N229" s="62"/>
      <c r="O229" s="276" t="s">
        <v>40</v>
      </c>
      <c r="P229" s="277">
        <v>4</v>
      </c>
      <c r="Q229" s="277">
        <v>4</v>
      </c>
      <c r="R229" s="668">
        <v>4</v>
      </c>
      <c r="S229" s="802">
        <v>4</v>
      </c>
    </row>
    <row r="230" spans="1:20" ht="17.25" customHeight="1" x14ac:dyDescent="0.2">
      <c r="A230" s="923"/>
      <c r="B230" s="920"/>
      <c r="C230" s="356"/>
      <c r="D230" s="96"/>
      <c r="E230" s="1529"/>
      <c r="F230" s="1008"/>
      <c r="G230" s="1749"/>
      <c r="H230" s="942"/>
      <c r="I230" s="1000"/>
      <c r="J230" s="805" t="s">
        <v>62</v>
      </c>
      <c r="K230" s="778">
        <v>11.2</v>
      </c>
      <c r="L230" s="61"/>
      <c r="M230" s="61"/>
      <c r="N230" s="61"/>
      <c r="O230" s="933" t="s">
        <v>67</v>
      </c>
      <c r="P230" s="257">
        <v>54.6</v>
      </c>
      <c r="Q230" s="257">
        <v>54.6</v>
      </c>
      <c r="R230" s="669">
        <v>54.6</v>
      </c>
      <c r="S230" s="803">
        <v>54.6</v>
      </c>
    </row>
    <row r="231" spans="1:20" ht="15.75" customHeight="1" x14ac:dyDescent="0.2">
      <c r="A231" s="1432"/>
      <c r="B231" s="1492"/>
      <c r="C231" s="1736"/>
      <c r="D231" s="232" t="s">
        <v>28</v>
      </c>
      <c r="E231" s="1433" t="s">
        <v>53</v>
      </c>
      <c r="F231" s="922"/>
      <c r="G231" s="1740" t="s">
        <v>139</v>
      </c>
      <c r="H231" s="942"/>
      <c r="I231" s="1000"/>
      <c r="J231" s="62" t="s">
        <v>25</v>
      </c>
      <c r="K231" s="478">
        <f>500-100</f>
        <v>400</v>
      </c>
      <c r="L231" s="62">
        <v>500</v>
      </c>
      <c r="M231" s="62">
        <v>500</v>
      </c>
      <c r="N231" s="62">
        <v>500</v>
      </c>
      <c r="O231" s="1742" t="s">
        <v>362</v>
      </c>
      <c r="P231" s="36" t="s">
        <v>166</v>
      </c>
      <c r="Q231" s="36" t="s">
        <v>166</v>
      </c>
      <c r="R231" s="492" t="s">
        <v>167</v>
      </c>
      <c r="S231" s="334" t="s">
        <v>167</v>
      </c>
      <c r="T231" s="709"/>
    </row>
    <row r="232" spans="1:20" ht="17.25" customHeight="1" x14ac:dyDescent="0.2">
      <c r="A232" s="1432"/>
      <c r="B232" s="1492"/>
      <c r="C232" s="1736"/>
      <c r="D232" s="96"/>
      <c r="E232" s="1501"/>
      <c r="F232" s="1008"/>
      <c r="G232" s="1741"/>
      <c r="H232" s="942"/>
      <c r="I232" s="1000"/>
      <c r="J232" s="806"/>
      <c r="K232" s="61"/>
      <c r="L232" s="806"/>
      <c r="M232" s="806"/>
      <c r="N232" s="61"/>
      <c r="O232" s="1523"/>
      <c r="P232" s="41"/>
      <c r="Q232" s="41"/>
      <c r="R232" s="159"/>
      <c r="S232" s="42"/>
      <c r="T232" s="709"/>
    </row>
    <row r="233" spans="1:20" ht="27.75" customHeight="1" x14ac:dyDescent="0.2">
      <c r="A233" s="1432"/>
      <c r="B233" s="1492"/>
      <c r="C233" s="1736"/>
      <c r="D233" s="1737" t="s">
        <v>33</v>
      </c>
      <c r="E233" s="1502" t="s">
        <v>263</v>
      </c>
      <c r="F233" s="1540"/>
      <c r="G233" s="1731" t="s">
        <v>140</v>
      </c>
      <c r="H233" s="1497"/>
      <c r="I233" s="286"/>
      <c r="J233" s="809" t="s">
        <v>25</v>
      </c>
      <c r="K233" s="478">
        <f>1684-300-200-114</f>
        <v>1070</v>
      </c>
      <c r="L233" s="809">
        <v>1184</v>
      </c>
      <c r="M233" s="809">
        <v>1184</v>
      </c>
      <c r="N233" s="809">
        <v>1184</v>
      </c>
      <c r="O233" s="1733" t="s">
        <v>344</v>
      </c>
      <c r="P233" s="48">
        <v>44.6</v>
      </c>
      <c r="Q233" s="48">
        <v>44.6</v>
      </c>
      <c r="R233" s="366">
        <v>44.6</v>
      </c>
      <c r="S233" s="411">
        <v>44.6</v>
      </c>
    </row>
    <row r="234" spans="1:20" ht="12" customHeight="1" x14ac:dyDescent="0.2">
      <c r="A234" s="1432"/>
      <c r="B234" s="1492"/>
      <c r="C234" s="1736"/>
      <c r="D234" s="1551"/>
      <c r="E234" s="1503"/>
      <c r="F234" s="1496"/>
      <c r="G234" s="1732"/>
      <c r="H234" s="1497"/>
      <c r="I234" s="286"/>
      <c r="J234" s="62" t="s">
        <v>77</v>
      </c>
      <c r="K234" s="62">
        <v>300</v>
      </c>
      <c r="L234" s="62"/>
      <c r="M234" s="62"/>
      <c r="N234" s="62"/>
      <c r="O234" s="1734"/>
      <c r="P234" s="239"/>
      <c r="Q234" s="239"/>
      <c r="R234" s="101"/>
      <c r="S234" s="39"/>
    </row>
    <row r="235" spans="1:20" ht="12.75" customHeight="1" x14ac:dyDescent="0.2">
      <c r="A235" s="1432"/>
      <c r="B235" s="1492"/>
      <c r="C235" s="1736"/>
      <c r="D235" s="1551"/>
      <c r="E235" s="1503"/>
      <c r="F235" s="1496"/>
      <c r="G235" s="1732"/>
      <c r="H235" s="1497"/>
      <c r="I235" s="286"/>
      <c r="J235" s="66" t="s">
        <v>105</v>
      </c>
      <c r="K235" s="62">
        <v>120</v>
      </c>
      <c r="L235" s="66">
        <v>120</v>
      </c>
      <c r="M235" s="66">
        <v>120</v>
      </c>
      <c r="N235" s="66">
        <v>120</v>
      </c>
      <c r="O235" s="807"/>
      <c r="P235" s="808"/>
      <c r="Q235" s="165"/>
      <c r="R235" s="134"/>
      <c r="S235" s="397"/>
    </row>
    <row r="236" spans="1:20" ht="21.75" customHeight="1" x14ac:dyDescent="0.2">
      <c r="A236" s="1432"/>
      <c r="B236" s="1492"/>
      <c r="C236" s="1736"/>
      <c r="D236" s="1551"/>
      <c r="E236" s="387"/>
      <c r="F236" s="1496"/>
      <c r="G236" s="1732"/>
      <c r="H236" s="1497"/>
      <c r="I236" s="286"/>
      <c r="J236" s="62" t="s">
        <v>25</v>
      </c>
      <c r="K236" s="75">
        <v>227.9</v>
      </c>
      <c r="L236" s="62"/>
      <c r="M236" s="62"/>
      <c r="N236" s="62"/>
      <c r="O236" s="1498" t="s">
        <v>206</v>
      </c>
      <c r="P236" s="1464">
        <v>100</v>
      </c>
      <c r="Q236" s="1735"/>
      <c r="R236" s="1725"/>
      <c r="S236" s="1727"/>
    </row>
    <row r="237" spans="1:20" ht="19.5" customHeight="1" x14ac:dyDescent="0.2">
      <c r="A237" s="1432"/>
      <c r="B237" s="1492"/>
      <c r="C237" s="1736"/>
      <c r="D237" s="1738"/>
      <c r="E237" s="154"/>
      <c r="F237" s="1739"/>
      <c r="G237" s="1732"/>
      <c r="H237" s="1497"/>
      <c r="I237" s="286"/>
      <c r="J237" s="61" t="s">
        <v>62</v>
      </c>
      <c r="K237" s="61">
        <v>67</v>
      </c>
      <c r="L237" s="61"/>
      <c r="M237" s="61"/>
      <c r="N237" s="61"/>
      <c r="O237" s="1499"/>
      <c r="P237" s="1465"/>
      <c r="Q237" s="1465"/>
      <c r="R237" s="1726"/>
      <c r="S237" s="1728"/>
    </row>
    <row r="238" spans="1:20" ht="27.75" customHeight="1" x14ac:dyDescent="0.2">
      <c r="A238" s="923"/>
      <c r="B238" s="920"/>
      <c r="C238" s="983"/>
      <c r="D238" s="911" t="s">
        <v>34</v>
      </c>
      <c r="E238" s="1507" t="s">
        <v>109</v>
      </c>
      <c r="F238" s="922"/>
      <c r="G238" s="1729" t="s">
        <v>141</v>
      </c>
      <c r="H238" s="942"/>
      <c r="I238" s="972"/>
      <c r="J238" s="62" t="s">
        <v>25</v>
      </c>
      <c r="K238" s="478">
        <f>1000-300+383</f>
        <v>1083</v>
      </c>
      <c r="L238" s="62">
        <f>1000-350</f>
        <v>650</v>
      </c>
      <c r="M238" s="62">
        <f>300+350</f>
        <v>650</v>
      </c>
      <c r="N238" s="62">
        <f>300+350</f>
        <v>650</v>
      </c>
      <c r="O238" s="1509" t="s">
        <v>197</v>
      </c>
      <c r="P238" s="861">
        <v>20</v>
      </c>
      <c r="Q238" s="980">
        <v>15</v>
      </c>
      <c r="R238" s="292">
        <v>15</v>
      </c>
      <c r="S238" s="989">
        <v>15</v>
      </c>
      <c r="T238" s="862"/>
    </row>
    <row r="239" spans="1:20" ht="15.75" customHeight="1" x14ac:dyDescent="0.2">
      <c r="A239" s="923"/>
      <c r="B239" s="920"/>
      <c r="C239" s="983"/>
      <c r="D239" s="997"/>
      <c r="E239" s="1508"/>
      <c r="F239" s="1008"/>
      <c r="G239" s="1730"/>
      <c r="H239" s="942"/>
      <c r="I239" s="972"/>
      <c r="J239" s="61"/>
      <c r="K239" s="61"/>
      <c r="L239" s="61"/>
      <c r="M239" s="61"/>
      <c r="N239" s="61"/>
      <c r="O239" s="1510"/>
      <c r="P239" s="20"/>
      <c r="Q239" s="20"/>
      <c r="R239" s="294"/>
      <c r="S239" s="21"/>
    </row>
    <row r="240" spans="1:20" ht="15.75" customHeight="1" x14ac:dyDescent="0.2">
      <c r="A240" s="967"/>
      <c r="B240" s="920"/>
      <c r="C240" s="386"/>
      <c r="D240" s="232" t="s">
        <v>35</v>
      </c>
      <c r="E240" s="1500" t="s">
        <v>39</v>
      </c>
      <c r="F240" s="922"/>
      <c r="G240" s="1729" t="s">
        <v>150</v>
      </c>
      <c r="H240" s="942"/>
      <c r="I240" s="987"/>
      <c r="J240" s="58" t="s">
        <v>105</v>
      </c>
      <c r="K240" s="62">
        <v>45</v>
      </c>
      <c r="L240" s="62">
        <v>82.2</v>
      </c>
      <c r="M240" s="62">
        <v>82.2</v>
      </c>
      <c r="N240" s="62">
        <v>82.2</v>
      </c>
      <c r="O240" s="915" t="s">
        <v>55</v>
      </c>
      <c r="P240" s="770">
        <v>14</v>
      </c>
      <c r="Q240" s="979">
        <v>15</v>
      </c>
      <c r="R240" s="851">
        <v>15</v>
      </c>
      <c r="S240" s="988">
        <v>15</v>
      </c>
    </row>
    <row r="241" spans="1:19" ht="13.5" customHeight="1" x14ac:dyDescent="0.2">
      <c r="A241" s="967"/>
      <c r="B241" s="920"/>
      <c r="C241" s="386"/>
      <c r="D241" s="232"/>
      <c r="E241" s="1500"/>
      <c r="F241" s="922"/>
      <c r="G241" s="1729"/>
      <c r="H241" s="942"/>
      <c r="I241" s="972"/>
      <c r="J241" s="62" t="s">
        <v>25</v>
      </c>
      <c r="K241" s="478">
        <f>14+42.7+50-24</f>
        <v>82.7</v>
      </c>
      <c r="L241" s="62">
        <v>14</v>
      </c>
      <c r="M241" s="62">
        <v>14</v>
      </c>
      <c r="N241" s="62">
        <v>14</v>
      </c>
      <c r="O241" s="533"/>
      <c r="P241" s="980"/>
      <c r="Q241" s="980"/>
      <c r="R241" s="292"/>
      <c r="S241" s="989"/>
    </row>
    <row r="242" spans="1:19" ht="16.5" customHeight="1" x14ac:dyDescent="0.2">
      <c r="A242" s="967"/>
      <c r="B242" s="920"/>
      <c r="C242" s="386"/>
      <c r="D242" s="95"/>
      <c r="E242" s="1500"/>
      <c r="F242" s="922"/>
      <c r="G242" s="1729"/>
      <c r="H242" s="942"/>
      <c r="I242" s="972"/>
      <c r="J242" s="61" t="s">
        <v>62</v>
      </c>
      <c r="K242" s="61">
        <v>6</v>
      </c>
      <c r="L242" s="61"/>
      <c r="M242" s="61"/>
      <c r="N242" s="61"/>
      <c r="O242" s="533"/>
      <c r="P242" s="980"/>
      <c r="Q242" s="980"/>
      <c r="R242" s="292"/>
      <c r="S242" s="21"/>
    </row>
    <row r="243" spans="1:19" ht="14.25" customHeight="1" thickBot="1" x14ac:dyDescent="0.25">
      <c r="A243" s="68"/>
      <c r="B243" s="939"/>
      <c r="C243" s="190"/>
      <c r="D243" s="270"/>
      <c r="E243" s="347"/>
      <c r="F243" s="348"/>
      <c r="G243" s="349"/>
      <c r="H243" s="270"/>
      <c r="I243" s="228"/>
      <c r="J243" s="146" t="s">
        <v>6</v>
      </c>
      <c r="K243" s="218">
        <f>SUM(K207:K242)</f>
        <v>6031.3</v>
      </c>
      <c r="L243" s="218">
        <f>SUM(L207:L242)</f>
        <v>4551.6000000000004</v>
      </c>
      <c r="M243" s="146">
        <f>SUM(M207:M242)</f>
        <v>4660</v>
      </c>
      <c r="N243" s="146">
        <f>SUM(N207:N242)</f>
        <v>3620</v>
      </c>
      <c r="O243" s="351"/>
      <c r="P243" s="352"/>
      <c r="Q243" s="353"/>
      <c r="R243" s="353"/>
      <c r="S243" s="354"/>
    </row>
    <row r="244" spans="1:19" ht="28.5" customHeight="1" x14ac:dyDescent="0.2">
      <c r="A244" s="967" t="s">
        <v>5</v>
      </c>
      <c r="B244" s="920" t="s">
        <v>33</v>
      </c>
      <c r="C244" s="233" t="s">
        <v>7</v>
      </c>
      <c r="D244" s="1497"/>
      <c r="E244" s="1584" t="s">
        <v>179</v>
      </c>
      <c r="F244" s="1457" t="s">
        <v>47</v>
      </c>
      <c r="G244" s="1717" t="s">
        <v>142</v>
      </c>
      <c r="H244" s="1444" t="s">
        <v>43</v>
      </c>
      <c r="I244" s="1722" t="s">
        <v>143</v>
      </c>
      <c r="J244" s="62" t="s">
        <v>25</v>
      </c>
      <c r="K244" s="572">
        <f>100-30-34-10.2</f>
        <v>25.8</v>
      </c>
      <c r="L244" s="478">
        <f>194.1+10.2</f>
        <v>204.3</v>
      </c>
      <c r="M244" s="62"/>
      <c r="N244" s="62"/>
      <c r="O244" s="484" t="s">
        <v>189</v>
      </c>
      <c r="P244" s="212"/>
      <c r="Q244" s="1043">
        <v>1</v>
      </c>
      <c r="R244" s="456"/>
      <c r="S244" s="457"/>
    </row>
    <row r="245" spans="1:19" ht="27" customHeight="1" x14ac:dyDescent="0.2">
      <c r="A245" s="967"/>
      <c r="B245" s="920"/>
      <c r="C245" s="233"/>
      <c r="D245" s="1497"/>
      <c r="E245" s="1500"/>
      <c r="F245" s="1457"/>
      <c r="G245" s="1718"/>
      <c r="H245" s="1444"/>
      <c r="I245" s="1723"/>
      <c r="J245" s="62" t="s">
        <v>62</v>
      </c>
      <c r="K245" s="85">
        <v>64</v>
      </c>
      <c r="L245" s="62"/>
      <c r="M245" s="62"/>
      <c r="N245" s="62"/>
      <c r="O245" s="87" t="s">
        <v>319</v>
      </c>
      <c r="P245" s="24">
        <v>100</v>
      </c>
      <c r="Q245" s="24"/>
      <c r="R245" s="303"/>
      <c r="S245" s="25"/>
    </row>
    <row r="246" spans="1:19" ht="15.75" customHeight="1" x14ac:dyDescent="0.2">
      <c r="A246" s="967"/>
      <c r="B246" s="920"/>
      <c r="C246" s="233"/>
      <c r="D246" s="1497"/>
      <c r="E246" s="1500"/>
      <c r="F246" s="1457"/>
      <c r="G246" s="1719"/>
      <c r="H246" s="1721"/>
      <c r="I246" s="1723"/>
      <c r="J246" s="61"/>
      <c r="K246" s="88"/>
      <c r="L246" s="61"/>
      <c r="M246" s="61"/>
      <c r="N246" s="61"/>
      <c r="O246" s="1711" t="s">
        <v>184</v>
      </c>
      <c r="P246" s="36"/>
      <c r="Q246" s="36" t="s">
        <v>115</v>
      </c>
      <c r="R246" s="492"/>
      <c r="S246" s="334"/>
    </row>
    <row r="247" spans="1:19" ht="17.25" customHeight="1" thickBot="1" x14ac:dyDescent="0.25">
      <c r="A247" s="68"/>
      <c r="B247" s="939"/>
      <c r="C247" s="97"/>
      <c r="D247" s="102"/>
      <c r="E247" s="1716"/>
      <c r="F247" s="1458"/>
      <c r="G247" s="1720"/>
      <c r="H247" s="1445"/>
      <c r="I247" s="1724"/>
      <c r="J247" s="146" t="s">
        <v>6</v>
      </c>
      <c r="K247" s="218">
        <f>SUM(K244:K246)</f>
        <v>89.8</v>
      </c>
      <c r="L247" s="146">
        <f>SUM(L244:L246)</f>
        <v>204.3</v>
      </c>
      <c r="M247" s="146">
        <f t="shared" ref="M247:N247" si="10">SUM(M244:M246)</f>
        <v>0</v>
      </c>
      <c r="N247" s="146">
        <f t="shared" si="10"/>
        <v>0</v>
      </c>
      <c r="O247" s="1712"/>
      <c r="P247" s="211"/>
      <c r="Q247" s="211"/>
      <c r="R247" s="670"/>
      <c r="S247" s="685"/>
    </row>
    <row r="248" spans="1:19" ht="14.25" customHeight="1" thickBot="1" x14ac:dyDescent="0.25">
      <c r="A248" s="68" t="s">
        <v>5</v>
      </c>
      <c r="B248" s="939" t="s">
        <v>33</v>
      </c>
      <c r="C248" s="1446" t="s">
        <v>8</v>
      </c>
      <c r="D248" s="1446"/>
      <c r="E248" s="1446"/>
      <c r="F248" s="1446"/>
      <c r="G248" s="1446"/>
      <c r="H248" s="1446"/>
      <c r="I248" s="1446"/>
      <c r="J248" s="1713"/>
      <c r="K248" s="682">
        <f t="shared" ref="K248:N248" si="11">K247+K243</f>
        <v>6121.1</v>
      </c>
      <c r="L248" s="634">
        <f t="shared" si="11"/>
        <v>4755.8999999999996</v>
      </c>
      <c r="M248" s="634">
        <f t="shared" si="11"/>
        <v>4660</v>
      </c>
      <c r="N248" s="634">
        <f t="shared" si="11"/>
        <v>3620</v>
      </c>
      <c r="O248" s="1714"/>
      <c r="P248" s="1714"/>
      <c r="Q248" s="1714"/>
      <c r="R248" s="1714"/>
      <c r="S248" s="1715"/>
    </row>
    <row r="249" spans="1:19" ht="14.25" customHeight="1" thickBot="1" x14ac:dyDescent="0.25">
      <c r="A249" s="92" t="s">
        <v>5</v>
      </c>
      <c r="B249" s="1451" t="s">
        <v>9</v>
      </c>
      <c r="C249" s="1452"/>
      <c r="D249" s="1452"/>
      <c r="E249" s="1452"/>
      <c r="F249" s="1452"/>
      <c r="G249" s="1452"/>
      <c r="H249" s="1452"/>
      <c r="I249" s="1452"/>
      <c r="J249" s="1453"/>
      <c r="K249" s="68">
        <f>K248+K204+K156+K114</f>
        <v>28292.799999999999</v>
      </c>
      <c r="L249" s="150">
        <f>L248+L204+L156+L114</f>
        <v>36680</v>
      </c>
      <c r="M249" s="150">
        <f>M248+M204+M156+M114</f>
        <v>29856.7</v>
      </c>
      <c r="N249" s="150">
        <f>N248+N204+N156+N114</f>
        <v>14833.3</v>
      </c>
      <c r="O249" s="1455"/>
      <c r="P249" s="1455"/>
      <c r="Q249" s="1455"/>
      <c r="R249" s="1455"/>
      <c r="S249" s="1456"/>
    </row>
    <row r="250" spans="1:19" ht="14.25" customHeight="1" thickBot="1" x14ac:dyDescent="0.25">
      <c r="A250" s="103" t="s">
        <v>35</v>
      </c>
      <c r="B250" s="1524" t="s">
        <v>58</v>
      </c>
      <c r="C250" s="1525"/>
      <c r="D250" s="1525"/>
      <c r="E250" s="1525"/>
      <c r="F250" s="1525"/>
      <c r="G250" s="1525"/>
      <c r="H250" s="1525"/>
      <c r="I250" s="1525"/>
      <c r="J250" s="1526"/>
      <c r="K250" s="684">
        <f t="shared" ref="K250:N250" si="12">SUM(K249)</f>
        <v>28292.799999999999</v>
      </c>
      <c r="L250" s="151">
        <f>SUM(L249)</f>
        <v>36680</v>
      </c>
      <c r="M250" s="151">
        <f>SUM(M249)</f>
        <v>29856.7</v>
      </c>
      <c r="N250" s="151">
        <f t="shared" si="12"/>
        <v>14833.3</v>
      </c>
      <c r="O250" s="1533"/>
      <c r="P250" s="1533"/>
      <c r="Q250" s="1533"/>
      <c r="R250" s="1533"/>
      <c r="S250" s="1534"/>
    </row>
    <row r="251" spans="1:19" s="5" customFormat="1" ht="17.25" customHeight="1" x14ac:dyDescent="0.2">
      <c r="A251" s="1705" t="s">
        <v>364</v>
      </c>
      <c r="B251" s="1706"/>
      <c r="C251" s="1706"/>
      <c r="D251" s="1706"/>
      <c r="E251" s="1706"/>
      <c r="F251" s="1706"/>
      <c r="G251" s="1706"/>
      <c r="H251" s="1706"/>
      <c r="I251" s="1706"/>
      <c r="J251" s="1706"/>
      <c r="K251" s="1706"/>
      <c r="L251" s="1706"/>
      <c r="M251" s="1706"/>
      <c r="N251" s="1706"/>
      <c r="O251" s="315"/>
      <c r="P251" s="315"/>
      <c r="Q251" s="315"/>
      <c r="R251" s="315"/>
      <c r="S251" s="315"/>
    </row>
    <row r="252" spans="1:19" s="4" customFormat="1" ht="13.5" customHeight="1" x14ac:dyDescent="0.2">
      <c r="A252" s="847"/>
      <c r="B252" s="848"/>
      <c r="C252" s="848"/>
      <c r="D252" s="848"/>
      <c r="E252" s="848"/>
      <c r="F252" s="848"/>
      <c r="G252" s="848"/>
      <c r="H252" s="848"/>
      <c r="I252" s="848"/>
      <c r="J252" s="848"/>
      <c r="K252" s="848"/>
      <c r="L252" s="848"/>
      <c r="M252" s="848"/>
      <c r="N252" s="848"/>
      <c r="O252" s="848"/>
      <c r="P252" s="847"/>
      <c r="Q252" s="847"/>
      <c r="R252" s="847"/>
      <c r="S252" s="847"/>
    </row>
    <row r="253" spans="1:19" s="4" customFormat="1" ht="17.25" customHeight="1" x14ac:dyDescent="0.2">
      <c r="A253" s="847"/>
      <c r="B253" s="848"/>
      <c r="C253" s="848"/>
      <c r="D253" s="848"/>
      <c r="E253" s="848"/>
      <c r="F253" s="848"/>
      <c r="G253" s="848"/>
      <c r="H253" s="848"/>
      <c r="I253" s="848"/>
      <c r="J253" s="848"/>
      <c r="K253" s="848"/>
      <c r="L253" s="848"/>
      <c r="M253" s="848"/>
      <c r="N253" s="848"/>
      <c r="O253" s="848"/>
      <c r="P253" s="847"/>
      <c r="Q253" s="847"/>
      <c r="R253" s="847"/>
      <c r="S253" s="847"/>
    </row>
    <row r="254" spans="1:19" s="5" customFormat="1" ht="15" customHeight="1" thickBot="1" x14ac:dyDescent="0.25">
      <c r="A254" s="1707" t="s">
        <v>13</v>
      </c>
      <c r="B254" s="1707"/>
      <c r="C254" s="1707"/>
      <c r="D254" s="1707"/>
      <c r="E254" s="1707"/>
      <c r="F254" s="1707"/>
      <c r="G254" s="1707"/>
      <c r="H254" s="1707"/>
      <c r="I254" s="1707"/>
      <c r="J254" s="1707"/>
      <c r="K254" s="925"/>
      <c r="L254" s="925"/>
      <c r="M254" s="925"/>
      <c r="N254" s="925"/>
      <c r="O254" s="104"/>
      <c r="P254" s="104"/>
      <c r="Q254" s="104"/>
      <c r="R254" s="104"/>
      <c r="S254" s="104"/>
    </row>
    <row r="255" spans="1:19" ht="62.25" customHeight="1" thickBot="1" x14ac:dyDescent="0.25">
      <c r="A255" s="1708" t="s">
        <v>10</v>
      </c>
      <c r="B255" s="1709"/>
      <c r="C255" s="1709"/>
      <c r="D255" s="1709"/>
      <c r="E255" s="1709"/>
      <c r="F255" s="1709"/>
      <c r="G255" s="1709"/>
      <c r="H255" s="1709"/>
      <c r="I255" s="1709"/>
      <c r="J255" s="1710"/>
      <c r="K255" s="740" t="s">
        <v>342</v>
      </c>
      <c r="L255" s="740" t="s">
        <v>363</v>
      </c>
      <c r="M255" s="765" t="s">
        <v>213</v>
      </c>
      <c r="N255" s="765" t="s">
        <v>349</v>
      </c>
      <c r="O255" s="14"/>
      <c r="P255" s="14"/>
      <c r="Q255" s="14"/>
      <c r="R255" s="14"/>
      <c r="S255" s="14"/>
    </row>
    <row r="256" spans="1:19" ht="14.25" customHeight="1" x14ac:dyDescent="0.2">
      <c r="A256" s="1391" t="s">
        <v>14</v>
      </c>
      <c r="B256" s="1392"/>
      <c r="C256" s="1392"/>
      <c r="D256" s="1392"/>
      <c r="E256" s="1392"/>
      <c r="F256" s="1392"/>
      <c r="G256" s="1392"/>
      <c r="H256" s="1392"/>
      <c r="I256" s="1392"/>
      <c r="J256" s="1393"/>
      <c r="K256" s="741">
        <f>K257+K263+K264+K265</f>
        <v>26015.5</v>
      </c>
      <c r="L256" s="271">
        <f>L257+L263+L264+L265</f>
        <v>34323.4</v>
      </c>
      <c r="M256" s="271">
        <f>M257+M263+M264+M265</f>
        <v>27132.7</v>
      </c>
      <c r="N256" s="271">
        <f>N257+N263+N264+N265</f>
        <v>13742.3</v>
      </c>
      <c r="O256" s="14"/>
      <c r="P256" s="14"/>
      <c r="Q256" s="14"/>
      <c r="R256" s="14"/>
      <c r="S256" s="14"/>
    </row>
    <row r="257" spans="1:19" ht="14.25" customHeight="1" x14ac:dyDescent="0.2">
      <c r="A257" s="1485" t="s">
        <v>97</v>
      </c>
      <c r="B257" s="1486"/>
      <c r="C257" s="1486"/>
      <c r="D257" s="1486"/>
      <c r="E257" s="1486"/>
      <c r="F257" s="1486"/>
      <c r="G257" s="1486"/>
      <c r="H257" s="1486"/>
      <c r="I257" s="1486"/>
      <c r="J257" s="1487"/>
      <c r="K257" s="742">
        <f>K258+K259+K260+K261+K262</f>
        <v>18063.2</v>
      </c>
      <c r="L257" s="225">
        <f>SUM(L258:L262)</f>
        <v>34093</v>
      </c>
      <c r="M257" s="225">
        <f>SUM(M258:M262)</f>
        <v>27132.7</v>
      </c>
      <c r="N257" s="225">
        <f>SUM(N258:N262)</f>
        <v>13742.3</v>
      </c>
      <c r="O257" s="14"/>
      <c r="P257" s="14"/>
      <c r="Q257" s="14"/>
      <c r="R257" s="14"/>
      <c r="S257" s="14"/>
    </row>
    <row r="258" spans="1:19" ht="14.25" customHeight="1" x14ac:dyDescent="0.2">
      <c r="A258" s="1488" t="s">
        <v>19</v>
      </c>
      <c r="B258" s="1489"/>
      <c r="C258" s="1489"/>
      <c r="D258" s="1489"/>
      <c r="E258" s="1489"/>
      <c r="F258" s="1489"/>
      <c r="G258" s="1489"/>
      <c r="H258" s="1489"/>
      <c r="I258" s="1489"/>
      <c r="J258" s="1490"/>
      <c r="K258" s="743">
        <f>SUMIF(J14:J250,"SB",K14:K250)</f>
        <v>10933.2</v>
      </c>
      <c r="L258" s="61">
        <f>SUMIF(J14:J250,"SB",L14:L250)</f>
        <v>20443.8</v>
      </c>
      <c r="M258" s="61">
        <f>SUMIF(J14:J250,"SB",M14:M250)</f>
        <v>19295.5</v>
      </c>
      <c r="N258" s="61">
        <f>SUMIF(J14:J250,"SB",N14:N250)</f>
        <v>11652.3</v>
      </c>
      <c r="O258" s="14"/>
      <c r="P258" s="14"/>
      <c r="Q258" s="14"/>
      <c r="R258" s="14"/>
      <c r="S258" s="14"/>
    </row>
    <row r="259" spans="1:19" ht="14.25" customHeight="1" x14ac:dyDescent="0.2">
      <c r="A259" s="1459" t="s">
        <v>20</v>
      </c>
      <c r="B259" s="1460"/>
      <c r="C259" s="1460"/>
      <c r="D259" s="1460"/>
      <c r="E259" s="1460"/>
      <c r="F259" s="1460"/>
      <c r="G259" s="1460"/>
      <c r="H259" s="1460"/>
      <c r="I259" s="1460"/>
      <c r="J259" s="1461"/>
      <c r="K259" s="744">
        <f>SUMIF(J14:J250,"SB(P)",K14:K250)</f>
        <v>0</v>
      </c>
      <c r="L259" s="55">
        <f>SUMIF(J14:J250,"SB(P)",L14:L250)</f>
        <v>0</v>
      </c>
      <c r="M259" s="55">
        <f>SUMIF(J14:J250,"SB(P)",M14:M250)</f>
        <v>0</v>
      </c>
      <c r="N259" s="55">
        <f>SUMIF(J14:J250,"SB(P)",N14:N250)</f>
        <v>0</v>
      </c>
      <c r="O259" s="14"/>
      <c r="P259" s="14"/>
      <c r="Q259" s="14"/>
      <c r="R259" s="14"/>
      <c r="S259" s="14"/>
    </row>
    <row r="260" spans="1:19" ht="14.25" customHeight="1" x14ac:dyDescent="0.2">
      <c r="A260" s="1459" t="s">
        <v>71</v>
      </c>
      <c r="B260" s="1460"/>
      <c r="C260" s="1460"/>
      <c r="D260" s="1460"/>
      <c r="E260" s="1460"/>
      <c r="F260" s="1460"/>
      <c r="G260" s="1460"/>
      <c r="H260" s="1460"/>
      <c r="I260" s="1460"/>
      <c r="J260" s="1461"/>
      <c r="K260" s="743">
        <f>SUMIF(J14:J250,"SB(VR)",K14:K250)</f>
        <v>1506.4</v>
      </c>
      <c r="L260" s="61">
        <f>SUMIF(J14:J250,"SB(VR)",L14:L250)</f>
        <v>1160.4000000000001</v>
      </c>
      <c r="M260" s="61">
        <f>SUMIF(J14:J250,"SB(VR)",M14:M250)</f>
        <v>1312.3</v>
      </c>
      <c r="N260" s="61">
        <f>SUMIF(J14:J250,"SB(VR)",N14:N250)</f>
        <v>565</v>
      </c>
      <c r="O260" s="14"/>
      <c r="P260" s="14"/>
      <c r="Q260" s="14"/>
      <c r="R260" s="14"/>
      <c r="S260" s="14"/>
    </row>
    <row r="261" spans="1:19" ht="14.25" customHeight="1" x14ac:dyDescent="0.2">
      <c r="A261" s="1388" t="s">
        <v>103</v>
      </c>
      <c r="B261" s="1389"/>
      <c r="C261" s="1389"/>
      <c r="D261" s="1389"/>
      <c r="E261" s="1389"/>
      <c r="F261" s="1389"/>
      <c r="G261" s="1389"/>
      <c r="H261" s="1389"/>
      <c r="I261" s="1389"/>
      <c r="J261" s="1390"/>
      <c r="K261" s="743">
        <f>SUMIF(J14:J249,"SB(KPP)",K14:K249)</f>
        <v>3999.1</v>
      </c>
      <c r="L261" s="55">
        <f>SUMIF(J14:J249,"SB(KPP)",L14:L249)</f>
        <v>8018.1</v>
      </c>
      <c r="M261" s="55">
        <f>SUMIF(J14:J249,"SB(KPP)",M14:M249)</f>
        <v>6375</v>
      </c>
      <c r="N261" s="55">
        <f>SUMIF(J14:J249,"SB(KPP)",N14:N249)</f>
        <v>1525</v>
      </c>
      <c r="O261" s="14"/>
      <c r="P261" s="14"/>
      <c r="Q261" s="14"/>
      <c r="R261" s="14"/>
      <c r="S261" s="14"/>
    </row>
    <row r="262" spans="1:19" ht="14.25" customHeight="1" x14ac:dyDescent="0.2">
      <c r="A262" s="1478" t="s">
        <v>204</v>
      </c>
      <c r="B262" s="1479"/>
      <c r="C262" s="1479"/>
      <c r="D262" s="1479"/>
      <c r="E262" s="1479"/>
      <c r="F262" s="1479"/>
      <c r="G262" s="1479"/>
      <c r="H262" s="1479"/>
      <c r="I262" s="1479"/>
      <c r="J262" s="1480"/>
      <c r="K262" s="744">
        <f>SUMIF(J13:J244,"SB(ES)",K13:K244)</f>
        <v>1624.5</v>
      </c>
      <c r="L262" s="55">
        <f>SUMIF(J13:J244,"SB(ES)",L13:L244)</f>
        <v>4470.7</v>
      </c>
      <c r="M262" s="55">
        <f>SUMIF(J13:J246,"SB(ES)",M13:M246)</f>
        <v>149.9</v>
      </c>
      <c r="N262" s="55">
        <f>SUMIF(J13:J244,"SB(ES)",N13:N244)</f>
        <v>0</v>
      </c>
      <c r="O262" s="14"/>
      <c r="P262" s="14"/>
      <c r="Q262" s="14"/>
      <c r="R262" s="14"/>
      <c r="S262" s="14"/>
    </row>
    <row r="263" spans="1:19" ht="14.25" customHeight="1" x14ac:dyDescent="0.2">
      <c r="A263" s="1481" t="s">
        <v>101</v>
      </c>
      <c r="B263" s="1482"/>
      <c r="C263" s="1482"/>
      <c r="D263" s="1482"/>
      <c r="E263" s="1482"/>
      <c r="F263" s="1482"/>
      <c r="G263" s="1482"/>
      <c r="H263" s="1482"/>
      <c r="I263" s="1482"/>
      <c r="J263" s="1483"/>
      <c r="K263" s="745">
        <f>SUMIF(J14:J249,"SB(VRL)",K14:K249)</f>
        <v>768.9</v>
      </c>
      <c r="L263" s="272">
        <f>SUMIF(J17:J249,"SB(VRL)",L17:L249)</f>
        <v>0</v>
      </c>
      <c r="M263" s="272">
        <f>SUMIF(J14:J249,"SB(VRL)",M14:M249)</f>
        <v>0</v>
      </c>
      <c r="N263" s="272">
        <f>SUMIF(J14:J249,"SB(VRL)",N14:N249)</f>
        <v>0</v>
      </c>
      <c r="O263" s="14"/>
      <c r="P263" s="14"/>
      <c r="Q263" s="14"/>
      <c r="R263" s="14"/>
      <c r="S263" s="14"/>
    </row>
    <row r="264" spans="1:19" ht="14.25" customHeight="1" x14ac:dyDescent="0.2">
      <c r="A264" s="1484" t="s">
        <v>102</v>
      </c>
      <c r="B264" s="1482"/>
      <c r="C264" s="1482"/>
      <c r="D264" s="1482"/>
      <c r="E264" s="1482"/>
      <c r="F264" s="1482"/>
      <c r="G264" s="1482"/>
      <c r="H264" s="1482"/>
      <c r="I264" s="1482"/>
      <c r="J264" s="1483"/>
      <c r="K264" s="745">
        <f>SUMIF(J10:J250,"SB(ŽPL)",K10:K250)</f>
        <v>1527.4</v>
      </c>
      <c r="L264" s="272">
        <f>SUMIF(J17:J250,"SB(ŽPL)",L17:L250)</f>
        <v>198.4</v>
      </c>
      <c r="M264" s="272">
        <f>SUMIF(J14:J250,"SB(ŽPL)",M14:M250)</f>
        <v>0</v>
      </c>
      <c r="N264" s="272">
        <f>SUMIF(J14:J250,"SB(ŽPL)",N14:N250)</f>
        <v>0</v>
      </c>
      <c r="O264" s="14"/>
      <c r="P264" s="14"/>
      <c r="Q264" s="14"/>
      <c r="R264" s="14"/>
      <c r="S264" s="14"/>
    </row>
    <row r="265" spans="1:19" ht="14.25" customHeight="1" x14ac:dyDescent="0.2">
      <c r="A265" s="1472" t="s">
        <v>219</v>
      </c>
      <c r="B265" s="1473"/>
      <c r="C265" s="1473"/>
      <c r="D265" s="1473"/>
      <c r="E265" s="1473"/>
      <c r="F265" s="1473"/>
      <c r="G265" s="1473"/>
      <c r="H265" s="1473"/>
      <c r="I265" s="1473"/>
      <c r="J265" s="1474"/>
      <c r="K265" s="745">
        <f>SUMIF(J14:J250,"SB(L)",K14:K250)</f>
        <v>5656</v>
      </c>
      <c r="L265" s="272">
        <f>SUMIF(J14:J250,"SB(L)",L14:L250)</f>
        <v>32</v>
      </c>
      <c r="M265" s="272">
        <f>SUMIF(J14:J250,"SB(L)",M14:M250)</f>
        <v>0</v>
      </c>
      <c r="N265" s="272">
        <f>SUMIF(J14:J248,"SB(L)",N14:N250)</f>
        <v>0</v>
      </c>
      <c r="O265" s="14"/>
      <c r="P265" s="14"/>
      <c r="Q265" s="14"/>
      <c r="R265" s="14"/>
      <c r="S265" s="14"/>
    </row>
    <row r="266" spans="1:19" ht="14.25" customHeight="1" x14ac:dyDescent="0.2">
      <c r="A266" s="1475" t="s">
        <v>15</v>
      </c>
      <c r="B266" s="1476"/>
      <c r="C266" s="1476"/>
      <c r="D266" s="1476"/>
      <c r="E266" s="1476"/>
      <c r="F266" s="1476"/>
      <c r="G266" s="1476"/>
      <c r="H266" s="1476"/>
      <c r="I266" s="1476"/>
      <c r="J266" s="1477"/>
      <c r="K266" s="746">
        <f>SUM(K267:K270)</f>
        <v>2277.3000000000002</v>
      </c>
      <c r="L266" s="273">
        <f>L268+L269+L270+L267</f>
        <v>2356.6</v>
      </c>
      <c r="M266" s="273">
        <f>M268+M269+M270+M267</f>
        <v>2724</v>
      </c>
      <c r="N266" s="273">
        <f>N268+N269+N270+N267</f>
        <v>1091</v>
      </c>
      <c r="O266" s="14"/>
      <c r="P266" s="14"/>
      <c r="Q266" s="14"/>
      <c r="R266" s="14"/>
      <c r="S266" s="14"/>
    </row>
    <row r="267" spans="1:19" ht="14.25" customHeight="1" x14ac:dyDescent="0.2">
      <c r="A267" s="1478" t="s">
        <v>21</v>
      </c>
      <c r="B267" s="1479"/>
      <c r="C267" s="1479"/>
      <c r="D267" s="1479"/>
      <c r="E267" s="1479"/>
      <c r="F267" s="1479"/>
      <c r="G267" s="1479"/>
      <c r="H267" s="1479"/>
      <c r="I267" s="1479"/>
      <c r="J267" s="1480"/>
      <c r="K267" s="744">
        <f>SUMIF(J13:J250,"ES",K13:K250)</f>
        <v>579.5</v>
      </c>
      <c r="L267" s="55">
        <f>SUMIF(J13:J250,"ES",L13:L250)</f>
        <v>634.1</v>
      </c>
      <c r="M267" s="55">
        <f>SUMIF(J13:J250,"ES",M13:M250)</f>
        <v>1129</v>
      </c>
      <c r="N267" s="55">
        <f>SUMIF(J13:J250,"ES",N13:N250)</f>
        <v>1091</v>
      </c>
      <c r="O267" s="14"/>
      <c r="P267" s="14"/>
      <c r="Q267" s="14"/>
      <c r="R267" s="14"/>
      <c r="S267" s="14"/>
    </row>
    <row r="268" spans="1:19" ht="14.25" customHeight="1" x14ac:dyDescent="0.2">
      <c r="A268" s="1466" t="s">
        <v>22</v>
      </c>
      <c r="B268" s="1467"/>
      <c r="C268" s="1467"/>
      <c r="D268" s="1467"/>
      <c r="E268" s="1467"/>
      <c r="F268" s="1467"/>
      <c r="G268" s="1467"/>
      <c r="H268" s="1467"/>
      <c r="I268" s="1467"/>
      <c r="J268" s="1468"/>
      <c r="K268" s="744">
        <f>SUMIF(J14:J250,"KVJUD",K14:K250)</f>
        <v>1593.4</v>
      </c>
      <c r="L268" s="55">
        <f>SUMIF(J14:J250,"KVJUD",L14:L250)</f>
        <v>1500</v>
      </c>
      <c r="M268" s="55">
        <f>SUMIF(J14:J250,"KVJUD",M14:M250)</f>
        <v>1500</v>
      </c>
      <c r="N268" s="55">
        <f>SUMIF(J14:J250,"KVJUD",N14:N250)</f>
        <v>0</v>
      </c>
      <c r="O268" s="49"/>
      <c r="P268" s="49"/>
      <c r="Q268" s="49"/>
      <c r="R268" s="49"/>
      <c r="S268" s="49"/>
    </row>
    <row r="269" spans="1:19" ht="14.25" customHeight="1" x14ac:dyDescent="0.2">
      <c r="A269" s="1459" t="s">
        <v>23</v>
      </c>
      <c r="B269" s="1460"/>
      <c r="C269" s="1460"/>
      <c r="D269" s="1460"/>
      <c r="E269" s="1460"/>
      <c r="F269" s="1460"/>
      <c r="G269" s="1460"/>
      <c r="H269" s="1460"/>
      <c r="I269" s="1460"/>
      <c r="J269" s="1461"/>
      <c r="K269" s="744">
        <f>SUMIF(J14:J250,"LRVB",K14:K250)</f>
        <v>0</v>
      </c>
      <c r="L269" s="55">
        <f>SUMIF(J14:J250,"LRVB",L14:L250)</f>
        <v>0</v>
      </c>
      <c r="M269" s="55">
        <f>SUMIF(J14:J250,"LRVB",M14:M250)</f>
        <v>0</v>
      </c>
      <c r="N269" s="55">
        <f>SUMIF(J14:J250,"LRVB",N14:N250)</f>
        <v>0</v>
      </c>
      <c r="O269" s="49"/>
      <c r="P269" s="49"/>
      <c r="Q269" s="49"/>
      <c r="R269" s="49"/>
      <c r="S269" s="49"/>
    </row>
    <row r="270" spans="1:19" ht="14.25" customHeight="1" x14ac:dyDescent="0.2">
      <c r="A270" s="1469" t="s">
        <v>24</v>
      </c>
      <c r="B270" s="1470"/>
      <c r="C270" s="1470"/>
      <c r="D270" s="1470"/>
      <c r="E270" s="1470"/>
      <c r="F270" s="1470"/>
      <c r="G270" s="1470"/>
      <c r="H270" s="1470"/>
      <c r="I270" s="1470"/>
      <c r="J270" s="1471"/>
      <c r="K270" s="744">
        <f>SUMIF(J14:J250,"Kt",K14:K250)</f>
        <v>104.4</v>
      </c>
      <c r="L270" s="55">
        <f>SUMIF(J14:J250,"Kt",L14:L250)</f>
        <v>222.5</v>
      </c>
      <c r="M270" s="55">
        <f>SUMIF(J14:J250,"Kt",M14:M250)</f>
        <v>95</v>
      </c>
      <c r="N270" s="55">
        <f>SUMIF(J14:J250,"Kt",N14:N250)</f>
        <v>0</v>
      </c>
      <c r="O270" s="49"/>
      <c r="P270" s="49"/>
      <c r="Q270" s="49"/>
      <c r="R270" s="49"/>
      <c r="S270" s="49"/>
    </row>
    <row r="271" spans="1:19" ht="14.25" customHeight="1" thickBot="1" x14ac:dyDescent="0.25">
      <c r="A271" s="1436" t="s">
        <v>16</v>
      </c>
      <c r="B271" s="1437"/>
      <c r="C271" s="1437"/>
      <c r="D271" s="1437"/>
      <c r="E271" s="1437"/>
      <c r="F271" s="1437"/>
      <c r="G271" s="1437"/>
      <c r="H271" s="1437"/>
      <c r="I271" s="1437"/>
      <c r="J271" s="1438"/>
      <c r="K271" s="739">
        <f>SUM(K256,K266)</f>
        <v>28292.799999999999</v>
      </c>
      <c r="L271" s="274">
        <f>SUM(L256,L266)</f>
        <v>36680</v>
      </c>
      <c r="M271" s="274">
        <f>SUM(M256,M266)</f>
        <v>29856.7</v>
      </c>
      <c r="N271" s="274">
        <f>SUM(N256,N266)</f>
        <v>14833.3</v>
      </c>
      <c r="O271" s="49"/>
      <c r="P271" s="49"/>
      <c r="Q271" s="49"/>
      <c r="R271" s="49"/>
      <c r="S271" s="49"/>
    </row>
    <row r="272" spans="1:19" x14ac:dyDescent="0.2">
      <c r="J272" s="690"/>
      <c r="K272" s="691"/>
      <c r="L272" s="691"/>
      <c r="M272" s="691"/>
      <c r="N272" s="691"/>
      <c r="O272" s="4"/>
    </row>
    <row r="273" spans="1:19" x14ac:dyDescent="0.2">
      <c r="J273" s="690"/>
      <c r="K273" s="735"/>
      <c r="L273" s="4"/>
      <c r="M273" s="4"/>
      <c r="N273" s="4"/>
      <c r="O273" s="4"/>
    </row>
    <row r="274" spans="1:19" x14ac:dyDescent="0.2">
      <c r="J274" s="690"/>
      <c r="K274" s="4"/>
      <c r="L274" s="735"/>
      <c r="M274" s="735"/>
      <c r="N274" s="4"/>
      <c r="O274" s="4"/>
    </row>
    <row r="275" spans="1:19" x14ac:dyDescent="0.2">
      <c r="A275" s="1"/>
      <c r="B275" s="1"/>
      <c r="C275" s="1"/>
      <c r="D275" s="1"/>
      <c r="E275" s="1"/>
      <c r="F275" s="1"/>
      <c r="G275" s="1"/>
      <c r="H275" s="1"/>
      <c r="I275" s="1"/>
      <c r="J275" s="1"/>
      <c r="K275" s="49"/>
      <c r="L275" s="49"/>
      <c r="M275" s="49"/>
      <c r="N275" s="49"/>
      <c r="O275" s="1"/>
      <c r="P275" s="1"/>
      <c r="Q275" s="1"/>
      <c r="R275" s="1"/>
      <c r="S275" s="1"/>
    </row>
    <row r="276" spans="1:19" x14ac:dyDescent="0.2">
      <c r="A276" s="1"/>
      <c r="B276" s="1"/>
      <c r="C276" s="1"/>
      <c r="D276" s="1"/>
      <c r="E276" s="1"/>
      <c r="F276" s="1"/>
      <c r="G276" s="1"/>
      <c r="H276" s="1"/>
      <c r="I276" s="1"/>
      <c r="J276" s="1"/>
      <c r="K276" s="49"/>
      <c r="L276" s="49"/>
      <c r="M276" s="49"/>
      <c r="N276" s="49"/>
      <c r="O276" s="1"/>
      <c r="P276" s="1"/>
      <c r="Q276" s="1"/>
      <c r="R276" s="1"/>
      <c r="S276" s="1"/>
    </row>
  </sheetData>
  <mergeCells count="390">
    <mergeCell ref="O1:S1"/>
    <mergeCell ref="A2:S2"/>
    <mergeCell ref="A3:S3"/>
    <mergeCell ref="A4:S4"/>
    <mergeCell ref="O5:S5"/>
    <mergeCell ref="A6:A8"/>
    <mergeCell ref="B6:B8"/>
    <mergeCell ref="C6:C8"/>
    <mergeCell ref="D6:D8"/>
    <mergeCell ref="E6:E8"/>
    <mergeCell ref="L6:L8"/>
    <mergeCell ref="M6:M8"/>
    <mergeCell ref="N6:N8"/>
    <mergeCell ref="O6:S6"/>
    <mergeCell ref="O7:O8"/>
    <mergeCell ref="P7:S7"/>
    <mergeCell ref="F6:F8"/>
    <mergeCell ref="G6:G8"/>
    <mergeCell ref="H6:H8"/>
    <mergeCell ref="I6:I8"/>
    <mergeCell ref="J6:J8"/>
    <mergeCell ref="K6:K8"/>
    <mergeCell ref="A17:A19"/>
    <mergeCell ref="B17:B19"/>
    <mergeCell ref="C17:C19"/>
    <mergeCell ref="D17:D19"/>
    <mergeCell ref="E17:E19"/>
    <mergeCell ref="G17:G19"/>
    <mergeCell ref="A9:S9"/>
    <mergeCell ref="A10:S10"/>
    <mergeCell ref="B11:S11"/>
    <mergeCell ref="C12:S12"/>
    <mergeCell ref="A14:A16"/>
    <mergeCell ref="B14:B16"/>
    <mergeCell ref="C14:C16"/>
    <mergeCell ref="D14:D16"/>
    <mergeCell ref="E14:E16"/>
    <mergeCell ref="G14:G16"/>
    <mergeCell ref="H17:H19"/>
    <mergeCell ref="I17:I20"/>
    <mergeCell ref="F18:F19"/>
    <mergeCell ref="E20:E23"/>
    <mergeCell ref="G20:G23"/>
    <mergeCell ref="O20:O21"/>
    <mergeCell ref="F21:F23"/>
    <mergeCell ref="H14:H16"/>
    <mergeCell ref="I14:I16"/>
    <mergeCell ref="F15:F16"/>
    <mergeCell ref="O15:O16"/>
    <mergeCell ref="E33:E34"/>
    <mergeCell ref="G33:G34"/>
    <mergeCell ref="A37:A40"/>
    <mergeCell ref="B37:B40"/>
    <mergeCell ref="C37:C40"/>
    <mergeCell ref="E37:E40"/>
    <mergeCell ref="G37:G40"/>
    <mergeCell ref="H24:H26"/>
    <mergeCell ref="E27:E28"/>
    <mergeCell ref="G27:G28"/>
    <mergeCell ref="E29:E30"/>
    <mergeCell ref="G29:G30"/>
    <mergeCell ref="D31:D32"/>
    <mergeCell ref="E31:E32"/>
    <mergeCell ref="G31:G32"/>
    <mergeCell ref="H31:H32"/>
    <mergeCell ref="A24:A26"/>
    <mergeCell ref="B24:B26"/>
    <mergeCell ref="C24:C26"/>
    <mergeCell ref="D24:D26"/>
    <mergeCell ref="E24:E26"/>
    <mergeCell ref="G24:G26"/>
    <mergeCell ref="H37:H40"/>
    <mergeCell ref="I37:I40"/>
    <mergeCell ref="A41:A43"/>
    <mergeCell ref="B41:B43"/>
    <mergeCell ref="C41:C43"/>
    <mergeCell ref="D41:D43"/>
    <mergeCell ref="E41:E43"/>
    <mergeCell ref="G41:G43"/>
    <mergeCell ref="H41:H43"/>
    <mergeCell ref="E46:E47"/>
    <mergeCell ref="D48:D49"/>
    <mergeCell ref="E48:E49"/>
    <mergeCell ref="F48:F49"/>
    <mergeCell ref="G48:G49"/>
    <mergeCell ref="H48:H49"/>
    <mergeCell ref="O41:O42"/>
    <mergeCell ref="D44:D45"/>
    <mergeCell ref="E44:E45"/>
    <mergeCell ref="F44:F45"/>
    <mergeCell ref="G44:G45"/>
    <mergeCell ref="H44:H45"/>
    <mergeCell ref="I44:I45"/>
    <mergeCell ref="I48:I49"/>
    <mergeCell ref="A52:A59"/>
    <mergeCell ref="B52:B59"/>
    <mergeCell ref="C52:C59"/>
    <mergeCell ref="D52:D59"/>
    <mergeCell ref="E52:E53"/>
    <mergeCell ref="F52:F59"/>
    <mergeCell ref="G52:G59"/>
    <mergeCell ref="H52:H59"/>
    <mergeCell ref="I52:I58"/>
    <mergeCell ref="D63:D64"/>
    <mergeCell ref="E63:E64"/>
    <mergeCell ref="F63:F64"/>
    <mergeCell ref="G63:G64"/>
    <mergeCell ref="H63:H64"/>
    <mergeCell ref="I63:I64"/>
    <mergeCell ref="O52:O53"/>
    <mergeCell ref="D60:D62"/>
    <mergeCell ref="E60:E62"/>
    <mergeCell ref="F60:F62"/>
    <mergeCell ref="G60:G62"/>
    <mergeCell ref="H60:H62"/>
    <mergeCell ref="I60:I62"/>
    <mergeCell ref="O60:O61"/>
    <mergeCell ref="D65:D66"/>
    <mergeCell ref="E65:E66"/>
    <mergeCell ref="G65:G66"/>
    <mergeCell ref="H65:H66"/>
    <mergeCell ref="I65:I66"/>
    <mergeCell ref="D69:D74"/>
    <mergeCell ref="E69:E74"/>
    <mergeCell ref="F69:F74"/>
    <mergeCell ref="G69:G74"/>
    <mergeCell ref="H69:H74"/>
    <mergeCell ref="I69:I74"/>
    <mergeCell ref="O69:O70"/>
    <mergeCell ref="O73:O74"/>
    <mergeCell ref="A75:A76"/>
    <mergeCell ref="B75:B76"/>
    <mergeCell ref="C75:C76"/>
    <mergeCell ref="D75:D76"/>
    <mergeCell ref="E75:E76"/>
    <mergeCell ref="F75:F76"/>
    <mergeCell ref="G75:G76"/>
    <mergeCell ref="H75:H76"/>
    <mergeCell ref="I75:I76"/>
    <mergeCell ref="A77:A79"/>
    <mergeCell ref="B77:B79"/>
    <mergeCell ref="C77:C79"/>
    <mergeCell ref="D77:D79"/>
    <mergeCell ref="E77:E79"/>
    <mergeCell ref="F77:F79"/>
    <mergeCell ref="G77:G79"/>
    <mergeCell ref="H77:H79"/>
    <mergeCell ref="E86:E89"/>
    <mergeCell ref="G86:G89"/>
    <mergeCell ref="I86:I89"/>
    <mergeCell ref="O86:O87"/>
    <mergeCell ref="F87:F89"/>
    <mergeCell ref="E90:E91"/>
    <mergeCell ref="G90:G91"/>
    <mergeCell ref="I90:I91"/>
    <mergeCell ref="I77:I79"/>
    <mergeCell ref="O78:O79"/>
    <mergeCell ref="E82:E85"/>
    <mergeCell ref="G82:G85"/>
    <mergeCell ref="I82:I85"/>
    <mergeCell ref="O82:O84"/>
    <mergeCell ref="E105:E107"/>
    <mergeCell ref="G105:G107"/>
    <mergeCell ref="I109:I110"/>
    <mergeCell ref="O110:O112"/>
    <mergeCell ref="C114:J114"/>
    <mergeCell ref="C115:S115"/>
    <mergeCell ref="E92:E93"/>
    <mergeCell ref="R92:R93"/>
    <mergeCell ref="E94:E95"/>
    <mergeCell ref="G94:G95"/>
    <mergeCell ref="I94:I95"/>
    <mergeCell ref="E98:E104"/>
    <mergeCell ref="G98:G104"/>
    <mergeCell ref="I98:I104"/>
    <mergeCell ref="C130:C131"/>
    <mergeCell ref="D130:D131"/>
    <mergeCell ref="E130:E131"/>
    <mergeCell ref="F130:F131"/>
    <mergeCell ref="G117:G120"/>
    <mergeCell ref="I117:I120"/>
    <mergeCell ref="E118:E120"/>
    <mergeCell ref="E123:E124"/>
    <mergeCell ref="O123:O125"/>
    <mergeCell ref="E128:E129"/>
    <mergeCell ref="O128:O129"/>
    <mergeCell ref="A135:A136"/>
    <mergeCell ref="B135:B136"/>
    <mergeCell ref="C135:C136"/>
    <mergeCell ref="D135:D136"/>
    <mergeCell ref="E135:E136"/>
    <mergeCell ref="F135:F136"/>
    <mergeCell ref="S130:S131"/>
    <mergeCell ref="A132:A134"/>
    <mergeCell ref="B132:B134"/>
    <mergeCell ref="C132:C134"/>
    <mergeCell ref="D132:D134"/>
    <mergeCell ref="E132:E134"/>
    <mergeCell ref="F132:F134"/>
    <mergeCell ref="G132:G134"/>
    <mergeCell ref="H132:H134"/>
    <mergeCell ref="I132:I134"/>
    <mergeCell ref="G130:G131"/>
    <mergeCell ref="H130:H131"/>
    <mergeCell ref="O130:O131"/>
    <mergeCell ref="P130:P131"/>
    <mergeCell ref="Q130:Q131"/>
    <mergeCell ref="R130:R131"/>
    <mergeCell ref="A130:A131"/>
    <mergeCell ref="B130:B131"/>
    <mergeCell ref="G135:G136"/>
    <mergeCell ref="H135:H136"/>
    <mergeCell ref="E137:E138"/>
    <mergeCell ref="G137:G138"/>
    <mergeCell ref="I137:I138"/>
    <mergeCell ref="E139:E141"/>
    <mergeCell ref="F139:F140"/>
    <mergeCell ref="G139:G141"/>
    <mergeCell ref="I140:I141"/>
    <mergeCell ref="H143:H145"/>
    <mergeCell ref="I143:I145"/>
    <mergeCell ref="O144:O145"/>
    <mergeCell ref="E146:E147"/>
    <mergeCell ref="A150:A152"/>
    <mergeCell ref="B150:B152"/>
    <mergeCell ref="C150:C152"/>
    <mergeCell ref="D150:D152"/>
    <mergeCell ref="E150:E151"/>
    <mergeCell ref="G150:G152"/>
    <mergeCell ref="A143:A145"/>
    <mergeCell ref="B143:B145"/>
    <mergeCell ref="C143:C145"/>
    <mergeCell ref="D143:D145"/>
    <mergeCell ref="E143:E145"/>
    <mergeCell ref="G143:G149"/>
    <mergeCell ref="H150:H152"/>
    <mergeCell ref="I150:I152"/>
    <mergeCell ref="O150:O151"/>
    <mergeCell ref="A153:A155"/>
    <mergeCell ref="B153:B155"/>
    <mergeCell ref="C153:C155"/>
    <mergeCell ref="D153:D155"/>
    <mergeCell ref="E153:E154"/>
    <mergeCell ref="F153:F155"/>
    <mergeCell ref="G153:G155"/>
    <mergeCell ref="E159:E168"/>
    <mergeCell ref="F159:F161"/>
    <mergeCell ref="G159:G165"/>
    <mergeCell ref="I159:I168"/>
    <mergeCell ref="O167:O168"/>
    <mergeCell ref="G169:G170"/>
    <mergeCell ref="H153:H155"/>
    <mergeCell ref="I153:I155"/>
    <mergeCell ref="O153:O154"/>
    <mergeCell ref="C156:J156"/>
    <mergeCell ref="O156:S156"/>
    <mergeCell ref="C157:S157"/>
    <mergeCell ref="R171:R172"/>
    <mergeCell ref="S171:S172"/>
    <mergeCell ref="E174:E175"/>
    <mergeCell ref="G174:G177"/>
    <mergeCell ref="I174:I175"/>
    <mergeCell ref="O174:O175"/>
    <mergeCell ref="P174:P175"/>
    <mergeCell ref="Q174:Q175"/>
    <mergeCell ref="R174:R175"/>
    <mergeCell ref="S174:S175"/>
    <mergeCell ref="E171:E173"/>
    <mergeCell ref="G171:G173"/>
    <mergeCell ref="I171:I172"/>
    <mergeCell ref="O171:O172"/>
    <mergeCell ref="P171:P172"/>
    <mergeCell ref="Q171:Q172"/>
    <mergeCell ref="E178:E179"/>
    <mergeCell ref="G178:G179"/>
    <mergeCell ref="I178:I179"/>
    <mergeCell ref="O178:O179"/>
    <mergeCell ref="A181:A184"/>
    <mergeCell ref="B181:B184"/>
    <mergeCell ref="C181:C184"/>
    <mergeCell ref="D181:D184"/>
    <mergeCell ref="E181:E184"/>
    <mergeCell ref="F181:F184"/>
    <mergeCell ref="G181:G184"/>
    <mergeCell ref="H181:H184"/>
    <mergeCell ref="I181:I184"/>
    <mergeCell ref="E185:E186"/>
    <mergeCell ref="F185:F186"/>
    <mergeCell ref="A187:A189"/>
    <mergeCell ref="B187:B189"/>
    <mergeCell ref="C187:C189"/>
    <mergeCell ref="E187:E189"/>
    <mergeCell ref="F187:F189"/>
    <mergeCell ref="G187:G189"/>
    <mergeCell ref="I187:I189"/>
    <mergeCell ref="A190:A191"/>
    <mergeCell ref="B190:B191"/>
    <mergeCell ref="C190:C191"/>
    <mergeCell ref="E190:E192"/>
    <mergeCell ref="F190:F192"/>
    <mergeCell ref="G190:G192"/>
    <mergeCell ref="I190:I191"/>
    <mergeCell ref="G193:G195"/>
    <mergeCell ref="H193:H195"/>
    <mergeCell ref="I193:I195"/>
    <mergeCell ref="E196:E198"/>
    <mergeCell ref="F196:F198"/>
    <mergeCell ref="I196:I198"/>
    <mergeCell ref="A193:A195"/>
    <mergeCell ref="B193:B195"/>
    <mergeCell ref="C193:C195"/>
    <mergeCell ref="D193:D195"/>
    <mergeCell ref="E193:E195"/>
    <mergeCell ref="F193:F195"/>
    <mergeCell ref="G200:G202"/>
    <mergeCell ref="H200:H202"/>
    <mergeCell ref="I200:I202"/>
    <mergeCell ref="O200:O201"/>
    <mergeCell ref="C204:J204"/>
    <mergeCell ref="O204:S204"/>
    <mergeCell ref="A200:A202"/>
    <mergeCell ref="B200:B202"/>
    <mergeCell ref="C200:C202"/>
    <mergeCell ref="D200:D202"/>
    <mergeCell ref="E200:E202"/>
    <mergeCell ref="F200:F202"/>
    <mergeCell ref="G231:G232"/>
    <mergeCell ref="O231:O232"/>
    <mergeCell ref="C205:S205"/>
    <mergeCell ref="I207:I208"/>
    <mergeCell ref="D208:D215"/>
    <mergeCell ref="D216:D223"/>
    <mergeCell ref="D224:D227"/>
    <mergeCell ref="E228:E230"/>
    <mergeCell ref="G228:G230"/>
    <mergeCell ref="A233:A237"/>
    <mergeCell ref="B233:B237"/>
    <mergeCell ref="C233:C237"/>
    <mergeCell ref="D233:D237"/>
    <mergeCell ref="E233:E235"/>
    <mergeCell ref="F233:F237"/>
    <mergeCell ref="A231:A232"/>
    <mergeCell ref="B231:B232"/>
    <mergeCell ref="C231:C232"/>
    <mergeCell ref="E231:E232"/>
    <mergeCell ref="R236:R237"/>
    <mergeCell ref="S236:S237"/>
    <mergeCell ref="E238:E239"/>
    <mergeCell ref="G238:G239"/>
    <mergeCell ref="O238:O239"/>
    <mergeCell ref="E240:E242"/>
    <mergeCell ref="G240:G242"/>
    <mergeCell ref="G233:G237"/>
    <mergeCell ref="H233:H237"/>
    <mergeCell ref="O233:O234"/>
    <mergeCell ref="O236:O237"/>
    <mergeCell ref="P236:P237"/>
    <mergeCell ref="Q236:Q237"/>
    <mergeCell ref="A251:N251"/>
    <mergeCell ref="A254:J254"/>
    <mergeCell ref="A255:J255"/>
    <mergeCell ref="A256:J256"/>
    <mergeCell ref="A257:J257"/>
    <mergeCell ref="A258:J258"/>
    <mergeCell ref="O246:O247"/>
    <mergeCell ref="C248:J248"/>
    <mergeCell ref="O248:S248"/>
    <mergeCell ref="B249:J249"/>
    <mergeCell ref="O249:S249"/>
    <mergeCell ref="B250:J250"/>
    <mergeCell ref="O250:S250"/>
    <mergeCell ref="D244:D246"/>
    <mergeCell ref="E244:E247"/>
    <mergeCell ref="F244:F247"/>
    <mergeCell ref="G244:G247"/>
    <mergeCell ref="H244:H247"/>
    <mergeCell ref="I244:I247"/>
    <mergeCell ref="A271:J271"/>
    <mergeCell ref="A265:J265"/>
    <mergeCell ref="A266:J266"/>
    <mergeCell ref="A267:J267"/>
    <mergeCell ref="A268:J268"/>
    <mergeCell ref="A269:J269"/>
    <mergeCell ref="A270:J270"/>
    <mergeCell ref="A259:J259"/>
    <mergeCell ref="A260:J260"/>
    <mergeCell ref="A261:J261"/>
    <mergeCell ref="A262:J262"/>
    <mergeCell ref="A263:J263"/>
    <mergeCell ref="A264:J26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Ataskaita</vt:lpstr>
      <vt:lpstr>Priemonių suvestinė</vt:lpstr>
      <vt:lpstr>aiškinamoji lentelė 2018 m.</vt:lpstr>
      <vt:lpstr>'Priemonių suvestinė'!Print_Area</vt:lpstr>
      <vt:lpstr>'Priemonių suvestinė'!Print_Titles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2019-03-22T08:04:44Z</cp:lastPrinted>
  <dcterms:created xsi:type="dcterms:W3CDTF">2007-07-27T10:32:34Z</dcterms:created>
  <dcterms:modified xsi:type="dcterms:W3CDTF">2019-04-03T05:15:38Z</dcterms:modified>
</cp:coreProperties>
</file>