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9-2021 SVP keitimas\2019-07-25 keitimas\SPRENDIMAS\"/>
    </mc:Choice>
  </mc:AlternateContent>
  <bookViews>
    <workbookView xWindow="0" yWindow="0" windowWidth="28800" windowHeight="12300" tabRatio="723"/>
  </bookViews>
  <sheets>
    <sheet name="10 programa" sheetId="48" r:id="rId1"/>
    <sheet name="Lyginamasis" sheetId="53" state="hidden" r:id="rId2"/>
    <sheet name="Aiškinamoji lentelė" sheetId="44" state="hidden" r:id="rId3"/>
    <sheet name="LITNET" sheetId="50" state="hidden" r:id="rId4"/>
    <sheet name="Priešgaisrinė sauga" sheetId="51" state="hidden" r:id="rId5"/>
    <sheet name="Elektros instaliacijos remontas" sheetId="52" state="hidden" r:id="rId6"/>
    <sheet name="Sanitarinių patalpų remontas" sheetId="49" state="hidden" r:id="rId7"/>
    <sheet name="01.01.02 priemonė " sheetId="47" state="hidden" r:id="rId8"/>
  </sheets>
  <definedNames>
    <definedName name="_xlnm.Print_Area" localSheetId="0">'10 programa'!$A$1:$P$246</definedName>
    <definedName name="_xlnm.Print_Area" localSheetId="2">'Aiškinamoji lentelė'!$A$1:$S$269</definedName>
    <definedName name="_xlnm.Print_Area" localSheetId="1">Lyginamasis!$A$1:$W$250</definedName>
    <definedName name="_xlnm.Print_Titles" localSheetId="0">'10 programa'!$6:$8</definedName>
    <definedName name="_xlnm.Print_Titles" localSheetId="2">'Aiškinamoji lentelė'!$6:$8</definedName>
    <definedName name="_xlnm.Print_Titles" localSheetId="1">Lyginamasis!$6:$8</definedName>
  </definedNames>
  <calcPr calcId="162913"/>
</workbook>
</file>

<file path=xl/calcChain.xml><?xml version="1.0" encoding="utf-8"?>
<calcChain xmlns="http://schemas.openxmlformats.org/spreadsheetml/2006/main">
  <c r="K244" i="48" l="1"/>
  <c r="J244" i="48"/>
  <c r="L243" i="48"/>
  <c r="K243" i="48"/>
  <c r="K242" i="48" s="1"/>
  <c r="L242" i="48"/>
  <c r="L241" i="48"/>
  <c r="K241" i="48"/>
  <c r="J241" i="48"/>
  <c r="L240" i="48"/>
  <c r="K240" i="48"/>
  <c r="J240" i="48"/>
  <c r="L239" i="48"/>
  <c r="K239" i="48"/>
  <c r="J239" i="48"/>
  <c r="L238" i="48"/>
  <c r="K238" i="48"/>
  <c r="L237" i="48"/>
  <c r="K237" i="48"/>
  <c r="J237" i="48"/>
  <c r="L236" i="48"/>
  <c r="K236" i="48"/>
  <c r="J236" i="48"/>
  <c r="K234" i="48"/>
  <c r="J234" i="48"/>
  <c r="L233" i="48"/>
  <c r="K233" i="48"/>
  <c r="J233" i="48"/>
  <c r="L224" i="48"/>
  <c r="K224" i="48"/>
  <c r="J211" i="48"/>
  <c r="J224" i="48" s="1"/>
  <c r="J209" i="48"/>
  <c r="J208" i="48"/>
  <c r="J206" i="48"/>
  <c r="L205" i="48"/>
  <c r="L225" i="48" s="1"/>
  <c r="K205" i="48"/>
  <c r="J205" i="48"/>
  <c r="L203" i="48"/>
  <c r="K203" i="48"/>
  <c r="K225" i="48" s="1"/>
  <c r="P193" i="48"/>
  <c r="P190" i="48"/>
  <c r="P188" i="48"/>
  <c r="J184" i="48"/>
  <c r="J203" i="48" s="1"/>
  <c r="J225" i="48" s="1"/>
  <c r="J182" i="48"/>
  <c r="K181" i="48"/>
  <c r="J181" i="48"/>
  <c r="L179" i="48"/>
  <c r="L181" i="48" s="1"/>
  <c r="L182" i="48" s="1"/>
  <c r="K179" i="48"/>
  <c r="K173" i="48"/>
  <c r="K182" i="48" s="1"/>
  <c r="J173" i="48"/>
  <c r="L169" i="48"/>
  <c r="K169" i="48"/>
  <c r="J169" i="48"/>
  <c r="K160" i="48"/>
  <c r="J160" i="48"/>
  <c r="L154" i="48"/>
  <c r="L234" i="48" s="1"/>
  <c r="J151" i="48"/>
  <c r="K150" i="48"/>
  <c r="J150" i="48"/>
  <c r="L135" i="48"/>
  <c r="L150" i="48" s="1"/>
  <c r="J126" i="48"/>
  <c r="J110" i="48"/>
  <c r="J238" i="48" s="1"/>
  <c r="L109" i="48"/>
  <c r="L134" i="48" s="1"/>
  <c r="K109" i="48"/>
  <c r="K134" i="48" s="1"/>
  <c r="J109" i="48"/>
  <c r="J134" i="48" s="1"/>
  <c r="L108" i="48"/>
  <c r="K108" i="48"/>
  <c r="J108" i="48"/>
  <c r="L101" i="48"/>
  <c r="K101" i="48"/>
  <c r="L99" i="48"/>
  <c r="K99" i="48"/>
  <c r="J99" i="48"/>
  <c r="L97" i="48"/>
  <c r="K97" i="48"/>
  <c r="J97" i="48"/>
  <c r="L95" i="48"/>
  <c r="K95" i="48"/>
  <c r="J95" i="48"/>
  <c r="L92" i="48"/>
  <c r="K92" i="48"/>
  <c r="J92" i="48"/>
  <c r="L90" i="48"/>
  <c r="K90" i="48"/>
  <c r="J90" i="48"/>
  <c r="L84" i="48"/>
  <c r="K84" i="48"/>
  <c r="J84" i="48"/>
  <c r="J88" i="48" s="1"/>
  <c r="K83" i="48"/>
  <c r="K88" i="48" s="1"/>
  <c r="P41" i="48"/>
  <c r="O41" i="48"/>
  <c r="N41" i="48"/>
  <c r="L15" i="48"/>
  <c r="K15" i="48"/>
  <c r="J15" i="48"/>
  <c r="J235" i="48" s="1"/>
  <c r="L13" i="48"/>
  <c r="K13" i="48"/>
  <c r="K232" i="48" s="1"/>
  <c r="J13" i="48"/>
  <c r="L81" i="48" l="1"/>
  <c r="L160" i="48"/>
  <c r="K170" i="48"/>
  <c r="L170" i="48"/>
  <c r="L226" i="48" s="1"/>
  <c r="J232" i="48"/>
  <c r="J231" i="48" s="1"/>
  <c r="J230" i="48" s="1"/>
  <c r="K81" i="48"/>
  <c r="K102" i="48"/>
  <c r="K103" i="48" s="1"/>
  <c r="K226" i="48"/>
  <c r="K227" i="48" s="1"/>
  <c r="J170" i="48"/>
  <c r="J226" i="48" s="1"/>
  <c r="J243" i="48"/>
  <c r="J242" i="48" s="1"/>
  <c r="J245" i="48" s="1"/>
  <c r="J81" i="48"/>
  <c r="J102" i="48" s="1"/>
  <c r="J103" i="48" s="1"/>
  <c r="L83" i="48"/>
  <c r="L232" i="48"/>
  <c r="K235" i="48"/>
  <c r="K231" i="48" s="1"/>
  <c r="K230" i="48" s="1"/>
  <c r="K245" i="48" s="1"/>
  <c r="K206" i="53"/>
  <c r="J227" i="48" l="1"/>
  <c r="L88" i="48"/>
  <c r="L102" i="48" s="1"/>
  <c r="L103" i="48" s="1"/>
  <c r="L227" i="48" s="1"/>
  <c r="L235" i="48"/>
  <c r="L231" i="48" s="1"/>
  <c r="L230" i="48" s="1"/>
  <c r="L245" i="48" s="1"/>
  <c r="K227" i="53"/>
  <c r="L227" i="53"/>
  <c r="J227" i="53"/>
  <c r="J247" i="53"/>
  <c r="J245" i="53" s="1"/>
  <c r="J246" i="53"/>
  <c r="J244" i="53"/>
  <c r="J242" i="53"/>
  <c r="J241" i="53"/>
  <c r="J240" i="53"/>
  <c r="J239" i="53"/>
  <c r="J238" i="53"/>
  <c r="J237" i="53"/>
  <c r="J236" i="53"/>
  <c r="J235" i="53"/>
  <c r="K136" i="53"/>
  <c r="L136" i="53"/>
  <c r="M136" i="53"/>
  <c r="N136" i="53"/>
  <c r="O136" i="53"/>
  <c r="P136" i="53"/>
  <c r="Q136" i="53"/>
  <c r="R136" i="53"/>
  <c r="J136" i="53"/>
  <c r="J206" i="53"/>
  <c r="L109" i="53" l="1"/>
  <c r="K109" i="53"/>
  <c r="L122" i="53"/>
  <c r="L123" i="53"/>
  <c r="L110" i="53"/>
  <c r="K110" i="53"/>
  <c r="K242" i="53" l="1"/>
  <c r="K214" i="53" l="1"/>
  <c r="L214" i="53" s="1"/>
  <c r="L216" i="53"/>
  <c r="L215" i="53"/>
  <c r="K212" i="53"/>
  <c r="K13" i="53" l="1"/>
  <c r="L209" i="53"/>
  <c r="L211" i="53" s="1"/>
  <c r="K186" i="53" l="1"/>
  <c r="K188" i="53"/>
  <c r="L188" i="53" s="1"/>
  <c r="L205" i="53"/>
  <c r="K189" i="53"/>
  <c r="L189" i="53" s="1"/>
  <c r="L224" i="53" l="1"/>
  <c r="L223" i="53"/>
  <c r="L222" i="53" l="1"/>
  <c r="L221" i="53"/>
  <c r="K217" i="53" l="1"/>
  <c r="K201" i="53"/>
  <c r="L201" i="53" s="1"/>
  <c r="K128" i="53"/>
  <c r="L128" i="53" s="1"/>
  <c r="K130" i="53"/>
  <c r="L130" i="53" s="1"/>
  <c r="L217" i="53" l="1"/>
  <c r="L163" i="53"/>
  <c r="L171" i="53" s="1"/>
  <c r="L98" i="53"/>
  <c r="L99" i="53" s="1"/>
  <c r="L17" i="53"/>
  <c r="J13" i="53"/>
  <c r="L13" i="53" s="1"/>
  <c r="J243" i="53" l="1"/>
  <c r="K243" i="53"/>
  <c r="J211" i="53"/>
  <c r="J208" i="53"/>
  <c r="P109" i="53"/>
  <c r="M109" i="53"/>
  <c r="J153" i="53"/>
  <c r="J152" i="53"/>
  <c r="J109" i="53"/>
  <c r="J97" i="53"/>
  <c r="J95" i="53"/>
  <c r="J92" i="53"/>
  <c r="J90" i="53"/>
  <c r="J84" i="53"/>
  <c r="J88" i="53" s="1"/>
  <c r="J15" i="53"/>
  <c r="J81" i="53" s="1"/>
  <c r="L243" i="53" l="1"/>
  <c r="Q109" i="53" l="1"/>
  <c r="N109" i="53" l="1"/>
  <c r="O109" i="53" l="1"/>
  <c r="R109" i="53"/>
  <c r="Q247" i="53"/>
  <c r="P247" i="53"/>
  <c r="R246" i="53"/>
  <c r="Q246" i="53"/>
  <c r="Q245" i="53" s="1"/>
  <c r="P246" i="53"/>
  <c r="R240" i="53"/>
  <c r="R239" i="53"/>
  <c r="R238" i="53"/>
  <c r="R237" i="53"/>
  <c r="R236" i="53"/>
  <c r="O239" i="53"/>
  <c r="O240" i="53"/>
  <c r="O238" i="53"/>
  <c r="O236" i="53"/>
  <c r="O235" i="53"/>
  <c r="Q240" i="53"/>
  <c r="Q239" i="53"/>
  <c r="Q237" i="53"/>
  <c r="Q236" i="53"/>
  <c r="R227" i="53"/>
  <c r="R208" i="53"/>
  <c r="R206" i="53"/>
  <c r="R183" i="53"/>
  <c r="R184" i="53" s="1"/>
  <c r="R171" i="53"/>
  <c r="R162" i="53"/>
  <c r="R152" i="53"/>
  <c r="R108" i="53"/>
  <c r="R101" i="53"/>
  <c r="R99" i="53"/>
  <c r="R97" i="53"/>
  <c r="R95" i="53"/>
  <c r="R92" i="53"/>
  <c r="R90" i="53"/>
  <c r="R88" i="53"/>
  <c r="R81" i="53"/>
  <c r="Q227" i="53"/>
  <c r="Q208" i="53"/>
  <c r="Q206" i="53"/>
  <c r="Q181" i="53"/>
  <c r="Q183" i="53" s="1"/>
  <c r="Q184" i="53" s="1"/>
  <c r="Q171" i="53"/>
  <c r="Q156" i="53"/>
  <c r="Q162" i="53" s="1"/>
  <c r="Q137" i="53"/>
  <c r="Q152" i="53" s="1"/>
  <c r="Q108" i="53"/>
  <c r="Q101" i="53"/>
  <c r="Q99" i="53"/>
  <c r="Q97" i="53"/>
  <c r="Q95" i="53"/>
  <c r="Q92" i="53"/>
  <c r="Q90" i="53"/>
  <c r="Q84" i="53"/>
  <c r="Q15" i="53"/>
  <c r="Q13" i="53"/>
  <c r="O237" i="53"/>
  <c r="N247" i="53"/>
  <c r="N246" i="53"/>
  <c r="N240" i="53"/>
  <c r="N239" i="53"/>
  <c r="N237" i="53"/>
  <c r="N236" i="53"/>
  <c r="O227" i="53"/>
  <c r="O208" i="53"/>
  <c r="O206" i="53"/>
  <c r="O183" i="53"/>
  <c r="O175" i="53"/>
  <c r="O171" i="53"/>
  <c r="O162" i="53"/>
  <c r="O152" i="53"/>
  <c r="O108" i="53"/>
  <c r="O101" i="53"/>
  <c r="O99" i="53"/>
  <c r="O97" i="53"/>
  <c r="O95" i="53"/>
  <c r="O92" i="53"/>
  <c r="O90" i="53"/>
  <c r="O88" i="53"/>
  <c r="O81" i="53"/>
  <c r="N227" i="53"/>
  <c r="N208" i="53"/>
  <c r="N206" i="53"/>
  <c r="N181" i="53"/>
  <c r="N183" i="53" s="1"/>
  <c r="N175" i="53"/>
  <c r="N171" i="53"/>
  <c r="N162" i="53"/>
  <c r="N152" i="53"/>
  <c r="N108" i="53"/>
  <c r="N101" i="53"/>
  <c r="N99" i="53"/>
  <c r="N97" i="53"/>
  <c r="N95" i="53"/>
  <c r="N92" i="53"/>
  <c r="N90" i="53"/>
  <c r="N84" i="53"/>
  <c r="N83" i="53"/>
  <c r="N88" i="53" s="1"/>
  <c r="N15" i="53"/>
  <c r="N13" i="53"/>
  <c r="R235" i="53" l="1"/>
  <c r="N184" i="53"/>
  <c r="N81" i="53"/>
  <c r="Q81" i="53"/>
  <c r="Q235" i="53"/>
  <c r="N228" i="53"/>
  <c r="Q228" i="53"/>
  <c r="R228" i="53"/>
  <c r="N238" i="53"/>
  <c r="N235" i="53"/>
  <c r="Q83" i="53"/>
  <c r="R172" i="53"/>
  <c r="R229" i="53" s="1"/>
  <c r="O172" i="53"/>
  <c r="R102" i="53"/>
  <c r="R103" i="53" s="1"/>
  <c r="Q172" i="53"/>
  <c r="Q229" i="53" s="1"/>
  <c r="O228" i="53"/>
  <c r="O184" i="53"/>
  <c r="O102" i="53"/>
  <c r="O103" i="53" s="1"/>
  <c r="N102" i="53"/>
  <c r="N103" i="53" s="1"/>
  <c r="Q88" i="53" l="1"/>
  <c r="Q102" i="53" s="1"/>
  <c r="Q103" i="53" s="1"/>
  <c r="Q230" i="53" s="1"/>
  <c r="Q238" i="53"/>
  <c r="Q233" i="53" s="1"/>
  <c r="Q248" i="53" s="1"/>
  <c r="R230" i="53"/>
  <c r="O229" i="53"/>
  <c r="O230" i="53" s="1"/>
  <c r="K152" i="53"/>
  <c r="K247" i="53"/>
  <c r="K246" i="53"/>
  <c r="K244" i="53"/>
  <c r="K241" i="53"/>
  <c r="K240" i="53"/>
  <c r="K239" i="53"/>
  <c r="K237" i="53"/>
  <c r="K236" i="53"/>
  <c r="L213" i="53"/>
  <c r="L212" i="53"/>
  <c r="L186" i="53"/>
  <c r="K183" i="53"/>
  <c r="L162" i="53"/>
  <c r="Q234" i="53" l="1"/>
  <c r="L244" i="53"/>
  <c r="L241" i="53"/>
  <c r="K245" i="53"/>
  <c r="V41" i="53"/>
  <c r="L81" i="53"/>
  <c r="L88" i="53" l="1"/>
  <c r="L102" i="53" s="1"/>
  <c r="L103" i="53" s="1"/>
  <c r="L172" i="53"/>
  <c r="K211" i="53" l="1"/>
  <c r="K208" i="53"/>
  <c r="K175" i="53"/>
  <c r="K171" i="53"/>
  <c r="K153" i="53"/>
  <c r="K108" i="53"/>
  <c r="K99" i="53"/>
  <c r="K97" i="53"/>
  <c r="K95" i="53"/>
  <c r="K92" i="53"/>
  <c r="K90" i="53"/>
  <c r="K84" i="53"/>
  <c r="K15" i="53"/>
  <c r="K238" i="53" s="1"/>
  <c r="M247" i="53"/>
  <c r="P245" i="53"/>
  <c r="M246" i="53"/>
  <c r="P240" i="53"/>
  <c r="M240" i="53"/>
  <c r="L240" i="53"/>
  <c r="P239" i="53"/>
  <c r="M239" i="53"/>
  <c r="L239" i="53"/>
  <c r="M237" i="53"/>
  <c r="L237" i="53"/>
  <c r="P236" i="53"/>
  <c r="M236" i="53"/>
  <c r="L236" i="53"/>
  <c r="P227" i="53"/>
  <c r="M227" i="53"/>
  <c r="P208" i="53"/>
  <c r="M208" i="53"/>
  <c r="P206" i="53"/>
  <c r="M206" i="53"/>
  <c r="J183" i="53"/>
  <c r="P181" i="53"/>
  <c r="P183" i="53" s="1"/>
  <c r="P184" i="53" s="1"/>
  <c r="M181" i="53"/>
  <c r="M183" i="53" s="1"/>
  <c r="M175" i="53"/>
  <c r="J175" i="53"/>
  <c r="J184" i="53" s="1"/>
  <c r="P171" i="53"/>
  <c r="M171" i="53"/>
  <c r="J171" i="53"/>
  <c r="M162" i="53"/>
  <c r="P156" i="53"/>
  <c r="P237" i="53" s="1"/>
  <c r="J162" i="53"/>
  <c r="M152" i="53"/>
  <c r="P137" i="53"/>
  <c r="P152" i="53" s="1"/>
  <c r="P108" i="53"/>
  <c r="M108" i="53"/>
  <c r="J108" i="53"/>
  <c r="P101" i="53"/>
  <c r="M101" i="53"/>
  <c r="P99" i="53"/>
  <c r="M99" i="53"/>
  <c r="J99" i="53"/>
  <c r="P97" i="53"/>
  <c r="M97" i="53"/>
  <c r="P95" i="53"/>
  <c r="M95" i="53"/>
  <c r="P92" i="53"/>
  <c r="M92" i="53"/>
  <c r="P90" i="53"/>
  <c r="M90" i="53"/>
  <c r="P84" i="53"/>
  <c r="M84" i="53"/>
  <c r="M83" i="53"/>
  <c r="U41" i="53"/>
  <c r="T41" i="53"/>
  <c r="P15" i="53"/>
  <c r="M15" i="53"/>
  <c r="P13" i="53"/>
  <c r="P235" i="53" s="1"/>
  <c r="M13" i="53"/>
  <c r="K162" i="53" l="1"/>
  <c r="L238" i="53"/>
  <c r="K88" i="53"/>
  <c r="K235" i="53"/>
  <c r="K234" i="53" s="1"/>
  <c r="K233" i="53" s="1"/>
  <c r="L242" i="53"/>
  <c r="L187" i="53"/>
  <c r="L206" i="53" s="1"/>
  <c r="P228" i="53"/>
  <c r="P81" i="53"/>
  <c r="M245" i="53"/>
  <c r="M184" i="53"/>
  <c r="K184" i="53"/>
  <c r="M88" i="53"/>
  <c r="M228" i="53"/>
  <c r="K81" i="53"/>
  <c r="J228" i="53"/>
  <c r="M81" i="53"/>
  <c r="M235" i="53"/>
  <c r="P162" i="53"/>
  <c r="P172" i="53" s="1"/>
  <c r="P229" i="53" s="1"/>
  <c r="K228" i="53"/>
  <c r="K172" i="53"/>
  <c r="M172" i="53"/>
  <c r="J102" i="53"/>
  <c r="J103" i="53" s="1"/>
  <c r="P83" i="53"/>
  <c r="P88" i="53" s="1"/>
  <c r="P102" i="53" s="1"/>
  <c r="P103" i="53" s="1"/>
  <c r="J172" i="53"/>
  <c r="M238" i="53"/>
  <c r="L235" i="53" l="1"/>
  <c r="L234" i="53" s="1"/>
  <c r="L233" i="53" s="1"/>
  <c r="K102" i="53"/>
  <c r="K103" i="53" s="1"/>
  <c r="L228" i="53"/>
  <c r="L229" i="53" s="1"/>
  <c r="L230" i="53" s="1"/>
  <c r="R245" i="53"/>
  <c r="M234" i="53"/>
  <c r="J234" i="53"/>
  <c r="J233" i="53" s="1"/>
  <c r="J248" i="53" s="1"/>
  <c r="J229" i="53"/>
  <c r="J230" i="53" s="1"/>
  <c r="M102" i="53"/>
  <c r="M103" i="53" s="1"/>
  <c r="K229" i="53"/>
  <c r="M229" i="53"/>
  <c r="P230" i="53"/>
  <c r="P238" i="53"/>
  <c r="P233" i="53" s="1"/>
  <c r="P248" i="53" s="1"/>
  <c r="M233" i="53"/>
  <c r="M248" i="53" s="1"/>
  <c r="O247" i="53" l="1"/>
  <c r="O246" i="53"/>
  <c r="K230" i="53"/>
  <c r="M230" i="53"/>
  <c r="R233" i="53"/>
  <c r="R248" i="53" s="1"/>
  <c r="R234" i="53"/>
  <c r="O234" i="53"/>
  <c r="O233" i="53"/>
  <c r="N234" i="53"/>
  <c r="N233" i="53"/>
  <c r="N245" i="53"/>
  <c r="P234" i="53"/>
  <c r="L248" i="53"/>
  <c r="K248" i="53"/>
  <c r="O245" i="53" l="1"/>
  <c r="O248" i="53" s="1"/>
  <c r="N248" i="53"/>
  <c r="L86" i="44"/>
  <c r="M37" i="44" l="1"/>
  <c r="L37" i="44"/>
  <c r="N38" i="44" l="1"/>
  <c r="M38" i="44"/>
  <c r="L25" i="44"/>
  <c r="M265" i="44" l="1"/>
  <c r="L265" i="44"/>
  <c r="L83" i="44" l="1"/>
  <c r="L226" i="44" l="1"/>
  <c r="N154" i="44" l="1"/>
  <c r="N165" i="44" l="1"/>
  <c r="M165" i="44"/>
  <c r="K165" i="44"/>
  <c r="N228" i="44" l="1"/>
  <c r="L231" i="44" l="1"/>
  <c r="M231" i="44"/>
  <c r="N231" i="44"/>
  <c r="K231" i="44"/>
  <c r="N86" i="44" l="1"/>
  <c r="M86" i="44"/>
  <c r="N196" i="44"/>
  <c r="M196" i="44"/>
  <c r="L212" i="44" l="1"/>
  <c r="M139" i="44"/>
  <c r="N115" i="44" l="1"/>
  <c r="M115" i="44"/>
  <c r="L115" i="44"/>
  <c r="M249" i="44" l="1"/>
  <c r="K207" i="44" l="1"/>
  <c r="L94" i="44"/>
  <c r="M198" i="44"/>
  <c r="K266" i="44"/>
  <c r="K265" i="44"/>
  <c r="K263" i="44"/>
  <c r="K262" i="44"/>
  <c r="K260" i="44"/>
  <c r="K259" i="44"/>
  <c r="K257" i="44"/>
  <c r="L198" i="44"/>
  <c r="N198" i="44"/>
  <c r="N208" i="44" s="1"/>
  <c r="K174" i="44"/>
  <c r="K102" i="44"/>
  <c r="K94" i="44"/>
  <c r="L236" i="44" l="1"/>
  <c r="L238" i="44"/>
  <c r="L249" i="44" l="1"/>
  <c r="M53" i="44"/>
  <c r="N53" i="44" s="1"/>
  <c r="M28" i="44"/>
  <c r="N28" i="44" s="1"/>
  <c r="L23" i="44"/>
  <c r="M23" i="44" l="1"/>
  <c r="N23" i="44" s="1"/>
  <c r="N129" i="44"/>
  <c r="L221" i="44" l="1"/>
  <c r="L228" i="44" s="1"/>
  <c r="L168" i="44" l="1"/>
  <c r="M54" i="44" l="1"/>
  <c r="N54" i="44" s="1"/>
  <c r="M51" i="44"/>
  <c r="N51" i="44" s="1"/>
  <c r="M45" i="44"/>
  <c r="N45" i="44" s="1"/>
  <c r="M24" i="44"/>
  <c r="N24" i="44" s="1"/>
  <c r="M21" i="44"/>
  <c r="N21" i="44" s="1"/>
  <c r="M14" i="44"/>
  <c r="N14" i="44" s="1"/>
  <c r="M188" i="44" l="1"/>
  <c r="M208" i="44" s="1"/>
  <c r="M184" i="44"/>
  <c r="E175" i="47" l="1"/>
  <c r="E144" i="47"/>
  <c r="E124" i="47"/>
  <c r="E89" i="47"/>
  <c r="E65" i="47"/>
  <c r="E51" i="47"/>
  <c r="E17" i="47"/>
  <c r="E177" i="47" l="1"/>
  <c r="N173" i="44" l="1"/>
  <c r="M259" i="44"/>
  <c r="M174" i="44"/>
  <c r="L159" i="44"/>
  <c r="L165" i="44" s="1"/>
  <c r="N174" i="44" l="1"/>
  <c r="L179" i="44" l="1"/>
  <c r="L184" i="44" s="1"/>
  <c r="N37" i="44"/>
  <c r="K182" i="44" l="1"/>
  <c r="K184" i="44" s="1"/>
  <c r="K28" i="44" l="1"/>
  <c r="K25" i="44"/>
  <c r="K22" i="44"/>
  <c r="K190" i="44" l="1"/>
  <c r="K198" i="44" s="1"/>
  <c r="N96" i="44" l="1"/>
  <c r="N104" i="44"/>
  <c r="L174" i="44"/>
  <c r="L102" i="44"/>
  <c r="N263" i="44"/>
  <c r="N262" i="44"/>
  <c r="N259" i="44"/>
  <c r="M266" i="44"/>
  <c r="M263" i="44"/>
  <c r="M262" i="44"/>
  <c r="L266" i="44"/>
  <c r="L263" i="44"/>
  <c r="L262" i="44"/>
  <c r="L259" i="44"/>
  <c r="L258" i="44"/>
  <c r="L257" i="44"/>
  <c r="N184" i="44"/>
  <c r="M151" i="44"/>
  <c r="N151" i="44"/>
  <c r="K108" i="44"/>
  <c r="N264" i="44" l="1"/>
  <c r="M264" i="44"/>
  <c r="L264" i="44"/>
  <c r="N249" i="44" l="1"/>
  <c r="K241" i="44"/>
  <c r="K238" i="44"/>
  <c r="K249" i="44" s="1"/>
  <c r="M228" i="44"/>
  <c r="S222" i="44"/>
  <c r="Q218" i="44"/>
  <c r="S218" i="44" s="1"/>
  <c r="K218" i="44"/>
  <c r="Q217" i="44"/>
  <c r="Q215" i="44"/>
  <c r="S215" i="44" s="1"/>
  <c r="S213" i="44"/>
  <c r="K212" i="44"/>
  <c r="K228" i="44" l="1"/>
  <c r="M185" i="44"/>
  <c r="N185" i="44"/>
  <c r="K132" i="44" l="1"/>
  <c r="L119" i="44"/>
  <c r="M250" i="44"/>
  <c r="N250" i="44"/>
  <c r="L151" i="44" l="1"/>
  <c r="L185" i="44" s="1"/>
  <c r="K151" i="44"/>
  <c r="K185" i="44" s="1"/>
  <c r="K256" i="44"/>
  <c r="L256" i="44"/>
  <c r="N251" i="44"/>
  <c r="N108" i="44"/>
  <c r="N106" i="44"/>
  <c r="M106" i="44"/>
  <c r="L106" i="44"/>
  <c r="K106" i="44"/>
  <c r="N102" i="44"/>
  <c r="M102" i="44"/>
  <c r="N98" i="44"/>
  <c r="M85" i="44"/>
  <c r="N85" i="44" s="1"/>
  <c r="N94" i="44" s="1"/>
  <c r="M94" i="44" l="1"/>
  <c r="K79" i="44"/>
  <c r="M78" i="44"/>
  <c r="N78" i="44" s="1"/>
  <c r="K52" i="44"/>
  <c r="S40" i="44"/>
  <c r="R40" i="44"/>
  <c r="Q40" i="44"/>
  <c r="M40" i="44"/>
  <c r="M83" i="44" s="1"/>
  <c r="K40" i="44"/>
  <c r="K31" i="44"/>
  <c r="K18" i="44"/>
  <c r="K17" i="44"/>
  <c r="K258" i="44" s="1"/>
  <c r="K15" i="44"/>
  <c r="M108" i="44"/>
  <c r="M104" i="44"/>
  <c r="M98" i="44"/>
  <c r="M96" i="44"/>
  <c r="K83" i="44" l="1"/>
  <c r="K261" i="44"/>
  <c r="K255" i="44" s="1"/>
  <c r="L261" i="44"/>
  <c r="L255" i="44" s="1"/>
  <c r="L267" i="44" s="1"/>
  <c r="N261" i="44"/>
  <c r="M261" i="44"/>
  <c r="N40" i="44"/>
  <c r="N258" i="44" s="1"/>
  <c r="M258" i="44"/>
  <c r="N256" i="44"/>
  <c r="M256" i="44"/>
  <c r="N83" i="44"/>
  <c r="M251" i="44"/>
  <c r="N109" i="44" l="1"/>
  <c r="N110" i="44" s="1"/>
  <c r="N252" i="44" s="1"/>
  <c r="M255" i="44"/>
  <c r="M267" i="44" s="1"/>
  <c r="M109" i="44"/>
  <c r="M110" i="44" s="1"/>
  <c r="M252" i="44" s="1"/>
  <c r="N255" i="44"/>
  <c r="N267" i="44" s="1"/>
  <c r="K264" i="44" l="1"/>
  <c r="K267" i="44" l="1"/>
  <c r="L233" i="44" l="1"/>
  <c r="L250" i="44" s="1"/>
  <c r="K233" i="44"/>
  <c r="K250" i="44" s="1"/>
  <c r="L188" i="44"/>
  <c r="L208" i="44" s="1"/>
  <c r="K188" i="44"/>
  <c r="K208" i="44" s="1"/>
  <c r="L108" i="44"/>
  <c r="L104" i="44"/>
  <c r="K104" i="44"/>
  <c r="L98" i="44"/>
  <c r="K98" i="44"/>
  <c r="L96" i="44"/>
  <c r="K96" i="44"/>
  <c r="K251" i="44" l="1"/>
  <c r="K109" i="44"/>
  <c r="L109" i="44"/>
  <c r="L251" i="44"/>
  <c r="L110" i="44" l="1"/>
  <c r="L252" i="44" s="1"/>
  <c r="K110" i="44" l="1"/>
  <c r="K252" i="44" s="1"/>
  <c r="N172" i="53"/>
  <c r="N229" i="53" s="1"/>
  <c r="N230" i="53" s="1"/>
</calcChain>
</file>

<file path=xl/comments1.xml><?xml version="1.0" encoding="utf-8"?>
<comments xmlns="http://schemas.openxmlformats.org/spreadsheetml/2006/main">
  <authors>
    <author>Snieguole Kacerauskaite</author>
    <author>Inga Mikalauskiene</author>
  </authors>
  <commentList>
    <comment ref="N24" authorId="0" shapeId="0">
      <text>
        <r>
          <rPr>
            <sz val="9"/>
            <color indexed="81"/>
            <rFont val="Tahoma"/>
            <family val="2"/>
            <charset val="186"/>
          </rPr>
          <t>VšĮ: Mažųjų pasaulis, Jūros žvaigždutė, Pasakėlė, Vaikų giraitė, Saulė ir mėnulis, Laimingų vaikų pilis, Niektauza</t>
        </r>
      </text>
    </comment>
    <comment ref="G68" authorId="0" shapeId="0">
      <text>
        <r>
          <rPr>
            <sz val="9"/>
            <color indexed="81"/>
            <rFont val="Tahoma"/>
            <family val="2"/>
            <charset val="186"/>
          </rPr>
          <t>"Diegti ir plėtoti nuotolinį mokymą užtikrinant nuosekliojo ir nepertraukiamo mokymosi galimybes pagal bendrojo ugdymo programas"</t>
        </r>
      </text>
    </comment>
    <comment ref="G93" authorId="0" shapeId="0">
      <text>
        <r>
          <rPr>
            <sz val="9"/>
            <color indexed="81"/>
            <rFont val="Tahoma"/>
            <family val="2"/>
            <charset val="186"/>
          </rPr>
          <t>"Didinti švietimo ir kitų paslaugų mokiniui prieinamumą ir kompleksiškumą diegiant e. paslaugas"</t>
        </r>
      </text>
    </comment>
    <comment ref="N128" authorId="0" shapeId="0">
      <text>
        <r>
          <rPr>
            <sz val="9"/>
            <color indexed="81"/>
            <rFont val="Tahoma"/>
            <family val="2"/>
            <charset val="186"/>
          </rPr>
          <t xml:space="preserve">Verdenės progimnazija (377,2 t.€)
Simono Dacho progimnazija (250 t.€)
</t>
        </r>
        <r>
          <rPr>
            <u/>
            <sz val="9"/>
            <color indexed="81"/>
            <rFont val="Tahoma"/>
            <family val="2"/>
            <charset val="186"/>
          </rPr>
          <t>„Vyturio“ progimnazija (123 t.€)</t>
        </r>
        <r>
          <rPr>
            <sz val="9"/>
            <color indexed="81"/>
            <rFont val="Tahoma"/>
            <family val="2"/>
            <charset val="186"/>
          </rPr>
          <t xml:space="preserve">
Iš viso: 750,2 t. €</t>
        </r>
      </text>
    </comment>
    <comment ref="O128" authorId="0" shapeId="0">
      <text>
        <r>
          <rPr>
            <sz val="9"/>
            <color indexed="81"/>
            <rFont val="Tahoma"/>
            <family val="2"/>
            <charset val="186"/>
          </rPr>
          <t xml:space="preserve">Vitės pagrindinė mokykla - 600 t. € (tech.projektą darys KLASCO) 
</t>
        </r>
        <r>
          <rPr>
            <u/>
            <sz val="9"/>
            <color indexed="81"/>
            <rFont val="Tahoma"/>
            <family val="2"/>
            <charset val="186"/>
          </rPr>
          <t>Maksimo Gorkio progimnazija - 270 t. Eur</t>
        </r>
        <r>
          <rPr>
            <sz val="9"/>
            <color indexed="81"/>
            <rFont val="Tahoma"/>
            <family val="2"/>
            <charset val="186"/>
          </rPr>
          <t xml:space="preserve"> 
Iš viso: 870 tūkst. Eur</t>
        </r>
      </text>
    </comment>
    <comment ref="P128" authorId="0" shapeId="0">
      <text>
        <r>
          <rPr>
            <sz val="9"/>
            <color indexed="81"/>
            <rFont val="Tahoma"/>
            <family val="2"/>
            <charset val="186"/>
          </rPr>
          <t>Sendvario progimnazija - 520  t. €
H. Zudermano</t>
        </r>
        <r>
          <rPr>
            <u/>
            <sz val="9"/>
            <color indexed="81"/>
            <rFont val="Tahoma"/>
            <family val="2"/>
            <charset val="186"/>
          </rPr>
          <t xml:space="preserve"> gimnazija - 670  t. €</t>
        </r>
        <r>
          <rPr>
            <b/>
            <sz val="9"/>
            <color indexed="81"/>
            <rFont val="Tahoma"/>
            <family val="2"/>
            <charset val="186"/>
          </rPr>
          <t xml:space="preserve">
</t>
        </r>
        <r>
          <rPr>
            <sz val="9"/>
            <color indexed="81"/>
            <rFont val="Tahoma"/>
            <family val="2"/>
            <charset val="186"/>
          </rPr>
          <t>Iš viso: 1190 tūkst. Eur</t>
        </r>
      </text>
    </comment>
    <comment ref="N129" authorId="0" shapeId="0">
      <text>
        <r>
          <rPr>
            <sz val="9"/>
            <color indexed="81"/>
            <rFont val="Tahoma"/>
            <family val="2"/>
            <charset val="186"/>
          </rPr>
          <t xml:space="preserve">H. Zudermano gimnazijoje - 20 tūkst. Eur, 
</t>
        </r>
      </text>
    </comment>
    <comment ref="O129" authorId="0" shapeId="0">
      <text>
        <r>
          <rPr>
            <sz val="9"/>
            <color indexed="81"/>
            <rFont val="Tahoma"/>
            <family val="2"/>
            <charset val="186"/>
          </rPr>
          <t>Sendvario progimnazija</t>
        </r>
      </text>
    </comment>
    <comment ref="N144" authorId="0" shapeId="0">
      <text>
        <r>
          <rPr>
            <sz val="9"/>
            <color indexed="81"/>
            <rFont val="Tahoma"/>
            <family val="2"/>
            <charset val="186"/>
          </rPr>
          <t xml:space="preserve">m/d "Saulutė" ir l/d "Vėrinėlis"
</t>
        </r>
      </text>
    </comment>
    <comment ref="F187" authorId="0" shapeId="0">
      <text>
        <r>
          <rPr>
            <sz val="9"/>
            <color indexed="81"/>
            <rFont val="Tahoma"/>
            <family val="2"/>
            <charset val="186"/>
          </rPr>
          <t xml:space="preserve">2018 m. – l.-d. „Berželis“, „Kregždutė“, „Ąžuoliukas“, „Aitvarėlis“, „Žemuogėlė“,  „Nykštukas“, „Žilvitis“, „Pumpurėlis“, „Pagrandukas“, „Eglutė“, Klaipėdos karalienės Luizės jaunimo centras, 3–6 švietimo įstaigų buitinių tinklų remontas
</t>
        </r>
      </text>
    </comment>
    <comment ref="N190" authorId="0" shapeId="0">
      <text>
        <r>
          <rPr>
            <sz val="9"/>
            <color indexed="81"/>
            <rFont val="Tahoma"/>
            <family val="2"/>
            <charset val="186"/>
          </rPr>
          <t xml:space="preserve">l/d "Varpelis", "Pingvinukas" ir "Du gaideliai"
</t>
        </r>
      </text>
    </comment>
    <comment ref="N192" authorId="0" shapeId="0">
      <text>
        <r>
          <rPr>
            <sz val="9"/>
            <color indexed="81"/>
            <rFont val="Tahoma"/>
            <family val="2"/>
            <charset val="186"/>
          </rPr>
          <t xml:space="preserve">l/d "Alksniukas", "Klevelis", "Pingvinukas", "Sakalėlis", "Švyturėlis", "Vėrinėlis" ir "Žemuogėlė
</t>
        </r>
      </text>
    </comment>
    <comment ref="N195" authorId="0" shapeId="0">
      <text>
        <r>
          <rPr>
            <sz val="9"/>
            <color indexed="81"/>
            <rFont val="Tahoma"/>
            <family val="2"/>
            <charset val="186"/>
          </rPr>
          <t xml:space="preserve">„Varpo“ gimnazija, S. Dacho progimnazija, L/d „Varpelis“, „Berželis“, „Alksniukas“, „Du  gaideliai“, „Putinėlis“, „Bangelė“, „Pumpurėlis“, „Pagrandukas“, „Inkarėlis“, “Linelis“ ir „Nykštukas“
</t>
        </r>
      </text>
    </comment>
    <comment ref="F196" authorId="0" shapeId="0">
      <text>
        <r>
          <rPr>
            <sz val="9"/>
            <color indexed="81"/>
            <rFont val="Tahoma"/>
            <family val="2"/>
            <charset val="186"/>
          </rPr>
          <t xml:space="preserve">2017 m. – „Varpo“ gimnazijos aktų salės ir bibliotekos remontas, 2018 m. – Sendvario progimnazijos bendro naudojimo koridorių remontas </t>
        </r>
      </text>
    </comment>
    <comment ref="N197" authorId="0" shapeId="0">
      <text>
        <r>
          <rPr>
            <sz val="9"/>
            <color indexed="81"/>
            <rFont val="Tahoma"/>
            <family val="2"/>
            <charset val="186"/>
          </rPr>
          <t>l/d "Liepaitė", "Pingvinukas", "Rūta", "Boružėlė", "Eglutė", Zudermano, Vydūno gimnazijos, Gabijos progimnazija, Sendvario m-kla, klubas "Draugystė"</t>
        </r>
      </text>
    </comment>
    <comment ref="F198" authorId="0" shapeId="0">
      <text>
        <r>
          <rPr>
            <sz val="9"/>
            <color indexed="81"/>
            <rFont val="Tahoma"/>
            <family val="2"/>
            <charset val="186"/>
          </rPr>
          <t xml:space="preserve">2019 m. - l/d "Ąžuoliukas", "Žuvėdra", "Radastėlė", "Žemuogėlė", "Linelis", "Šermukšnėlė", "Traukinukas", "Versmė", RUC, Gedminų prog., H. Zudermano gimnazija, klubas "Žuvėdra"
</t>
        </r>
      </text>
    </comment>
    <comment ref="N198" authorId="1" shapeId="0">
      <text>
        <r>
          <rPr>
            <sz val="9"/>
            <color indexed="81"/>
            <rFont val="Tahoma"/>
            <family val="2"/>
            <charset val="186"/>
          </rPr>
          <t>2019 m. - l/d "Ąžuoliukas", "Žuvėdra", "Radastėlė", "Žemuogėlė", "Linelis", "Šermukšnėlė", "Traukinukas", "Versmė", RUC, Gedminų prog., H. Zudermano gimnazija, klubas "Žuvėdra".</t>
        </r>
      </text>
    </comment>
    <comment ref="G199" authorId="0" shapeId="0">
      <text>
        <r>
          <rPr>
            <sz val="9"/>
            <color indexed="81"/>
            <rFont val="Tahoma"/>
            <family val="2"/>
            <charset val="186"/>
          </rPr>
          <t>"Kompleksiškai sutvarkyti bendrojo ugdymo mokyklų ir ikimokyklinio ugdymo įstaigų teritorijas"</t>
        </r>
      </text>
    </comment>
    <comment ref="N200" authorId="1" shapeId="0">
      <text>
        <r>
          <rPr>
            <sz val="9"/>
            <color indexed="81"/>
            <rFont val="Tahoma"/>
            <family val="2"/>
            <charset val="186"/>
          </rPr>
          <t xml:space="preserve">2019 m. - "Aitvaro", Vydūno gimnazijos lauko nuotekų tinklų remontas, "Žaliakalnio" gimnazijos, l/d „Radastėlė“ ir „Pingvinukas“ paviršinių ir buitinių nuotekų tinklų statybos darbai </t>
        </r>
      </text>
    </comment>
    <comment ref="O221" authorId="0" shapeId="0">
      <text>
        <r>
          <rPr>
            <sz val="9"/>
            <color indexed="81"/>
            <rFont val="Tahoma"/>
            <family val="2"/>
            <charset val="186"/>
          </rPr>
          <t xml:space="preserve">lopšeliuose-darželiuose „Aitvarėlis“ ir "Versmė"
</t>
        </r>
      </text>
    </comment>
  </commentList>
</comments>
</file>

<file path=xl/comments2.xml><?xml version="1.0" encoding="utf-8"?>
<comments xmlns="http://schemas.openxmlformats.org/spreadsheetml/2006/main">
  <authors>
    <author>Snieguole Kacerauskaite</author>
    <author>Inga Mikalauskiene</author>
  </authors>
  <commentList>
    <comment ref="T24" authorId="0" shapeId="0">
      <text>
        <r>
          <rPr>
            <sz val="9"/>
            <color indexed="81"/>
            <rFont val="Tahoma"/>
            <family val="2"/>
            <charset val="186"/>
          </rPr>
          <t>VšĮ: Mažųjų pasaulis, Jūros žvaigždutė, Pasakėlė, Vaikų giraitė, Saulė ir mėnulis, Laimingų vaikų pilis, Niektauza</t>
        </r>
      </text>
    </comment>
    <comment ref="G68" authorId="0" shapeId="0">
      <text>
        <r>
          <rPr>
            <sz val="9"/>
            <color indexed="81"/>
            <rFont val="Tahoma"/>
            <family val="2"/>
            <charset val="186"/>
          </rPr>
          <t>"Diegti ir plėtoti nuotolinį mokymą užtikrinant nuosekliojo ir nepertraukiamo mokymosi galimybes pagal bendrojo ugdymo programas"</t>
        </r>
      </text>
    </comment>
    <comment ref="G93" authorId="0" shapeId="0">
      <text>
        <r>
          <rPr>
            <sz val="9"/>
            <color indexed="81"/>
            <rFont val="Tahoma"/>
            <family val="2"/>
            <charset val="186"/>
          </rPr>
          <t>"Didinti švietimo ir kitų paslaugų mokiniui prieinamumą ir kompleksiškumą diegiant e. paslaugas"</t>
        </r>
      </text>
    </comment>
    <comment ref="T130" authorId="0" shapeId="0">
      <text>
        <r>
          <rPr>
            <sz val="9"/>
            <color indexed="81"/>
            <rFont val="Tahoma"/>
            <family val="2"/>
            <charset val="186"/>
          </rPr>
          <t xml:space="preserve">Verdenės progimnazija (377,2 t.€)
Simono Dacho progimnazija (250 t.€)
</t>
        </r>
        <r>
          <rPr>
            <u/>
            <sz val="9"/>
            <color indexed="81"/>
            <rFont val="Tahoma"/>
            <family val="2"/>
            <charset val="186"/>
          </rPr>
          <t>„Vyturio“ progimnazija (123 t.€)</t>
        </r>
        <r>
          <rPr>
            <sz val="9"/>
            <color indexed="81"/>
            <rFont val="Tahoma"/>
            <family val="2"/>
            <charset val="186"/>
          </rPr>
          <t xml:space="preserve">
Iš viso: 750,2 t. €</t>
        </r>
      </text>
    </comment>
    <comment ref="U130" authorId="0" shapeId="0">
      <text>
        <r>
          <rPr>
            <sz val="9"/>
            <color indexed="81"/>
            <rFont val="Tahoma"/>
            <family val="2"/>
            <charset val="186"/>
          </rPr>
          <t xml:space="preserve">Vitės pagrindinė mokykla - 600 t. € (tech.projektą darys KLASCO) 
</t>
        </r>
        <r>
          <rPr>
            <u/>
            <sz val="9"/>
            <color indexed="81"/>
            <rFont val="Tahoma"/>
            <family val="2"/>
            <charset val="186"/>
          </rPr>
          <t>Maksimo Gorkio progimnazija - 270 t. Eur</t>
        </r>
        <r>
          <rPr>
            <sz val="9"/>
            <color indexed="81"/>
            <rFont val="Tahoma"/>
            <family val="2"/>
            <charset val="186"/>
          </rPr>
          <t xml:space="preserve"> 
Iš viso: 870 tūkst. Eur</t>
        </r>
      </text>
    </comment>
    <comment ref="V130" authorId="0" shapeId="0">
      <text>
        <r>
          <rPr>
            <sz val="9"/>
            <color indexed="81"/>
            <rFont val="Tahoma"/>
            <family val="2"/>
            <charset val="186"/>
          </rPr>
          <t>Sendvario progimnazija - 520  t. €
H. Zudermano</t>
        </r>
        <r>
          <rPr>
            <u/>
            <sz val="9"/>
            <color indexed="81"/>
            <rFont val="Tahoma"/>
            <family val="2"/>
            <charset val="186"/>
          </rPr>
          <t xml:space="preserve"> gimnazija - 670  t. €</t>
        </r>
        <r>
          <rPr>
            <b/>
            <sz val="9"/>
            <color indexed="81"/>
            <rFont val="Tahoma"/>
            <family val="2"/>
            <charset val="186"/>
          </rPr>
          <t xml:space="preserve">
</t>
        </r>
        <r>
          <rPr>
            <sz val="9"/>
            <color indexed="81"/>
            <rFont val="Tahoma"/>
            <family val="2"/>
            <charset val="186"/>
          </rPr>
          <t>Iš viso: 1190 tūkst. Eur</t>
        </r>
      </text>
    </comment>
    <comment ref="T131" authorId="0" shapeId="0">
      <text>
        <r>
          <rPr>
            <sz val="9"/>
            <color indexed="81"/>
            <rFont val="Tahoma"/>
            <family val="2"/>
            <charset val="186"/>
          </rPr>
          <t xml:space="preserve">H. Zudermano gimnazijoje - 20 tūkst. Eur, 
</t>
        </r>
      </text>
    </comment>
    <comment ref="U131" authorId="0" shapeId="0">
      <text>
        <r>
          <rPr>
            <sz val="9"/>
            <color indexed="81"/>
            <rFont val="Tahoma"/>
            <family val="2"/>
            <charset val="186"/>
          </rPr>
          <t>Sendvario progimnazija</t>
        </r>
      </text>
    </comment>
    <comment ref="T146" authorId="0" shapeId="0">
      <text>
        <r>
          <rPr>
            <sz val="9"/>
            <color indexed="81"/>
            <rFont val="Tahoma"/>
            <family val="2"/>
            <charset val="186"/>
          </rPr>
          <t xml:space="preserve">m/d "Saulutė" ir l/d "Vėrinėlis"
</t>
        </r>
      </text>
    </comment>
    <comment ref="F189" authorId="0" shapeId="0">
      <text>
        <r>
          <rPr>
            <sz val="9"/>
            <color indexed="81"/>
            <rFont val="Tahoma"/>
            <family val="2"/>
            <charset val="186"/>
          </rPr>
          <t xml:space="preserve">2018 m. – l.-d. „Berželis“, „Kregždutė“, „Ąžuoliukas“, „Aitvarėlis“, „Žemuogėlė“,  „Nykštukas“, „Žilvitis“, „Pumpurėlis“, „Pagrandukas“, „Eglutė“, Klaipėdos karalienės Luizės jaunimo centras, 3–6 švietimo įstaigų buitinių tinklų remontas
</t>
        </r>
      </text>
    </comment>
    <comment ref="T192" authorId="0" shapeId="0">
      <text>
        <r>
          <rPr>
            <sz val="9"/>
            <color indexed="81"/>
            <rFont val="Tahoma"/>
            <family val="2"/>
            <charset val="186"/>
          </rPr>
          <t xml:space="preserve">l/d "Varpelis", "Pingvinukas" ir "Du gaideliai"
</t>
        </r>
      </text>
    </comment>
    <comment ref="T194" authorId="0" shapeId="0">
      <text>
        <r>
          <rPr>
            <sz val="9"/>
            <color indexed="81"/>
            <rFont val="Tahoma"/>
            <family val="2"/>
            <charset val="186"/>
          </rPr>
          <t xml:space="preserve">l/d "Alksniukas", "Klevelis", "Pingvinukas", "Sakalėlis", "Švyturėlis", "Vėrinėlis" ir "Žemuogėlė
</t>
        </r>
      </text>
    </comment>
    <comment ref="T197" authorId="0" shapeId="0">
      <text>
        <r>
          <rPr>
            <sz val="9"/>
            <color indexed="81"/>
            <rFont val="Tahoma"/>
            <family val="2"/>
            <charset val="186"/>
          </rPr>
          <t xml:space="preserve">„Varpo“ gimnazija, S. Dacho progimnazija, L/d „Varpelis“, „Berželis“, „Alksniukas“, „Du  gaideliai“, „Putinėlis“, „Bangelė“, „Pumpurėlis“, „Pagrandukas“, „Inkarėlis“, “Linelis“ ir „Nykštukas“
</t>
        </r>
      </text>
    </comment>
    <comment ref="F198" authorId="0" shapeId="0">
      <text>
        <r>
          <rPr>
            <sz val="9"/>
            <color indexed="81"/>
            <rFont val="Tahoma"/>
            <family val="2"/>
            <charset val="186"/>
          </rPr>
          <t xml:space="preserve">2017 m. – „Varpo“ gimnazijos aktų salės ir bibliotekos remontas, 2018 m. – Sendvario progimnazijos bendro naudojimo koridorių remontas </t>
        </r>
      </text>
    </comment>
    <comment ref="T199" authorId="0" shapeId="0">
      <text>
        <r>
          <rPr>
            <sz val="9"/>
            <color indexed="81"/>
            <rFont val="Tahoma"/>
            <family val="2"/>
            <charset val="186"/>
          </rPr>
          <t>l/d "Liepaitė", "Pingvinukas", "Rūta", "Boružėlė", "Eglutė", Zudermano, Vydūno gimnazijos, Gabijos progimnazija, Sendvario m-kla, klubas "Draugystė"</t>
        </r>
      </text>
    </comment>
    <comment ref="F200" authorId="0" shapeId="0">
      <text>
        <r>
          <rPr>
            <sz val="9"/>
            <color indexed="81"/>
            <rFont val="Tahoma"/>
            <family val="2"/>
            <charset val="186"/>
          </rPr>
          <t xml:space="preserve">2019 m. - l/d "Ąžuoliukas", "Žuvėdra", "Radastėlė", "Žemuogėlė", "Linelis", "Šermukšnėlė", "Traukinukas", "Versmė", RUC, Gedminų prog., H. Zudermano gimnazija, klubas "Žuvėdra"
</t>
        </r>
      </text>
    </comment>
    <comment ref="T200" authorId="1" shapeId="0">
      <text>
        <r>
          <rPr>
            <sz val="9"/>
            <color indexed="81"/>
            <rFont val="Tahoma"/>
            <family val="2"/>
            <charset val="186"/>
          </rPr>
          <t>2019 m. - l/d "Ąžuoliukas", "Žuvėdra", "Radastėlė", "Žemuogėlė", "Linelis", "Šermukšnėlė", "Traukinukas", "Versmė", RUC, Gedminų prog., H. Zudermano gimnazija, klubas "Žuvėdra".</t>
        </r>
      </text>
    </comment>
    <comment ref="G201" authorId="0" shapeId="0">
      <text>
        <r>
          <rPr>
            <sz val="9"/>
            <color indexed="81"/>
            <rFont val="Tahoma"/>
            <family val="2"/>
            <charset val="186"/>
          </rPr>
          <t>"Kompleksiškai sutvarkyti bendrojo ugdymo mokyklų ir ikimokyklinio ugdymo įstaigų teritorijas"</t>
        </r>
      </text>
    </comment>
    <comment ref="T202" authorId="1" shapeId="0">
      <text>
        <r>
          <rPr>
            <sz val="9"/>
            <color indexed="81"/>
            <rFont val="Tahoma"/>
            <family val="2"/>
            <charset val="186"/>
          </rPr>
          <t xml:space="preserve">2019 m. - "Aitvaro", Vydūno gimnazijos lauko nuotekų tinklų remontas, "Žaliakalnio" gimnazijos, l/d „Radastėlė“ ir „Pingvinukas“ paviršinių ir buitinių nuotekų tinklų statybos darbai </t>
        </r>
      </text>
    </comment>
    <comment ref="U224" authorId="0" shapeId="0">
      <text>
        <r>
          <rPr>
            <sz val="9"/>
            <color indexed="81"/>
            <rFont val="Tahoma"/>
            <family val="2"/>
            <charset val="186"/>
          </rPr>
          <t xml:space="preserve">lopšeliuose-darželiuose „Aitvarėlis“ ir "Versmė"
</t>
        </r>
      </text>
    </comment>
  </commentList>
</comments>
</file>

<file path=xl/comments3.xml><?xml version="1.0" encoding="utf-8"?>
<comments xmlns="http://schemas.openxmlformats.org/spreadsheetml/2006/main">
  <authors>
    <author>Snieguole Kacerauskaite</author>
    <author>Ingrida Urbonaviciene</author>
    <author>Inga Mikalauskiene</author>
  </authors>
  <commentList>
    <comment ref="P14" authorId="0" shapeId="0">
      <text>
        <r>
          <rPr>
            <sz val="9"/>
            <color indexed="81"/>
            <rFont val="Tahoma"/>
            <family val="2"/>
            <charset val="186"/>
          </rPr>
          <t>m/d „Pakalnutė“ ir „Šaltinėlis“ pakeitė statusą į lopšelį-darželį</t>
        </r>
      </text>
    </comment>
    <comment ref="Q18" authorId="0" shapeId="0">
      <text>
        <r>
          <rPr>
            <sz val="9"/>
            <color indexed="81"/>
            <rFont val="Tahoma"/>
            <family val="2"/>
            <charset val="186"/>
          </rPr>
          <t>VšĮ: Mažųjų pasaulis, Jūros žvaigždutė, Pasakėlė, Vaikų giraitė, Saulė ir mėnulis, Laimingų vaikų pilis, Niektauza</t>
        </r>
      </text>
    </comment>
    <comment ref="P21" authorId="0" shapeId="0">
      <text>
        <r>
          <rPr>
            <sz val="9"/>
            <color indexed="81"/>
            <rFont val="Tahoma"/>
            <family val="2"/>
            <charset val="186"/>
          </rPr>
          <t>3 mokyklos-darželiai: „Varpelis“, M. Montesori ir „Saulutė“ ir pradinė m-kla „Gilija</t>
        </r>
        <r>
          <rPr>
            <b/>
            <sz val="9"/>
            <color indexed="81"/>
            <rFont val="Tahoma"/>
            <family val="2"/>
            <charset val="186"/>
          </rPr>
          <t>“</t>
        </r>
        <r>
          <rPr>
            <sz val="9"/>
            <color indexed="81"/>
            <rFont val="Tahoma"/>
            <family val="2"/>
            <charset val="186"/>
          </rPr>
          <t xml:space="preserve">
</t>
        </r>
      </text>
    </comment>
    <comment ref="P31" authorId="0" shapeId="0">
      <text>
        <r>
          <rPr>
            <sz val="9"/>
            <color indexed="81"/>
            <rFont val="Tahoma"/>
            <family val="2"/>
            <charset val="186"/>
          </rPr>
          <t xml:space="preserve">VšĮ: Svetliačiok, Pajūrio Valdorfo bendruomenė, Universa Via, Klaipėdos licėjus, Vaivarykštės tako gimnazija
</t>
        </r>
      </text>
    </comment>
    <comment ref="O35" authorId="0" shapeId="0">
      <text>
        <r>
          <rPr>
            <sz val="9"/>
            <color indexed="81"/>
            <rFont val="Tahoma"/>
            <family val="2"/>
            <charset val="186"/>
          </rPr>
          <t>Ekologiniame projekte  dalyvauja 45 7-8 klasių mokiniai</t>
        </r>
      </text>
    </comment>
    <comment ref="L54" authorId="1" shapeId="0">
      <text>
        <r>
          <rPr>
            <b/>
            <sz val="9"/>
            <color indexed="81"/>
            <rFont val="Tahoma"/>
            <family val="2"/>
            <charset val="186"/>
          </rPr>
          <t>Ingrida Urbonaviciene:</t>
        </r>
        <r>
          <rPr>
            <sz val="9"/>
            <color indexed="81"/>
            <rFont val="Tahoma"/>
            <family val="2"/>
            <charset val="186"/>
          </rPr>
          <t xml:space="preserve">
18,3 tūkst. edukaciniai</t>
        </r>
      </text>
    </comment>
    <comment ref="G69" authorId="0" shapeId="0">
      <text>
        <r>
          <rPr>
            <sz val="9"/>
            <color indexed="81"/>
            <rFont val="Tahoma"/>
            <family val="2"/>
            <charset val="186"/>
          </rPr>
          <t>"Diegti ir plėtoti nuotolinį mokymą užtikrinant nuosekliojo ir nepertraukiamo mokymosi galimybes pagal bendrojo ugdymo programas"</t>
        </r>
      </text>
    </comment>
    <comment ref="Q76" authorId="0" shapeId="0">
      <text>
        <r>
          <rPr>
            <sz val="9"/>
            <color indexed="81"/>
            <rFont val="Tahoma"/>
            <family val="2"/>
            <charset val="186"/>
          </rPr>
          <t>"Svetliačiok" padėjėjams</t>
        </r>
      </text>
    </comment>
    <comment ref="G99" authorId="0" shapeId="0">
      <text>
        <r>
          <rPr>
            <sz val="9"/>
            <color indexed="81"/>
            <rFont val="Tahoma"/>
            <family val="2"/>
            <charset val="186"/>
          </rPr>
          <t>"Didinti švietimo ir kitų paslaugų mokiniui prieinamumą ir kompleksiškumą diegiant e. paslaugas"</t>
        </r>
      </text>
    </comment>
    <comment ref="F107" authorId="0" shapeId="0">
      <text>
        <r>
          <rPr>
            <sz val="9"/>
            <color indexed="81"/>
            <rFont val="Tahoma"/>
            <family val="2"/>
            <charset val="186"/>
          </rPr>
          <t>Bus draudžiami vaikai</t>
        </r>
      </text>
    </comment>
    <comment ref="F129" authorId="0" shapeId="0">
      <text>
        <r>
          <rPr>
            <sz val="9"/>
            <color indexed="81"/>
            <rFont val="Tahoma"/>
            <family val="2"/>
            <charset val="186"/>
          </rPr>
          <t xml:space="preserve">planuojama imti paskolą iš VIPA
</t>
        </r>
      </text>
    </comment>
    <comment ref="K137" authorId="0" shapeId="0">
      <text>
        <r>
          <rPr>
            <b/>
            <sz val="9"/>
            <color indexed="81"/>
            <rFont val="Tahoma"/>
            <family val="2"/>
            <charset val="186"/>
          </rPr>
          <t>III ketv. ataskaita:</t>
        </r>
        <r>
          <rPr>
            <sz val="9"/>
            <color indexed="81"/>
            <rFont val="Tahoma"/>
            <family val="2"/>
            <charset val="186"/>
          </rPr>
          <t xml:space="preserve">
1. V. Didžiojo gimnazija I ir II etapo darbai baigti 100 proc. 
2. Žemynos gimnazija atlikta (5 sporto aikštelės) - 60 proc.
3. Vydūno gimnazijos atlikta (1 sporto aikštelė) - 70 proc.
4. Verdenės progimnazija atlikta (sporto aikštynas)-parengtas projektas, įkeltas į infostatybą.
5. H. Zudermano gimnazija atlikta (2 sporto aikštelės) - 50 proc. 
</t>
        </r>
        <r>
          <rPr>
            <u/>
            <sz val="9"/>
            <color indexed="81"/>
            <rFont val="Tahoma"/>
            <family val="2"/>
            <charset val="186"/>
          </rPr>
          <t>6. Gedminų progimnazija atlikta (2 sporto aikštelės) - 50 proc.</t>
        </r>
        <r>
          <rPr>
            <sz val="9"/>
            <color indexed="81"/>
            <rFont val="Tahoma"/>
            <family val="2"/>
            <charset val="186"/>
          </rPr>
          <t xml:space="preserve">
Panaudota </t>
        </r>
        <r>
          <rPr>
            <b/>
            <sz val="9"/>
            <color indexed="81"/>
            <rFont val="Tahoma"/>
            <family val="2"/>
            <charset val="186"/>
          </rPr>
          <t>575,8 tūkst. Eur</t>
        </r>
      </text>
    </comment>
    <comment ref="P137" authorId="0" shapeId="0">
      <text>
        <r>
          <rPr>
            <sz val="9"/>
            <color indexed="81"/>
            <rFont val="Tahoma"/>
            <family val="2"/>
            <charset val="186"/>
          </rPr>
          <t>1) Gedminų progimnazija (86 t.€)
2) „Verdenės“ progimnazija (500 t.€)
3) Vytauto Didžiojo gimnazija (306,3 t.€)
4) Žemynos gimnazija  (230 t.€)
5) Vydūno gimnazija (40 t.€)
6</t>
        </r>
        <r>
          <rPr>
            <u/>
            <sz val="9"/>
            <color indexed="81"/>
            <rFont val="Tahoma"/>
            <family val="2"/>
            <charset val="186"/>
          </rPr>
          <t>) Hermano Zudermano gimnazija (130 t.€)</t>
        </r>
        <r>
          <rPr>
            <sz val="9"/>
            <color indexed="81"/>
            <rFont val="Tahoma"/>
            <family val="2"/>
            <charset val="186"/>
          </rPr>
          <t xml:space="preserve">
Iš viso: 1292,3 t.€
</t>
        </r>
      </text>
    </comment>
    <comment ref="Q137" authorId="0" shapeId="0">
      <text>
        <r>
          <rPr>
            <sz val="9"/>
            <color indexed="81"/>
            <rFont val="Tahoma"/>
            <family val="2"/>
            <charset val="186"/>
          </rPr>
          <t xml:space="preserve">Verdenės progimnazija (377,2 t.€)
Simono Dacho progimnazija (250 t.€)
</t>
        </r>
        <r>
          <rPr>
            <u/>
            <sz val="9"/>
            <color indexed="81"/>
            <rFont val="Tahoma"/>
            <family val="2"/>
            <charset val="186"/>
          </rPr>
          <t>„Vyturio“ progimnazija (123 t.€)</t>
        </r>
        <r>
          <rPr>
            <sz val="9"/>
            <color indexed="81"/>
            <rFont val="Tahoma"/>
            <family val="2"/>
            <charset val="186"/>
          </rPr>
          <t xml:space="preserve">
Iš viso: 750,2 t. €</t>
        </r>
      </text>
    </comment>
    <comment ref="R137" authorId="0" shapeId="0">
      <text>
        <r>
          <rPr>
            <sz val="9"/>
            <color indexed="81"/>
            <rFont val="Tahoma"/>
            <family val="2"/>
            <charset val="186"/>
          </rPr>
          <t xml:space="preserve">Vitės pagrindinė mokykla - 600 t. € (tech.projektą darys KLASCO) 
</t>
        </r>
        <r>
          <rPr>
            <u/>
            <sz val="9"/>
            <color indexed="81"/>
            <rFont val="Tahoma"/>
            <family val="2"/>
            <charset val="186"/>
          </rPr>
          <t>Maksimo Gorkio progimnazija - 270 t. Eur</t>
        </r>
        <r>
          <rPr>
            <sz val="9"/>
            <color indexed="81"/>
            <rFont val="Tahoma"/>
            <family val="2"/>
            <charset val="186"/>
          </rPr>
          <t xml:space="preserve"> 
Iš viso: 870 tūkst. Eur</t>
        </r>
      </text>
    </comment>
    <comment ref="S137" authorId="0" shapeId="0">
      <text>
        <r>
          <rPr>
            <sz val="9"/>
            <color indexed="81"/>
            <rFont val="Tahoma"/>
            <family val="2"/>
            <charset val="186"/>
          </rPr>
          <t>Sendvario progimnazija - 520  t. €
H. Zudermano</t>
        </r>
        <r>
          <rPr>
            <u/>
            <sz val="9"/>
            <color indexed="81"/>
            <rFont val="Tahoma"/>
            <family val="2"/>
            <charset val="186"/>
          </rPr>
          <t xml:space="preserve"> gimnazija - 670  t. €</t>
        </r>
        <r>
          <rPr>
            <b/>
            <sz val="9"/>
            <color indexed="81"/>
            <rFont val="Tahoma"/>
            <family val="2"/>
            <charset val="186"/>
          </rPr>
          <t xml:space="preserve">
</t>
        </r>
        <r>
          <rPr>
            <sz val="9"/>
            <color indexed="81"/>
            <rFont val="Tahoma"/>
            <family val="2"/>
            <charset val="186"/>
          </rPr>
          <t>Iš viso: 1190 tūkst. Eur</t>
        </r>
      </text>
    </comment>
    <comment ref="P138" authorId="0" shapeId="0">
      <text>
        <r>
          <rPr>
            <sz val="9"/>
            <color indexed="81"/>
            <rFont val="Tahoma"/>
            <family val="2"/>
            <charset val="186"/>
          </rPr>
          <t xml:space="preserve">1) „Verdenės“ progimnazijoje,
2) S. Dacho progimnazijoje (15 t.€)
</t>
        </r>
      </text>
    </comment>
    <comment ref="Q138" authorId="0" shapeId="0">
      <text>
        <r>
          <rPr>
            <sz val="9"/>
            <color indexed="81"/>
            <rFont val="Tahoma"/>
            <family val="2"/>
            <charset val="186"/>
          </rPr>
          <t xml:space="preserve">H. Zudermano gimnazijoje - 20 tūkst. Eur, 
</t>
        </r>
      </text>
    </comment>
    <comment ref="R138" authorId="0" shapeId="0">
      <text>
        <r>
          <rPr>
            <sz val="9"/>
            <color indexed="81"/>
            <rFont val="Tahoma"/>
            <family val="2"/>
            <charset val="186"/>
          </rPr>
          <t>Sendvario progimnazija</t>
        </r>
      </text>
    </comment>
    <comment ref="F156" authorId="0" shapeId="0">
      <text>
        <r>
          <rPr>
            <sz val="9"/>
            <color indexed="81"/>
            <rFont val="Tahoma"/>
            <family val="2"/>
            <charset val="186"/>
          </rPr>
          <t>Buvęs pavadinimas "BĮ Klaipėdos lopšelio-darželio „Svirpliukas“ (Liepų g. 43A) pastato energinio efektyvumo didinimas" pakeistas, atsižvelgiant į pasirašomą ES finansavimo sutartį</t>
        </r>
      </text>
    </comment>
    <comment ref="Q160" authorId="0" shapeId="0">
      <text>
        <r>
          <rPr>
            <sz val="9"/>
            <color indexed="81"/>
            <rFont val="Tahoma"/>
            <family val="2"/>
            <charset val="186"/>
          </rPr>
          <t xml:space="preserve">m/d "Saulutė" ir l/d "Vėrinėlis"
</t>
        </r>
      </text>
    </comment>
    <comment ref="K176" authorId="0" shapeId="0">
      <text>
        <r>
          <rPr>
            <sz val="9"/>
            <color indexed="81"/>
            <rFont val="Tahoma"/>
            <family val="2"/>
            <charset val="186"/>
          </rPr>
          <t xml:space="preserve">2018 m. - "Savivaldybės ikimokyklinio ugdymo įstaigų sporto aikštelių dangos atnaujinimas (2018 m. – l.-d. „Ąžuoliukas“, „Dobiliukas“ ir „Traukinukas“)" - 48,2 tūkst. Eur
</t>
        </r>
      </text>
    </comment>
    <comment ref="F212" authorId="0" shapeId="0">
      <text>
        <r>
          <rPr>
            <sz val="9"/>
            <color indexed="81"/>
            <rFont val="Tahoma"/>
            <family val="2"/>
            <charset val="186"/>
          </rPr>
          <t xml:space="preserve">2018 m. – l.-d. „Berželis“, „Kregždutė“, „Ąžuoliukas“, „Aitvarėlis“, „Žemuogėlė“,  „Nykštukas“, „Žilvitis“, „Pumpurėlis“, „Pagrandukas“, „Eglutė“, Klaipėdos karalienės Luizės jaunimo centras, 3–6 švietimo įstaigų buitinių tinklų remontas
</t>
        </r>
      </text>
    </comment>
    <comment ref="Q215" authorId="0" shapeId="0">
      <text>
        <r>
          <rPr>
            <sz val="9"/>
            <color indexed="81"/>
            <rFont val="Tahoma"/>
            <family val="2"/>
            <charset val="186"/>
          </rPr>
          <t xml:space="preserve">l/d "Varpelis", "Pingvinukas" ir "Du gaideliai"
</t>
        </r>
      </text>
    </comment>
    <comment ref="Q217" authorId="0" shapeId="0">
      <text>
        <r>
          <rPr>
            <sz val="9"/>
            <color indexed="81"/>
            <rFont val="Tahoma"/>
            <family val="2"/>
            <charset val="186"/>
          </rPr>
          <t xml:space="preserve">l/d "Alksniukas", "Klevelis", "Pingvinukas", "Sakalėlis", "Švyturėlis", "Vėrinėlis" ir "Žemuogėlė"
</t>
        </r>
      </text>
    </comment>
    <comment ref="Q221" authorId="0" shapeId="0">
      <text>
        <r>
          <rPr>
            <sz val="9"/>
            <color indexed="81"/>
            <rFont val="Tahoma"/>
            <family val="2"/>
            <charset val="186"/>
          </rPr>
          <t xml:space="preserve">„Varpo“ gimnazija, S. Dacho progimnazija, L/d „Varpelis“, „Berželis“, „Alksniukas“, „Du  gaideliai“, „Putinėlis“, „Bangelė“, „Pumpurėlis“, „Pagrandukas“, „Inkarėlis“, “Linelis“ ir „Nykštukas“
</t>
        </r>
      </text>
    </comment>
    <comment ref="F222" authorId="0" shapeId="0">
      <text>
        <r>
          <rPr>
            <sz val="9"/>
            <color indexed="81"/>
            <rFont val="Tahoma"/>
            <family val="2"/>
            <charset val="186"/>
          </rPr>
          <t xml:space="preserve">2017 m. – „Varpo“ gimnazijos aktų salės ir bibliotekos remontas, 2018 m. – Sendvario progimnazijos bendro naudojimo koridorių remontas </t>
        </r>
      </text>
    </comment>
    <comment ref="Q223" authorId="0" shapeId="0">
      <text>
        <r>
          <rPr>
            <sz val="9"/>
            <color indexed="81"/>
            <rFont val="Tahoma"/>
            <family val="2"/>
            <charset val="186"/>
          </rPr>
          <t xml:space="preserve">l/d "Liepaitė", "Pingvinukas", "Rūta", "Boružėlė", "Eglutė", Zudermano, Vydūno gimnazijos, Gabijos progimnazija, Sendvario m-kla, klubas "Draugystė"
</t>
        </r>
      </text>
    </comment>
    <comment ref="P224" authorId="0" shapeId="0">
      <text>
        <r>
          <rPr>
            <sz val="9"/>
            <color indexed="81"/>
            <rFont val="Tahoma"/>
            <family val="2"/>
            <charset val="186"/>
          </rPr>
          <t>2018 m. - l/d „Berželis“, „Du gaideliai“, „Giliukas“, „Pumpurėlis“, „Dobiliukas“, „Radastėlė“, "Žilvitis", "Sakalėlis", "Berželis", "Pagrandukas", "Švyturėlis", Simono Dacho, Zudermano  progimnazijos, "Baltijos" gimnazija, klubai „Saulutė“, „Liepsnelė“, Žuvėdra</t>
        </r>
      </text>
    </comment>
    <comment ref="Q224" authorId="2" shapeId="0">
      <text>
        <r>
          <rPr>
            <b/>
            <sz val="9"/>
            <color indexed="81"/>
            <rFont val="Tahoma"/>
            <family val="2"/>
            <charset val="186"/>
          </rPr>
          <t>Inga Mikalauskiene:</t>
        </r>
        <r>
          <rPr>
            <sz val="9"/>
            <color indexed="81"/>
            <rFont val="Tahoma"/>
            <family val="2"/>
            <charset val="186"/>
          </rPr>
          <t xml:space="preserve">
2019 m. - l/d "Ąžuoliukas", "Žuvėdra", "Radastėlė", "Žemuogėlė", "Linelis", "Šermukšnėlė", "Traukinukas", "Versmė", RUC, Gedminų prog., H. Zudermano gimnazija, klubas "Žuvėdra"</t>
        </r>
      </text>
    </comment>
    <comment ref="F225" authorId="0" shapeId="0">
      <text>
        <r>
          <rPr>
            <sz val="9"/>
            <color indexed="81"/>
            <rFont val="Tahoma"/>
            <family val="2"/>
            <charset val="186"/>
          </rPr>
          <t xml:space="preserve">2018 m. – „Žaliakalnio“ gimnazijos, l.-d. „Pingvinukas“ ir „Radastėlė“
</t>
        </r>
      </text>
    </comment>
    <comment ref="G225" authorId="0" shapeId="0">
      <text>
        <r>
          <rPr>
            <sz val="9"/>
            <color indexed="81"/>
            <rFont val="Tahoma"/>
            <family val="2"/>
            <charset val="186"/>
          </rPr>
          <t>"Kompleksiškai sutvarkyti bendrojo ugdymo mokyklų ir ikimokyklinio ugdymo įstaigų teritorijas"</t>
        </r>
      </text>
    </comment>
    <comment ref="P226" authorId="2" shapeId="0">
      <text>
        <r>
          <rPr>
            <b/>
            <sz val="9"/>
            <color indexed="81"/>
            <rFont val="Tahoma"/>
            <family val="2"/>
            <charset val="186"/>
          </rPr>
          <t>Inga Mikalauskiene:</t>
        </r>
        <r>
          <rPr>
            <sz val="9"/>
            <color indexed="81"/>
            <rFont val="Tahoma"/>
            <family val="2"/>
            <charset val="186"/>
          </rPr>
          <t xml:space="preserve">
2018 m. - "Žaliakalnio" gimnazijos, l/d "Pingvinukas", "Radastėlė" darbai su projekto parengimu</t>
        </r>
      </text>
    </comment>
    <comment ref="Q226" authorId="2" shapeId="0">
      <text>
        <r>
          <rPr>
            <sz val="9"/>
            <color indexed="81"/>
            <rFont val="Tahoma"/>
            <family val="2"/>
            <charset val="186"/>
          </rPr>
          <t>2019 m. - "Aitvaro", Vydūno gimnazijos lauko nuotekų tinklų remontas ir "Žaliakalnio" gimnazijos paviršinių ir buitinių nuotekų tinklų statybos darbai, l/d "Radastėlė" ir "Pingvinukas"</t>
        </r>
      </text>
    </comment>
    <comment ref="Q245" authorId="0" shapeId="0">
      <text>
        <r>
          <rPr>
            <sz val="9"/>
            <color indexed="81"/>
            <rFont val="Tahoma"/>
            <family val="2"/>
            <charset val="186"/>
          </rPr>
          <t xml:space="preserve">l/d „Ąžuoliukas“ ir „Verdenės“ progimnazijos
</t>
        </r>
      </text>
    </comment>
    <comment ref="R245" authorId="0" shapeId="0">
      <text>
        <r>
          <rPr>
            <sz val="9"/>
            <color indexed="81"/>
            <rFont val="Tahoma"/>
            <family val="2"/>
            <charset val="186"/>
          </rPr>
          <t xml:space="preserve">lopšeliuose-darželiuose „Aitvarėlis“ ir "Versmė"
</t>
        </r>
      </text>
    </comment>
  </commentList>
</comments>
</file>

<file path=xl/sharedStrings.xml><?xml version="1.0" encoding="utf-8"?>
<sst xmlns="http://schemas.openxmlformats.org/spreadsheetml/2006/main" count="2422" uniqueCount="750">
  <si>
    <t>Finansavimo šaltinių suvestinė</t>
  </si>
  <si>
    <t>Finansavimo šaltiniai</t>
  </si>
  <si>
    <t>I</t>
  </si>
  <si>
    <t>LRVB</t>
  </si>
  <si>
    <t>ES</t>
  </si>
  <si>
    <t>10</t>
  </si>
  <si>
    <t>Iš viso tikslui:</t>
  </si>
  <si>
    <t>Iš viso programai:</t>
  </si>
  <si>
    <t>Programos tikslo kodas</t>
  </si>
  <si>
    <t>Uždavinio kodas</t>
  </si>
  <si>
    <t>Priemonės kodas</t>
  </si>
  <si>
    <t>Priemonės požymis</t>
  </si>
  <si>
    <t>Asignavimų valdytojo kodas</t>
  </si>
  <si>
    <t>Finansavimo šaltinis</t>
  </si>
  <si>
    <t>01</t>
  </si>
  <si>
    <t>SB</t>
  </si>
  <si>
    <t>Iš viso:</t>
  </si>
  <si>
    <t>02</t>
  </si>
  <si>
    <t>SB(VB)</t>
  </si>
  <si>
    <t>03</t>
  </si>
  <si>
    <t>Iš viso uždaviniui:</t>
  </si>
  <si>
    <t>04</t>
  </si>
  <si>
    <t>05</t>
  </si>
  <si>
    <t>Pavadinimas</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</si>
  <si>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</si>
  <si>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</si>
  <si>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</si>
  <si>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</si>
  <si>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</si>
  <si>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</si>
  <si>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UGDYMO PROCESO UŽTIKRINIMO PROGRAMOS (NR. 10)</t>
  </si>
  <si>
    <t>10 Ugdymo proceso užtikrinimo programa</t>
  </si>
  <si>
    <r>
      <t xml:space="preserve">Pajamų įmokos už paslaugas </t>
    </r>
    <r>
      <rPr>
        <b/>
        <sz val="10"/>
        <rFont val="Times New Roman"/>
        <family val="1"/>
      </rPr>
      <t>SB(SP)</t>
    </r>
  </si>
  <si>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</si>
  <si>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</si>
  <si>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</si>
  <si>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</si>
  <si>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</si>
  <si>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Ryšių kabelių kanalų nuoma</t>
  </si>
  <si>
    <t>Šilumos ir karšto vandens tiekimo sistemų renovacija ir remontas</t>
  </si>
  <si>
    <t>Švietimo įstaigų pastatų apsauga</t>
  </si>
  <si>
    <t>Priešgaisrinių reikalavimų vykdymas švietimo įstaigose</t>
  </si>
  <si>
    <t>Kabelio tinklo ilgis, km</t>
  </si>
  <si>
    <t>SB(SP)</t>
  </si>
  <si>
    <t>Veiklos organizavimo užtikrinimas švietimo įstaigose:</t>
  </si>
  <si>
    <t>1.4.1.9.</t>
  </si>
  <si>
    <t>1.4.3.3.</t>
  </si>
  <si>
    <t>1.4.1.8.</t>
  </si>
  <si>
    <t>1.4.3.5.</t>
  </si>
  <si>
    <t>Švietimo įstaigų sanitarinių patalpų remontas</t>
  </si>
  <si>
    <r>
      <t xml:space="preserve">BĮ Klaipėdos pedagoginės psichologinės tarnybos </t>
    </r>
    <r>
      <rPr>
        <sz val="10"/>
        <rFont val="Times New Roman"/>
        <family val="1"/>
        <charset val="186"/>
      </rPr>
      <t>veiklos užtikrinimas</t>
    </r>
  </si>
  <si>
    <t>Iš viso priemonei:</t>
  </si>
  <si>
    <t xml:space="preserve"> TIKSLŲ, UŽDAVINIŲ, PRIEMONIŲ, PRIEMONIŲ IŠLAIDŲ IR PRODUKTO KRITERIJŲ SUVESTINĖ</t>
  </si>
  <si>
    <t>Parengtas techninis projektas, vnt.</t>
  </si>
  <si>
    <t>Vasaros poilsio organizavimas</t>
  </si>
  <si>
    <t xml:space="preserve">Brandos egzaminų administravimas </t>
  </si>
  <si>
    <t>Planas</t>
  </si>
  <si>
    <t>2018-ieji metai</t>
  </si>
  <si>
    <t>Švietimo įstaigų elektros instaliacijos remontas</t>
  </si>
  <si>
    <t xml:space="preserve">Parengtas techninis projektas, vnt.  </t>
  </si>
  <si>
    <t>Atlikta statybos darbų, proc.</t>
  </si>
  <si>
    <t>Parengtas techninis projektas</t>
  </si>
  <si>
    <t xml:space="preserve">Atlikta modernizavimo darbų, proc.
</t>
  </si>
  <si>
    <t>SB(SPL)</t>
  </si>
  <si>
    <t xml:space="preserve">03 Strateginis tikslas. Užtikrinti gyventojams aukštą švietimo, kultūros, socialinių, sporto ir sveikatos apsaugos paslaugų kokybę ir prieinamumą </t>
  </si>
  <si>
    <t>Savivaldybės administracijos vaiko gerovės komisijos veiklos užtikrinimas</t>
  </si>
  <si>
    <t>Įsigyta įrengimų, vnt.</t>
  </si>
  <si>
    <r>
      <t xml:space="preserve">Pajamų imokų likutis </t>
    </r>
    <r>
      <rPr>
        <b/>
        <sz val="10"/>
        <rFont val="Times New Roman"/>
        <family val="1"/>
        <charset val="186"/>
      </rPr>
      <t>SB(SPL)</t>
    </r>
  </si>
  <si>
    <t>Sudaryti sąlygas ugdytis ir gerinti ugdymo proceso kokybę</t>
  </si>
  <si>
    <t xml:space="preserve">Aprūpinti švietimo įstaigas reikalingu inventoriumi  </t>
  </si>
  <si>
    <r>
      <t xml:space="preserve">Ugdymo proceso ir aplinkos užtikrinimas </t>
    </r>
    <r>
      <rPr>
        <b/>
        <sz val="10"/>
        <rFont val="Times New Roman"/>
        <family val="1"/>
        <charset val="186"/>
      </rPr>
      <t>savivaldybės pradinėje mokykloje ir mokyklose-darželiuose</t>
    </r>
  </si>
  <si>
    <t>Įrengtas liftas, vnt.</t>
  </si>
  <si>
    <t>tūkst. Eur</t>
  </si>
  <si>
    <t>Neformaliojo vaikų švietimo programų įgyvendinimas ir neformaliojo vaikų švietimo paslaugų plėtra</t>
  </si>
  <si>
    <t>100</t>
  </si>
  <si>
    <t xml:space="preserve">   </t>
  </si>
  <si>
    <t>2019-ieji metai</t>
  </si>
  <si>
    <t>Atlikta modernizavimo darbų, proc.</t>
  </si>
  <si>
    <t>Švietimo įstaigų patalpų šildymas</t>
  </si>
  <si>
    <t>Švietimo įstaigų stogų remontas</t>
  </si>
  <si>
    <t>Įgyvendintas projektas, proc.</t>
  </si>
  <si>
    <t xml:space="preserve">Ugdymo prieinamumo ir ugdymo formų įvairovės užtikrinimas </t>
  </si>
  <si>
    <t>Neformaliojo vaikų ir suaugusiųjų švietimo organizavimas:</t>
  </si>
  <si>
    <r>
      <rPr>
        <b/>
        <sz val="10"/>
        <rFont val="Times New Roman"/>
        <family val="1"/>
      </rPr>
      <t>Neformaliojo</t>
    </r>
    <r>
      <rPr>
        <sz val="10"/>
        <rFont val="Times New Roman"/>
        <family val="1"/>
      </rPr>
      <t xml:space="preserve"> vaikų ugdymo proceso užtikrinimas biudžetinėse </t>
    </r>
    <r>
      <rPr>
        <b/>
        <sz val="10"/>
        <rFont val="Times New Roman"/>
        <family val="1"/>
      </rPr>
      <t xml:space="preserve">sporto mokyklose </t>
    </r>
  </si>
  <si>
    <t xml:space="preserve">Baldų ir įrangos atnaujinimas:  </t>
  </si>
  <si>
    <t>Automatizuotos šilumos punkto  kontrolės ir valdymo sistemų aptarnavimas švietimo įstaigų pastatuose</t>
  </si>
  <si>
    <t>Šilumos ir karšto vandens tiekimo sistemų priežiūra</t>
  </si>
  <si>
    <t>Neformaliojo suaugusiųjų švietimo ir tęstinio mokymosi 2016–2019 metais veiksmų plano įgyvendinimas</t>
  </si>
  <si>
    <t xml:space="preserve">Įrenginių įsigijimas švietimo įstaigų maisto blokuose </t>
  </si>
  <si>
    <t>Švietimo įstaigų energinių išteklių efektyvinimas:</t>
  </si>
  <si>
    <t>Mokinių, aprūpintų elektroniniais pažymėjimais, skaičius, vnt.</t>
  </si>
  <si>
    <t>Atliktas energinis auditas, vnt.</t>
  </si>
  <si>
    <t>Atlikta sporto salės rekonstravimo darbų, proc.</t>
  </si>
  <si>
    <t>Atlikta rekonstravimo darbų, proc.</t>
  </si>
  <si>
    <t>Mokymosi aplinkos pritaikymas švietimo reikmėms:</t>
  </si>
  <si>
    <t>Suremontuotų  patalpų skaičius, vnt.</t>
  </si>
  <si>
    <t>06</t>
  </si>
  <si>
    <t>07</t>
  </si>
  <si>
    <t>SB(L)</t>
  </si>
  <si>
    <r>
      <t xml:space="preserve">Apyvartos lėšų likutis </t>
    </r>
    <r>
      <rPr>
        <b/>
        <sz val="10"/>
        <rFont val="Times New Roman"/>
        <family val="1"/>
        <charset val="186"/>
      </rPr>
      <t>SB(L)</t>
    </r>
  </si>
  <si>
    <t>Įrengta vėdinimo sistema, proc.</t>
  </si>
  <si>
    <t>SB(ES)</t>
  </si>
  <si>
    <r>
      <t xml:space="preserve">Europos Sąjungos paramos lėšos, kurios įtrauktos į Savivaldybės biudžetą </t>
    </r>
    <r>
      <rPr>
        <b/>
        <sz val="10"/>
        <rFont val="Times New Roman"/>
        <family val="1"/>
        <charset val="186"/>
      </rPr>
      <t>SB(ES)</t>
    </r>
  </si>
  <si>
    <t>Modernizuota edukacinių erdvių, skaičius</t>
  </si>
  <si>
    <t>Ikimokyklinių  ugdymo  įstaigų aprūpinimas organizacine technika</t>
  </si>
  <si>
    <r>
      <t>Valstybės biudžeto lėšos</t>
    </r>
    <r>
      <rPr>
        <b/>
        <sz val="10"/>
        <rFont val="Times New Roman"/>
        <family val="1"/>
        <charset val="186"/>
      </rPr>
      <t xml:space="preserve"> LRVB</t>
    </r>
  </si>
  <si>
    <t>Atnaujinta sporto salė, proc.</t>
  </si>
  <si>
    <t>Maitinimo paslaugų kompensavimas</t>
  </si>
  <si>
    <t>2020-ieji metai</t>
  </si>
  <si>
    <t>Priemonės pavadinimas</t>
  </si>
  <si>
    <t>2018-ųjų metų asignavimų planas</t>
  </si>
  <si>
    <t>2020-ųjų metų lėšų projektas</t>
  </si>
  <si>
    <t>Produkto kriterijus</t>
  </si>
  <si>
    <t>2020 m. lėšų projektas</t>
  </si>
  <si>
    <t>LITNET programos plėtra</t>
  </si>
  <si>
    <t>Įsigyta įrangos, proc.</t>
  </si>
  <si>
    <t>Atlikta rangos darbų, proc.</t>
  </si>
  <si>
    <t xml:space="preserve">Atlikta rangos darbų, proc.
</t>
  </si>
  <si>
    <t>Įstaigų skaičius, vnt.</t>
  </si>
  <si>
    <t>Vaikų skaičius, vnt.</t>
  </si>
  <si>
    <t>Mokinių skaičius, vnt.</t>
  </si>
  <si>
    <t>BĮ Klaipėdos Sendvario progimnazijos dalyvavimas projekte „Padarykime tai!“</t>
  </si>
  <si>
    <t>45</t>
  </si>
  <si>
    <t>Aptarnautų asmenų skaičius, vnt.</t>
  </si>
  <si>
    <t>BĮ Klaipėdos pedagoginės psichologinės tarnybos dalyvavimas projekte pagal ES INTERREG V-A</t>
  </si>
  <si>
    <t>Renginių skaičius, vnt.</t>
  </si>
  <si>
    <t>Kvalifikacijos pažymėjimų skaičius, vnt.</t>
  </si>
  <si>
    <t>Mokytojų skaičius, vnt.</t>
  </si>
  <si>
    <t>Mokyklų skaičius, vnt.</t>
  </si>
  <si>
    <t>Sporto klasių steigimas</t>
  </si>
  <si>
    <t>Tarptautinių programų įgyvendinimas</t>
  </si>
  <si>
    <t>Etatų skaičius, vnt.</t>
  </si>
  <si>
    <t>Egzaminų skaičius, vnt.</t>
  </si>
  <si>
    <t>Centralizuotas paviršinių (lietaus) nuotekų tvarkymas</t>
  </si>
  <si>
    <t>Patalpų atnaujinimas užtikrinant atitiktį Higienos normoms</t>
  </si>
  <si>
    <t>Edukacinių-kultūrinių renginių organizavimas ir dalykinių projektų vykdymas</t>
  </si>
  <si>
    <t>Dalyvavimo Lietuvos šimtmečio dainų šventėje užtikrinimas</t>
  </si>
  <si>
    <t>Rugsėjo 1-osios šventės organizavimas (renginys „Švyturio“ arenoje)</t>
  </si>
  <si>
    <t>Prevencinių renginių skaičius, vnt.</t>
  </si>
  <si>
    <t>Elektroninio mokinio pažymėjimo diegimas ir naudojimo užtikrinimas savivaldybės bendrojo ugdymo mokyklose, neformaliojo švietimo ir sporto įstaigose</t>
  </si>
  <si>
    <t>Baldų skaičius, vnt.</t>
  </si>
  <si>
    <t>Priemonių skaičius, vnt.</t>
  </si>
  <si>
    <t>Savivaldybės ikimokyklinio ugdymo įstaigų žaidimų aikštelių įrangos atnaujinimas</t>
  </si>
  <si>
    <t>Planšetinių kompiuterių skaičius, vnt.</t>
  </si>
  <si>
    <t>Krepšinio lankų skaičius, vnt.</t>
  </si>
  <si>
    <t>Įsigyta baldų, vnt.</t>
  </si>
  <si>
    <t xml:space="preserve">Parengtas techninis projektas, vnt.  </t>
  </si>
  <si>
    <t>Atlikta rekonstrukcijos darbų, proc.</t>
  </si>
  <si>
    <t xml:space="preserve">Miesto metodinių būrelių veiklos užtikrinimas </t>
  </si>
  <si>
    <r>
      <t xml:space="preserve">Ugdymo proceso ir aplinkos užtikrinimas </t>
    </r>
    <r>
      <rPr>
        <b/>
        <sz val="10"/>
        <rFont val="Times New Roman"/>
        <family val="1"/>
        <charset val="186"/>
      </rPr>
      <t>savivaldybės neformaliojo vaikų švietimo įstaigose</t>
    </r>
  </si>
  <si>
    <r>
      <t xml:space="preserve">Ugdymo proceso ir aplinkos užtikrinimas </t>
    </r>
    <r>
      <rPr>
        <b/>
        <sz val="10"/>
        <rFont val="Times New Roman"/>
        <family val="1"/>
        <charset val="186"/>
      </rPr>
      <t xml:space="preserve">savivaldybės </t>
    </r>
    <r>
      <rPr>
        <sz val="10"/>
        <rFont val="Times New Roman"/>
        <family val="1"/>
        <charset val="186"/>
      </rPr>
      <t>ikimokyklinio ugdymo įstaigose</t>
    </r>
  </si>
  <si>
    <r>
      <t xml:space="preserve">Ugdymo proceso ir aplinkos užtikrinimas </t>
    </r>
    <r>
      <rPr>
        <b/>
        <sz val="10"/>
        <rFont val="Times New Roman"/>
        <family val="1"/>
        <charset val="186"/>
      </rPr>
      <t>nevalstybinėse</t>
    </r>
    <r>
      <rPr>
        <sz val="10"/>
        <rFont val="Times New Roman"/>
        <family val="1"/>
        <charset val="186"/>
      </rPr>
      <t xml:space="preserve"> ikimokyklinio ugdymo įstaigose</t>
    </r>
  </si>
  <si>
    <r>
      <t xml:space="preserve">Ugdymo proceso ir aplinkos užtikrinimas </t>
    </r>
    <r>
      <rPr>
        <b/>
        <sz val="10"/>
        <rFont val="Times New Roman"/>
        <family val="1"/>
        <charset val="186"/>
      </rPr>
      <t>savivaldybės</t>
    </r>
    <r>
      <rPr>
        <sz val="10"/>
        <rFont val="Times New Roman"/>
        <family val="1"/>
        <charset val="186"/>
      </rPr>
      <t xml:space="preserve"> bendrojo ugdymo mokyklose </t>
    </r>
  </si>
  <si>
    <r>
      <t xml:space="preserve">Ugdymo proceso ir aplinkos užtikrinimas </t>
    </r>
    <r>
      <rPr>
        <b/>
        <sz val="10"/>
        <rFont val="Times New Roman"/>
        <family val="1"/>
        <charset val="186"/>
      </rPr>
      <t xml:space="preserve">nevalstybinėse </t>
    </r>
    <r>
      <rPr>
        <sz val="10"/>
        <rFont val="Times New Roman"/>
        <family val="1"/>
        <charset val="186"/>
      </rPr>
      <t xml:space="preserve">bendrojo ugdymo mokyklose </t>
    </r>
  </si>
  <si>
    <t xml:space="preserve">Savivaldybės bendrojo ugdymo mokyklų lauko aikštelių krepšinio inventoriaus atnaujinimas </t>
  </si>
  <si>
    <t>Švietimo įstaigų persikėlimo į kitas patalpas organizavimas</t>
  </si>
  <si>
    <t xml:space="preserve">Centralizuotas ugdymo įstaigų langų valymas </t>
  </si>
  <si>
    <t xml:space="preserve">Savivaldybės švietimo įstaigų civilinės atsakomybės draudimas  </t>
  </si>
  <si>
    <t xml:space="preserve">Iš jų mokinių skaičius, vnt. </t>
  </si>
  <si>
    <r>
      <t xml:space="preserve">BĮ Klaipėdos regos ugdymo centro </t>
    </r>
    <r>
      <rPr>
        <sz val="10"/>
        <rFont val="Times New Roman"/>
        <family val="1"/>
        <charset val="186"/>
      </rPr>
      <t>veiklos užtikrinimas</t>
    </r>
  </si>
  <si>
    <r>
      <t>BĮ Klaipėdos miesto pedagogų švietimo ir kultūros centro</t>
    </r>
    <r>
      <rPr>
        <sz val="10"/>
        <rFont val="Times New Roman"/>
        <family val="1"/>
        <charset val="186"/>
      </rPr>
      <t xml:space="preserve"> veiklos užtikrinimas</t>
    </r>
  </si>
  <si>
    <t>Vaikų, kuriems iš dalies kompensuojamas ugdymas nevalstybinėse įstaigose, skaičius, vnt.</t>
  </si>
  <si>
    <t>Renginių, skirtų Lietuvos šimtmečio paminėjimui, skaičius, vnt.</t>
  </si>
  <si>
    <t>Dalyvių skaičius, vnt.</t>
  </si>
  <si>
    <t>Programų skaičius, vnt.</t>
  </si>
  <si>
    <t>Metodinių būrelių skaičius, vnt.</t>
  </si>
  <si>
    <t>Mokinių priėmimo į savivaldybės bendrojo ugdymo mokyklas informacinės sistemos sukūrimas ir priežiūra</t>
  </si>
  <si>
    <t>Įsigyta programinės įrangos, vnt.</t>
  </si>
  <si>
    <t>Administruojama informacinė sistema, vnt.</t>
  </si>
  <si>
    <t>Savivaldybės bendrojo ugdymo mokyklų pastatų ir aplinkos modernizavimas bei plėtra:</t>
  </si>
  <si>
    <t>Įstaigų, kuriose įsigyta įrangos ir baldų, skaičius, vnt.</t>
  </si>
  <si>
    <t>Parengtas techninis  projektas, vnt.</t>
  </si>
  <si>
    <r>
      <rPr>
        <b/>
        <sz val="10"/>
        <rFont val="Times New Roman"/>
        <family val="1"/>
        <charset val="186"/>
      </rPr>
      <t xml:space="preserve">BĮ </t>
    </r>
    <r>
      <rPr>
        <b/>
        <sz val="10"/>
        <rFont val="Times New Roman"/>
        <family val="1"/>
      </rPr>
      <t xml:space="preserve">Klaipėdos „Ąžuolyno“ gimnazijos </t>
    </r>
    <r>
      <rPr>
        <sz val="10"/>
        <rFont val="Times New Roman"/>
        <family val="1"/>
      </rPr>
      <t xml:space="preserve">modernizavimas </t>
    </r>
  </si>
  <si>
    <r>
      <t xml:space="preserve">BĮ Klaipėdos „Žaliakalnio“ gimnazijos </t>
    </r>
    <r>
      <rPr>
        <sz val="10"/>
        <rFont val="Times New Roman"/>
        <family val="1"/>
        <charset val="186"/>
      </rPr>
      <t xml:space="preserve">pastato inžinerinių sistemų ir vidaus patalpų remontas </t>
    </r>
  </si>
  <si>
    <t>Ikimokyklinio ugdymo įstaigų pastatų modernizavimas ir plėtra:</t>
  </si>
  <si>
    <t>BĮ Klaipėdos lopšelio-darželio „Žiogelis“ pastato (Kauno g. 27) modernizavimas</t>
  </si>
  <si>
    <t>Neformaliojo vaikų švietimo įstaigų pastatų rekonstravimas:</t>
  </si>
  <si>
    <t>BĮ Klaipėdos karalienės Luizės jaunimo centro (Puodžių g.) modernizavimas, plėtojant neformaliojo ugdymosi galimybes</t>
  </si>
  <si>
    <t>BĮ Klaipėdos Jeronimo Kačinsko muzikos mokyklos (Statybininkų pr. 5) pastato energinio efektyvumo didinimas</t>
  </si>
  <si>
    <t xml:space="preserve">Edukacinių erdvių įrengimas BĮ Klaipėdos lopšelyje-darželyje „Želmenėlis“ </t>
  </si>
  <si>
    <t>Vaikiškų lovyčių įsigijimas savivaldybės ikimokyklinio ugdymo įstaigose</t>
  </si>
  <si>
    <t xml:space="preserve">BĮ Klaipėdos lopšelyje-darželyje „Puriena“   </t>
  </si>
  <si>
    <t>BĮ Klaipėdos karalienės Luizės jaunimo centro Atvirose jaunimo erdvėse</t>
  </si>
  <si>
    <t>BĮ Klaipėdos Litorinos mokykloje</t>
  </si>
  <si>
    <t>Lovyčių skaičius, vnt.</t>
  </si>
  <si>
    <t>Įrengtų naujų darbo vietų skaičius, vnt.</t>
  </si>
  <si>
    <t>Įstaigų, kuriose atlikti remonto darbai, skaičius, vnt.</t>
  </si>
  <si>
    <t>Renovuotų, suremontuotų sistemų, skaičius, vnt.</t>
  </si>
  <si>
    <t>Įstaigų, kuriose likviduoti pažeidimai, skaičius, vnt.</t>
  </si>
  <si>
    <t>Prijungtų prie LITNET įstaigų skaičius, vnt.</t>
  </si>
  <si>
    <t>Saugomų pastatų, objektų skaičius, vnt.</t>
  </si>
  <si>
    <t>Parengta techninių projektų, vnt.</t>
  </si>
  <si>
    <t xml:space="preserve">Parengta techninių projektų, vnt.    </t>
  </si>
  <si>
    <t>Perkeltų įstaigų skaičius, vnt.</t>
  </si>
  <si>
    <t xml:space="preserve">Įstaigų skaičius, vnt.  </t>
  </si>
  <si>
    <t>Aptarnaujamų įstaigų skaičius, vnt.</t>
  </si>
  <si>
    <t>Įstaigų, kuriose diegiamos sistemos, skaičius, vnt.</t>
  </si>
  <si>
    <t>Parengta techninių darbo projektų, vnt.</t>
  </si>
  <si>
    <t>SB(ESA)</t>
  </si>
  <si>
    <r>
      <t xml:space="preserve">Savivaldybės biudžeto apyvartos lėšos ES finansinės paramos programų laikinam lėšų stygiui dengti  </t>
    </r>
    <r>
      <rPr>
        <b/>
        <sz val="10"/>
        <rFont val="Times New Roman"/>
        <family val="1"/>
        <charset val="186"/>
      </rPr>
      <t>SB(ESA)</t>
    </r>
  </si>
  <si>
    <r>
      <rPr>
        <b/>
        <sz val="10"/>
        <rFont val="Times New Roman"/>
        <family val="1"/>
        <charset val="186"/>
      </rPr>
      <t xml:space="preserve">BĮ Klaipėdos „Gilijos“ pradinės mokyklos </t>
    </r>
    <r>
      <rPr>
        <sz val="10"/>
        <rFont val="Times New Roman"/>
        <family val="1"/>
      </rPr>
      <t>(Taikos pr. 68) pastato energinio efektyvumo didinimas</t>
    </r>
  </si>
  <si>
    <r>
      <rPr>
        <b/>
        <sz val="10"/>
        <rFont val="Times New Roman"/>
        <family val="1"/>
        <charset val="186"/>
      </rPr>
      <t>Bendrojo ugdymo mokyklos pastato statyba</t>
    </r>
    <r>
      <rPr>
        <sz val="10"/>
        <rFont val="Times New Roman"/>
        <family val="1"/>
      </rPr>
      <t xml:space="preserve"> šiaurinėje miesto dalyje</t>
    </r>
  </si>
  <si>
    <r>
      <t xml:space="preserve">BĮ Klaipėdos Vytauto Didžiojo gimnazijos </t>
    </r>
    <r>
      <rPr>
        <sz val="10"/>
        <rFont val="Times New Roman"/>
        <family val="1"/>
        <charset val="186"/>
      </rPr>
      <t>(</t>
    </r>
    <r>
      <rPr>
        <sz val="10"/>
        <rFont val="Times New Roman"/>
        <family val="1"/>
      </rPr>
      <t>S. Daukanto g. 31) pastato patalpų einamasis remontas bei vėdinimo sistemos įrengimas senajame pastato korpuse</t>
    </r>
  </si>
  <si>
    <t>Suremontuotų įstaigų skaičius, vnt.</t>
  </si>
  <si>
    <t>Įsigyta programinė įranga, darbo vietų skaičius</t>
  </si>
  <si>
    <t>Atnaujinta aikštynų, skaičius</t>
  </si>
  <si>
    <t>P4</t>
  </si>
  <si>
    <t>Bendrojo ugdymo mokyklų tinklo pertvarkos 2016–2020 metų bendrojo plano priemonių įgyvendinimas:</t>
  </si>
  <si>
    <r>
      <rPr>
        <b/>
        <sz val="10"/>
        <rFont val="Times New Roman"/>
        <family val="1"/>
        <charset val="186"/>
      </rPr>
      <t>BĮ Klaipėdos Prano Mašioto progimnazijos</t>
    </r>
    <r>
      <rPr>
        <sz val="10"/>
        <rFont val="Times New Roman"/>
        <family val="1"/>
      </rPr>
      <t xml:space="preserve"> pastato Varpų g. 3 rekonstravimas</t>
    </r>
  </si>
  <si>
    <t>Patalpų pritaikymas BĮ Klaipėdos I. Simonaitytės mokyklos veiklai ir suaugusiųjų ugdymui BĮ Klaipėdos suaugusiųjų gimnazijoje (I. Simonaitytės g. 24)</t>
  </si>
  <si>
    <t>Pertvarkytų patalpų plotas, kv. m</t>
  </si>
  <si>
    <t>Patalpų plotas, kv. m</t>
  </si>
  <si>
    <t>Stacionarių ar nešiojamųjų kompiuterių skaičius, vnt.</t>
  </si>
  <si>
    <t>Parengta pastato energijos vartojimo audito ataskaita, vnt.</t>
  </si>
  <si>
    <t>SB(P)</t>
  </si>
  <si>
    <r>
      <t xml:space="preserve">Savivaldybės paskolų lėšos </t>
    </r>
    <r>
      <rPr>
        <b/>
        <sz val="10"/>
        <rFont val="Times New Roman"/>
        <family val="1"/>
      </rPr>
      <t>SB(P)</t>
    </r>
  </si>
  <si>
    <t>________________________________________</t>
  </si>
  <si>
    <t>2021-ųjų metų lėšų projektas</t>
  </si>
  <si>
    <t>2021-ieji metai</t>
  </si>
  <si>
    <t>Mokytis plaukti vežiojamų vaikų skaičius, vnt.</t>
  </si>
  <si>
    <t>Suorganizuotų edukacinių ir kultūrinių renginių skaičius, vnt., iš jų:</t>
  </si>
  <si>
    <t>Moksleivių saviraiškos centro</t>
  </si>
  <si>
    <t>Vaikų laisvalaikio centro</t>
  </si>
  <si>
    <t>Karalienės Luizės jaunimo centro</t>
  </si>
  <si>
    <t>Rugsėjo 1-osios šventės organizavimas (renginys „Švyturio“ arenoje), vaikų skaičius, vnt.</t>
  </si>
  <si>
    <t>Renginių (kvalifikacijos tobulinimo ir metodiniai) skaičius, vnt.</t>
  </si>
  <si>
    <t>Edukaciniai renginiai, vnt</t>
  </si>
  <si>
    <t>Pasirengimas Gamtos mokslų, technologijų, inžinerijos, matematikos mokslų ir kūrybiškumo ugdymo (STEAM) centro įveiklinimui</t>
  </si>
  <si>
    <t>STEAM metodikos parengimas, vnt.</t>
  </si>
  <si>
    <t>Programų parengimas, vnt.</t>
  </si>
  <si>
    <t>Maitinamų mokinių skaičius, vnt.</t>
  </si>
  <si>
    <t>Universitetinių klasių steigimas Klaipėdos Baltijos gimnazijoje</t>
  </si>
  <si>
    <t>Inžinerinės-gamtamokslinės laboratorijos įrengimas</t>
  </si>
  <si>
    <t>Laboratorinės įrangos ir priemonių įsigijimas, vnt.</t>
  </si>
  <si>
    <t>Dėstytojų etatų skaičius, vnt.</t>
  </si>
  <si>
    <t>Ugdymo proceso užtikrinimas  Klaipėdos sutrikusio vystymosi kūdikių namuose</t>
  </si>
  <si>
    <t>Vykdytojas (skyrius / asmuo)</t>
  </si>
  <si>
    <t>UKD Švietimo skyrius</t>
  </si>
  <si>
    <t>Informavimo ir e. paslaugų skyrius</t>
  </si>
  <si>
    <t>Garantinės priežiūros etapų sk.</t>
  </si>
  <si>
    <t>Informavimo ir e-paslaugų skyrius</t>
  </si>
  <si>
    <t>Švietimo įstaigų modulinių kompleksų įrengimas ir nuoma</t>
  </si>
  <si>
    <t>Išnuomota grupių ikimokykliniam ir priešmokykliniam ugdymui, vnt.</t>
  </si>
  <si>
    <t>Patalpų plotas, kv.m.</t>
  </si>
  <si>
    <t>Įrengtų suoliukų skaičius, vnt.</t>
  </si>
  <si>
    <t>Lauko žaidimų aikštelių ir įrengimų atnaujinimas ikimokyklinėse ugdymo įstaigose</t>
  </si>
  <si>
    <t>MŪD Socialinės infrastruktūros skyrius</t>
  </si>
  <si>
    <t>BĮ Klaipėdos psichologinėje pedagoginėje tarnyboje</t>
  </si>
  <si>
    <t>Stacionarių ar nešiojamų kompiuterių skaičius, vnt.</t>
  </si>
  <si>
    <t>Išmaniųjų klasių įrengimas</t>
  </si>
  <si>
    <t>Neformaliojo švietimo ir pagalbos įstaigų aprūpinimas mobilia-interaktyvia įranga</t>
  </si>
  <si>
    <t>Kompiuterių mokyklose atnaujinimas</t>
  </si>
  <si>
    <t>IED Statybos ir infrastruktūros plėtros skyrius</t>
  </si>
  <si>
    <r>
      <rPr>
        <b/>
        <sz val="10"/>
        <rFont val="Times New Roman"/>
        <family val="1"/>
        <charset val="186"/>
      </rPr>
      <t>Modernių ugdymosi erdvių sukūrimas Klaipėdos miesto progimnazijose ir gimnazijose</t>
    </r>
    <r>
      <rPr>
        <sz val="10"/>
        <rFont val="Times New Roman"/>
        <family val="1"/>
        <charset val="186"/>
      </rPr>
      <t xml:space="preserve"> („Smeltės“, Liudviko Stulpino, „Sendvario“, „Gedminų“, „Verdenės“ progimnazijose ir  „Vėtrungės“, „Varpo“ gimnazijose)</t>
    </r>
  </si>
  <si>
    <t>Parengtas techninis projektas, vnt. </t>
  </si>
  <si>
    <r>
      <t xml:space="preserve">Lifto įrengimas </t>
    </r>
    <r>
      <rPr>
        <b/>
        <sz val="10"/>
        <rFont val="Times New Roman"/>
        <family val="1"/>
      </rPr>
      <t xml:space="preserve">Martyno Mažvydo progimnazijoje </t>
    </r>
  </si>
  <si>
    <r>
      <t xml:space="preserve">Klaipėdos „Versmės“ progimnazijos </t>
    </r>
    <r>
      <rPr>
        <sz val="10"/>
        <rFont val="Times New Roman"/>
        <family val="1"/>
      </rPr>
      <t xml:space="preserve">sporto aikštyno Klaipėdoje, I. Simonaitytės g. 2, atnaujinimas </t>
    </r>
  </si>
  <si>
    <t>IED Projektų skyrius</t>
  </si>
  <si>
    <t>80</t>
  </si>
  <si>
    <t>MŪD Socialinės infrastruktūros priežiūros skyrius</t>
  </si>
  <si>
    <r>
      <t xml:space="preserve">Gedminų progimnazijos modernizavimas </t>
    </r>
    <r>
      <rPr>
        <sz val="10"/>
        <rFont val="Times New Roman"/>
        <family val="1"/>
      </rPr>
      <t>(projekto „Bendrojo ugdymo mokyklų (progimnazijų, pagrindinių mokyklų) modernizavimas ir šiuolaikinių mokymosi erdvių kūrimas“ įgyvendinimas)</t>
    </r>
  </si>
  <si>
    <r>
      <rPr>
        <b/>
        <sz val="10"/>
        <rFont val="Times New Roman"/>
        <family val="1"/>
      </rPr>
      <t>BĮ Klaipėdos Simono Dacho progimnazijos</t>
    </r>
    <r>
      <rPr>
        <sz val="10"/>
        <rFont val="Times New Roman"/>
        <family val="1"/>
      </rPr>
      <t xml:space="preserve"> (Kuršių a. 2/3) modernizavimas (sporto salės atnaujinimas) </t>
    </r>
  </si>
  <si>
    <t>Ataskaitos patvirtinimas, finansų auditas ir viešinimas, vnt.</t>
  </si>
  <si>
    <t>Atlikta modernizavimo darbų, užbaigtumas proc.</t>
  </si>
  <si>
    <t>Pilotinio projekto H. Zudermano gimnazijos pastato ūkio priežiūros sistemos diegimas</t>
  </si>
  <si>
    <t>2021 m. lėšų projektas</t>
  </si>
  <si>
    <t>Aiškinamojo rašto priedas Nr.3</t>
  </si>
  <si>
    <t>08</t>
  </si>
  <si>
    <t>09</t>
  </si>
  <si>
    <t>11</t>
  </si>
  <si>
    <t>12</t>
  </si>
  <si>
    <t>13</t>
  </si>
  <si>
    <t>14</t>
  </si>
  <si>
    <t>15</t>
  </si>
  <si>
    <t>16</t>
  </si>
  <si>
    <t>17</t>
  </si>
  <si>
    <t>18</t>
  </si>
  <si>
    <t>19</t>
  </si>
  <si>
    <t>20</t>
  </si>
  <si>
    <t xml:space="preserve">Klaipėdos miesto bendrojo ugdymo mokyklų antrųjų klasių mokinių vežimo paslaugos mokyti plaukti užtikrinimas  </t>
  </si>
  <si>
    <t xml:space="preserve">Pedagogų kompetencijų tobulinimas, siekiant švietimo įstaigose įgyvendinti privalomas prevencines programas </t>
  </si>
  <si>
    <t>Papriemonės kodas</t>
  </si>
  <si>
    <t>Papariemonės kodas</t>
  </si>
  <si>
    <t>Projekto vadovė I. Dulkytė</t>
  </si>
  <si>
    <t>Projekto vadovė D. Šakinienė</t>
  </si>
  <si>
    <t>Eil. Nr.</t>
  </si>
  <si>
    <t>Planuojama priemonė</t>
  </si>
  <si>
    <t>Įstaiga, atsakinga už priemonę</t>
  </si>
  <si>
    <t>Mėnuo</t>
  </si>
  <si>
    <t>Planuojamas lėšų poreikis (Eur)</t>
  </si>
  <si>
    <t xml:space="preserve">1. </t>
  </si>
  <si>
    <t>1.1.</t>
  </si>
  <si>
    <t>Metodinė diena „Standartizuotų testų rezultatų panaudojimo galimybės, gerinant individualius mokinių pasiekimus“</t>
  </si>
  <si>
    <t>PŠKC</t>
  </si>
  <si>
    <t>vasaris</t>
  </si>
  <si>
    <t>1.2.</t>
  </si>
  <si>
    <t>Respublikinė mokinių teorinė-praktinė konferencija „Sveika karta – tautos ateities pagrindas“</t>
  </si>
  <si>
    <t>KLJC</t>
  </si>
  <si>
    <t>1.3.</t>
  </si>
  <si>
    <t>Mokinių ir studentų mokslinė-praktinė konferencija „Gimtosios kalbos upės ir upeliai“</t>
  </si>
  <si>
    <t>1.4.</t>
  </si>
  <si>
    <t>Respublikinė konferencija „Motyvacija mokytis – pagrindinis geros mokyklos aspektas“</t>
  </si>
  <si>
    <t>kovas</t>
  </si>
  <si>
    <t>1.5.</t>
  </si>
  <si>
    <t>Forumas „Lyderių laikas 3. Pokyčių sėkmė – komandinis darbas“</t>
  </si>
  <si>
    <t>balandis</t>
  </si>
  <si>
    <t>1.6.</t>
  </si>
  <si>
    <t>Tarptautinė mokinių informacinių technologijų konferencija „MIK–11“</t>
  </si>
  <si>
    <t>MSC</t>
  </si>
  <si>
    <t>1.7.</t>
  </si>
  <si>
    <t>Mokinių konferenciją „Klaipėdos versmės: pažink savo gimtąjį miestą“</t>
  </si>
  <si>
    <t>1.8.</t>
  </si>
  <si>
    <t>Miesto metodinių būrelių organizuojamos Klaipėdos krašto ir respublikinės konferencijos mokytojams ir specialistams</t>
  </si>
  <si>
    <t>balandis–gruodis</t>
  </si>
  <si>
    <t>1.9.</t>
  </si>
  <si>
    <t>Metodinė išvyka-konferencija „Klaipėdos krašto rašytojų keliais“</t>
  </si>
  <si>
    <t>1.10.</t>
  </si>
  <si>
    <t>Klaipėdos miesto švietimo įstaigų vadovų rudeninė konferencija „Naujus mokslo metus pasitinkant“</t>
  </si>
  <si>
    <t>rugpjūtis</t>
  </si>
  <si>
    <t>1.11.</t>
  </si>
  <si>
    <t>Mokinių konferencija „Programavimas – mano laisvalaikio dalis“</t>
  </si>
  <si>
    <t>spalis</t>
  </si>
  <si>
    <t>1.12.</t>
  </si>
  <si>
    <t>Klaipėdos miesto ir regiono mokinių praktinių-tiriamųjų darbų gamtamokslinė konferencija „Pažink mus supantį pasaulį“</t>
  </si>
  <si>
    <t>1.13.</t>
  </si>
  <si>
    <t>Forumas „Lyderių laikas 3. Pasidalinamoji lyderystė, įgyvendinant pokyčių planą“</t>
  </si>
  <si>
    <t>1.14.</t>
  </si>
  <si>
    <t>Apskrities mokinių matematikos konferencija „Matematika gali būti patraukli kiekvienam “</t>
  </si>
  <si>
    <t>lapkritis</t>
  </si>
  <si>
    <t>2.1.</t>
  </si>
  <si>
    <t>Lietuvos mokinių dalykinių olimpiadų ir konkursų Klaipėdos miesto etapas. Reprezentaciniai renginiai</t>
  </si>
  <si>
    <t>sausis–gruodis</t>
  </si>
  <si>
    <t>2.2.</t>
  </si>
  <si>
    <t>Dailaus rašto konkursas „Žąsies plunksna“</t>
  </si>
  <si>
    <t>sausis</t>
  </si>
  <si>
    <t>2.3.</t>
  </si>
  <si>
    <t>Gimnazijų mokinių skaitovų konkursas „Gyvenimo spalvos“ (užsienio kalba)</t>
  </si>
  <si>
    <t>2.4.</t>
  </si>
  <si>
    <t>Klaipėdos miesto ir regiono mokinių gamtamokslinių idėjų konkursas</t>
  </si>
  <si>
    <t>2.5.</t>
  </si>
  <si>
    <t>Regioninis IT turnyras „IT intelektas – 2019“</t>
  </si>
  <si>
    <t>2.6.</t>
  </si>
  <si>
    <t>Jaunųjų oratorių konkursas (gimtąja kalba)</t>
  </si>
  <si>
    <t>2.7.</t>
  </si>
  <si>
    <t>Antikos kultūros konkursas „Veni. Vidi. Vici“</t>
  </si>
  <si>
    <t>2.8.</t>
  </si>
  <si>
    <t>Viktorina „Aš žinau, kaip būti saugiam ir padėti kitam – 2019!“</t>
  </si>
  <si>
    <t>2.9.</t>
  </si>
  <si>
    <t>Informacinių technologijų konkursas „IT varžybos‟</t>
  </si>
  <si>
    <t>2.10.</t>
  </si>
  <si>
    <t>5 klasių mokinių konkursas „Jaunieji Klaipėdos istorijos žinovai“</t>
  </si>
  <si>
    <t>2.11.</t>
  </si>
  <si>
    <t>Klaipėdos regiono 8 klasių mokinių anglų kalbos konkursas</t>
  </si>
  <si>
    <t>2.12.</t>
  </si>
  <si>
    <t>Miesto 8 klasių mokinių chemijos konkursas „Auksinis mėgintuvėlis–2019“</t>
  </si>
  <si>
    <t>2.13.</t>
  </si>
  <si>
    <t>Klaipėdos miesto ir regiono mokinių konkursas-viktorina „Noriu būti sveikas“</t>
  </si>
  <si>
    <t>2.14.</t>
  </si>
  <si>
    <t>Lietuvos matematikos olimpiados respublikinis etapas</t>
  </si>
  <si>
    <t>2.15.</t>
  </si>
  <si>
    <t>Lietuvos mokinių dalykinių olimpiadų ir konkursų ir Klaipėdos miesto etapo laureatų ir prizininkų pagerbimo šventė</t>
  </si>
  <si>
    <t>gegužė</t>
  </si>
  <si>
    <t>2.16.</t>
  </si>
  <si>
    <t>Raštų skaitymo ir rašinių konkursas „Vyskupo Motiejaus Valančiaus idėjos ir šiandiena“</t>
  </si>
  <si>
    <t>2.17.</t>
  </si>
  <si>
    <t>Pradinių klasių mokinių meninio skaitymo konkursas „Gražiausi žodžiai Lietuvai“</t>
  </si>
  <si>
    <t>2.18.</t>
  </si>
  <si>
    <t>Klaipėdos regiono mokinių meninio skaitymo ir dainuojamosios poezijos konkursas „Tegul suskamba žodis, tegul skamba daina“</t>
  </si>
  <si>
    <t>2.19.</t>
  </si>
  <si>
    <t>Ikimokyklinio ir priešmokyklinio amžiaus vaikų meninio skaitymo konkursas „Kalbu Lietuvai“</t>
  </si>
  <si>
    <t>2.20.</t>
  </si>
  <si>
    <t>Miesto mokyklų 3–4 klasių mokinių konkursas „Pažink senuosius klaipėdiškių darbus“</t>
  </si>
  <si>
    <t>2.21.</t>
  </si>
  <si>
    <t>Dailaus rašto konkursas „Rusiškai rašome gražiai ir taisyklingai“</t>
  </si>
  <si>
    <t>2.22.</t>
  </si>
  <si>
    <t>Konkursas „Profesijų labirintas“</t>
  </si>
  <si>
    <t xml:space="preserve">lapkritis </t>
  </si>
  <si>
    <t>2.23.</t>
  </si>
  <si>
    <t>Vakarų Lietuvos gimnazijų moksleivių virtualaus rašinio konkurso anglų kalba baigiamasis renginys</t>
  </si>
  <si>
    <t>3.1.</t>
  </si>
  <si>
    <t>Klaipėdos krašto dienai skirti renginiai „Aš noriu gyventi tik čia“</t>
  </si>
  <si>
    <t>3.2.</t>
  </si>
  <si>
    <t>Lietuvos valstybės atkūrimui skirti renginiai „Lietuva–miestas–mokykla“</t>
  </si>
  <si>
    <t>3.3.</t>
  </si>
  <si>
    <t>Karalienės Luizės medalių teikimo šventė</t>
  </si>
  <si>
    <t>3.4.</t>
  </si>
  <si>
    <t>Lietuvos nepriklausomybės atkūrimo dienai skirti renginiai „Geltona. Žalia. Raudona."</t>
  </si>
  <si>
    <t>3.5.</t>
  </si>
  <si>
    <t>Padėkos renginys metodinių būrelių mokytojams „Pastabos pačiam sau“</t>
  </si>
  <si>
    <t>3.6.</t>
  </si>
  <si>
    <t>Mero priėmimas miesto abiturientams. Paskutinio skambučio šventė</t>
  </si>
  <si>
    <t>3.7.</t>
  </si>
  <si>
    <t>Ikimokyklinio ugdymo įstaigų renginys, skirtas Tarptautinei vaikų gynimo dienai</t>
  </si>
  <si>
    <t>birželis</t>
  </si>
  <si>
    <t>3.8.</t>
  </si>
  <si>
    <t>Mero priėmimas „Klaipėdos miesto pasididžiavimas – šimtukininkas“</t>
  </si>
  <si>
    <t>liepa</t>
  </si>
  <si>
    <t>3.9.</t>
  </si>
  <si>
    <t>Pirmoji pamoka Lietuvininkų aikštėje</t>
  </si>
  <si>
    <t>rugsėjis</t>
  </si>
  <si>
    <t>3.10.</t>
  </si>
  <si>
    <t>Tarptautinė mokytojų dienos šventė</t>
  </si>
  <si>
    <t>3.11.</t>
  </si>
  <si>
    <t>Mero kalėdinis priėmimas miesto gabiausiems mokiniams</t>
  </si>
  <si>
    <t>gruodis</t>
  </si>
  <si>
    <t>4.1.</t>
  </si>
  <si>
    <t>2018–2019 m. m. Mero taurės sporto žaidynės</t>
  </si>
  <si>
    <t>4.2.</t>
  </si>
  <si>
    <t>2018–2019 m. m. Lietuvos mokyklų žaidynės</t>
  </si>
  <si>
    <t>4.3.</t>
  </si>
  <si>
    <t>Tarpmokyklinės rankų lenkimo varžybos „Aš galiu!“</t>
  </si>
  <si>
    <t>4.4.</t>
  </si>
  <si>
    <t>Atviros miesto paprasčiausių laivų modelių varžybos</t>
  </si>
  <si>
    <t>4.5.</t>
  </si>
  <si>
    <t>Žiemos pėsčiųjų žygis „Kuršių nerijos takais“</t>
  </si>
  <si>
    <t>4.6.</t>
  </si>
  <si>
    <t>Klaipėdos Robotikos dienos</t>
  </si>
  <si>
    <t>vasaris, gruodis</t>
  </si>
  <si>
    <t>4.7.</t>
  </si>
  <si>
    <t>Miesto XXIV aviamodelių varžybos „Skrydis“</t>
  </si>
  <si>
    <t>4.8.</t>
  </si>
  <si>
    <t>Laipiojimo uolomis varžybos „Visiems“</t>
  </si>
  <si>
    <t>kovas–lapkritis</t>
  </si>
  <si>
    <t>4.9.</t>
  </si>
  <si>
    <t>Lietuvos mokinių konkurso „Saugokime jaunas gyvybes keliuose“ pradinių klasių mokinių saugaus eismo konkurso „Šviesoforas“ II (miesto) etapas</t>
  </si>
  <si>
    <t>4.10.</t>
  </si>
  <si>
    <t>Lietuvos trasinių automodelių sporto varžybų „Lietuvos trasos“ III etapas</t>
  </si>
  <si>
    <t>4.11.</t>
  </si>
  <si>
    <t>Respublikinis šachmatų turnyras „Baltijos taurė“</t>
  </si>
  <si>
    <t>VLC</t>
  </si>
  <si>
    <t>4.12.</t>
  </si>
  <si>
    <t>Orientavimosi sporto ketvirtadieniai</t>
  </si>
  <si>
    <t>balandis–spalis</t>
  </si>
  <si>
    <t>4.13.</t>
  </si>
  <si>
    <t>Mokinių turistinis sąskrydis „Baltijos pavasaris”</t>
  </si>
  <si>
    <t>4.14.</t>
  </si>
  <si>
    <t>Ikimokyklinio amžiaus vaikų sveikatos ir sporto šventė prie jūros „Draugystės krantas“</t>
  </si>
  <si>
    <t>4.15.</t>
  </si>
  <si>
    <t>Mokinių bepiločių orlaivių (dronų) varžybos</t>
  </si>
  <si>
    <t>gegužė, lapkritis</t>
  </si>
  <si>
    <t>4.16.</t>
  </si>
  <si>
    <t>Rudens žygis pėsčiomis „Mūsų pajūris: Šventoji–Palanga–Klaipėda”</t>
  </si>
  <si>
    <t>4.17.</t>
  </si>
  <si>
    <t>Dviračių turizmo varžybos „Gintarinės kopos“</t>
  </si>
  <si>
    <t>4.18.</t>
  </si>
  <si>
    <t>Klaipėdos miesto vaikų ir jų tėvų rudens sporto šventė-projektas „Šeimos pramogų uostas“</t>
  </si>
  <si>
    <t>4.19.</t>
  </si>
  <si>
    <t>Ekskursijų savaitė pradinių klasių mokiniams „Pasivaikščiojimas su Senamiesčio katinu“</t>
  </si>
  <si>
    <t>4.20.</t>
  </si>
  <si>
    <t>Varžybos „Senamiesčio orientavimosi ralis – 2019“</t>
  </si>
  <si>
    <t>5.</t>
  </si>
  <si>
    <t>5.1.</t>
  </si>
  <si>
    <t>Mokinių koncertas-akcija „Aš noriu gyventi tik čia“</t>
  </si>
  <si>
    <t>5.2.</t>
  </si>
  <si>
    <t>Festivalis-konkursas „Dainuok lietuviškai, dainuok apie Lietuvą“</t>
  </si>
  <si>
    <t>5.3.</t>
  </si>
  <si>
    <t>Respublikinis skrabalininkų konkursas „Pamario žirgeliai“</t>
  </si>
  <si>
    <t>5.4.</t>
  </si>
  <si>
    <t>Žemaitijos regiono lėlių teatrų festivalis „Šalpusnis“</t>
  </si>
  <si>
    <t>5.5.</t>
  </si>
  <si>
    <t>Šiaurinės miesto dalies švietimo įstaigų koncertas „Nupiešiu Lietuvą“</t>
  </si>
  <si>
    <t>5.6.</t>
  </si>
  <si>
    <t>Tautinė vakaronė „Aš tikrai myliu Lietuvą“</t>
  </si>
  <si>
    <t>5.7.</t>
  </si>
  <si>
    <t>Vokalinių duetų konkursas-festivalis „Dviese“</t>
  </si>
  <si>
    <t>5.8.</t>
  </si>
  <si>
    <t>Integruoto (šokio/dailės) projekto „Šokis mano gyvenime XV“ respublikinis renginys</t>
  </si>
  <si>
    <t>5.9.</t>
  </si>
  <si>
    <t>VI tarptautinis nacionalinės dainos konkursas „Garsų paletė“</t>
  </si>
  <si>
    <t>5.10.</t>
  </si>
  <si>
    <t>Lietuvos lėlių teatrų konkursas „Molinuko teatras“ miesto ir šalies etapai</t>
  </si>
  <si>
    <t>5.11.</t>
  </si>
  <si>
    <t>Ikimokyklinio ugdymo įstaigų šventinis koncertas „Praeitis augina ateitį“</t>
  </si>
  <si>
    <t>5.12.</t>
  </si>
  <si>
    <t>Klaipėdos regiono dainų konkursas „Geriausias gimnazijų balsas“</t>
  </si>
  <si>
    <t>5.13.</t>
  </si>
  <si>
    <t>Teatrinio meno festivalis „Vėjo malūnėlis“</t>
  </si>
  <si>
    <t>5.14.</t>
  </si>
  <si>
    <t>Respublikinis mažųjų šokėjų festivalis „Traukinukas – 2019“</t>
  </si>
  <si>
    <t>5.15.</t>
  </si>
  <si>
    <t>Respublikinis vaikų teatrų festivalis „Teatro uostas“</t>
  </si>
  <si>
    <t xml:space="preserve">balandis </t>
  </si>
  <si>
    <t>5.16.</t>
  </si>
  <si>
    <t>Tarptautinis festivalis „Šokio vizija“</t>
  </si>
  <si>
    <t>5.17.</t>
  </si>
  <si>
    <t>XVIII Klaipėdos miesto ir apskrities mokyklų vaikų ir jaunimo instrumentinės muzikos festivalis „Varpo aidas“</t>
  </si>
  <si>
    <t>Tarptautinis teatrinio meno festivalis „Gintarinė aušra“</t>
  </si>
  <si>
    <t>5.18.</t>
  </si>
  <si>
    <t>V respublikinis tarpmokyklinis šokių konkursas-festivalis „Šokio mozaika – 2019“</t>
  </si>
  <si>
    <t>5.19.</t>
  </si>
  <si>
    <t>Liaudiškos dainos festivalis-konkursas ,,Vyturio giesmė“</t>
  </si>
  <si>
    <t>5.20.</t>
  </si>
  <si>
    <t>Choreografijos studijos „Inkarėlis“ festivalis „Į ratelį“</t>
  </si>
  <si>
    <t>5.21.</t>
  </si>
  <si>
    <t>Klaipėdos miesto ir Žemaitijos regiono jaunųjų gitaristų konkursas „Gitaroms skambant“</t>
  </si>
  <si>
    <t>5.22.</t>
  </si>
  <si>
    <t>Klaipėdos miesto ir regiono bendro ugdymo mokyklų ,,Vokiškos dainos konkursas – 2019“</t>
  </si>
  <si>
    <t>5.23.</t>
  </si>
  <si>
    <t>Respublikinis ikimokyklinio ugdymo įstaigų vaikų kūrybinės raiškos festivalis „Vaidinimų kraitelė – 2019“</t>
  </si>
  <si>
    <t>VI tarptautinis jaunųjų pianistų konkursas „Baltijos gintarėliai“</t>
  </si>
  <si>
    <t>Instrumentinės muzikos festivalis „Senoji muzika“</t>
  </si>
  <si>
    <t>Vakarų Lietuvos vaikų ir jaunimo muzikos grupių festivalis „Muzikos šėlsmas“</t>
  </si>
  <si>
    <t>6.</t>
  </si>
  <si>
    <t>6.1.</t>
  </si>
  <si>
    <t>Respublikinis piešinių ir fotografijos darbų konkursas „Trijų spalvų istorija“</t>
  </si>
  <si>
    <t>sausis–balandis</t>
  </si>
  <si>
    <t>6.2.</t>
  </si>
  <si>
    <t>Ikimokyklinio amžiaus vaikų piešinių parodos „Mano piešinyje gyvena Lietuva“</t>
  </si>
  <si>
    <t>kovas–</t>
  </si>
  <si>
    <t>6.3.</t>
  </si>
  <si>
    <t>Tarptautinė keramikos darbų paroda „Odė žemei–2019“</t>
  </si>
  <si>
    <t>6.4.</t>
  </si>
  <si>
    <t>Penktasis tarptautinis mokinių piešinių ir plastikos konkursas „Wave on Wave“</t>
  </si>
  <si>
    <t>6.5.</t>
  </si>
  <si>
    <t>Mokinių fotografijos paroda-konkursas „Polėkis”</t>
  </si>
  <si>
    <t>6.6.</t>
  </si>
  <si>
    <t>Kūrybinių darbų konkursas „Baltos lankos, juodos avys“</t>
  </si>
  <si>
    <t>6.7.</t>
  </si>
  <si>
    <t>Miesto mokinių popieriaus darbų paroda „Stebuklingas popierius“</t>
  </si>
  <si>
    <t>6.8.</t>
  </si>
  <si>
    <t>Ikimokyklinio amžiaus vaikų keramikos darbų paroda „Keramikų pavasaris“</t>
  </si>
  <si>
    <t>6.9.</t>
  </si>
  <si>
    <t>Respublikinis piešinių ir dailės darbų konkursas „Šiuolaikinė madona“, skirtas Motinos dienai</t>
  </si>
  <si>
    <t xml:space="preserve">gegužė </t>
  </si>
  <si>
    <t>6.10.</t>
  </si>
  <si>
    <t>Pleneras „Dvarai pasakoja...“</t>
  </si>
  <si>
    <t>6.11.</t>
  </si>
  <si>
    <t xml:space="preserve">Parodų ciklas miesto mokiniams ,,Jaunųjų dailininkų ekspromtas–3“ </t>
  </si>
  <si>
    <t>birželis–spalis</t>
  </si>
  <si>
    <t>6.12.</t>
  </si>
  <si>
    <t>Klaipėdos miesto mokinių darbų iš gamtinės medžiagos paroda „Floristinė knyga“</t>
  </si>
  <si>
    <t>6.13.</t>
  </si>
  <si>
    <t>Trumpo metro kino, muzikinių vaizdo klipų bei reklamų festivalis – konkursas „Video virdulys“ (Atviros jaunimo erdvės)</t>
  </si>
  <si>
    <t>6.14.</t>
  </si>
  <si>
    <t>Tarptautinis kompiuterinių piešinių konkursas „The miracles of the Christmas“</t>
  </si>
  <si>
    <t>7.</t>
  </si>
  <si>
    <t>7.1.</t>
  </si>
  <si>
    <t>Respublikinis projektas „Šypsena nieko nekainuoja“</t>
  </si>
  <si>
    <t>sausis–gegužė</t>
  </si>
  <si>
    <t>7.2.</t>
  </si>
  <si>
    <t>Projektas „Literatūriniai skaitymai netradicinėse erdvėse“</t>
  </si>
  <si>
    <t>7.3.</t>
  </si>
  <si>
    <t>Projektų mugė „Gedminai – 2019. Lietuva prasideda mokykloje“</t>
  </si>
  <si>
    <t>7.4.</t>
  </si>
  <si>
    <t>Edukacinių renginių ciklas miesto mokiniams „Vakarai prie židinio“</t>
  </si>
  <si>
    <t>vasaris–lapkritis</t>
  </si>
  <si>
    <t>7.5.</t>
  </si>
  <si>
    <t>Mokinių mokomųjų bendrovių mugė</t>
  </si>
  <si>
    <t>7.6.</t>
  </si>
  <si>
    <t>Frankofonijos diena</t>
  </si>
  <si>
    <t>7.7.</t>
  </si>
  <si>
    <t>Klaipėdos miesto metodinių būrelių pirmininkų edukacinė išvyka „Partnerystė plėtojant metodinę veiklą“</t>
  </si>
  <si>
    <t>7.8..</t>
  </si>
  <si>
    <t>kovas–liepa</t>
  </si>
  <si>
    <t>7.9.</t>
  </si>
  <si>
    <t>Kūrybinis-pažintinis konkursas „Jei bendrai visi judėsim, miesto paslaptį įspėsim“</t>
  </si>
  <si>
    <t>7.10.</t>
  </si>
  <si>
    <t>Tęstinis projektas „Švietimo vadybos tobulinimo galimybės. Ko galime pasimokyti iš kitų patirties?“</t>
  </si>
  <si>
    <t>7.11.</t>
  </si>
  <si>
    <t>Pavasario jaunimo ekspedicija „Mažoji Lietuva – 2019“</t>
  </si>
  <si>
    <t>7.12.</t>
  </si>
  <si>
    <t>Priešmokyklinio amžiaus vaikų renginys „Aš – smalsus tyrėjas“</t>
  </si>
  <si>
    <t>7.13.</t>
  </si>
  <si>
    <t>Projektas „Knygų ekspertų kovos“</t>
  </si>
  <si>
    <t>7.14.</t>
  </si>
  <si>
    <t>Projektas „Atsakymo ieškokime kartu“</t>
  </si>
  <si>
    <t>7.15.</t>
  </si>
  <si>
    <t>Projektas „Ant mokyklos stogo“</t>
  </si>
  <si>
    <t>7.16.</t>
  </si>
  <si>
    <t>Projektas „Šeimų dienos bendrojo ugdymo įstaigose“</t>
  </si>
  <si>
    <t>7.17.</t>
  </si>
  <si>
    <t>Mokinių, turinčių įvairių gebėjimų ir poreikių, saviraiškos festivalis „Man smagu, Tau smagu, tad pabūkime kartu“</t>
  </si>
  <si>
    <t>7.18.</t>
  </si>
  <si>
    <t>Puodžių gatvės šventė „Lietuva prasideda mano gatvėje!“</t>
  </si>
  <si>
    <t>7.19.</t>
  </si>
  <si>
    <t>Edukacinė išvyka „Atraskim Lietuvą Lietuvoje“</t>
  </si>
  <si>
    <t>7.20.</t>
  </si>
  <si>
    <t>Tarptautinis festivalis-projektas „Žaisminga laisvalaikio diena“</t>
  </si>
  <si>
    <t>7.21.</t>
  </si>
  <si>
    <t>Projektas „Vandens telkinių gyvasis pasaulis“</t>
  </si>
  <si>
    <t>gegužė,</t>
  </si>
  <si>
    <t>7.22.</t>
  </si>
  <si>
    <t>Klaipėdos miesto keramikos edukacinis projektas „Sidabrinės žuvys gintarinėj upėj“</t>
  </si>
  <si>
    <t>7.23.</t>
  </si>
  <si>
    <t>Tarptautinis projektas „Ugdymo karjerai sistemų įvairovė“</t>
  </si>
  <si>
    <t>7.24.</t>
  </si>
  <si>
    <t>Kūrybinis literatūrinis žaidimas „Vaikai vaikams apie knygas“</t>
  </si>
  <si>
    <t>7.25.</t>
  </si>
  <si>
    <t>Projektas „2019 metų suaugusiųjų mokymosi savaitė“</t>
  </si>
  <si>
    <t>KONFERENCIJOS</t>
  </si>
  <si>
    <t>DALYKINĖS OLIMPIADOS IR KONKURSAI</t>
  </si>
  <si>
    <t>TRADICINĖS MIESTO ŠVENTĖS IR RENGINIAI</t>
  </si>
  <si>
    <t>SPORTO IR SVEIKOS GYVENSENOS RENGINIAI</t>
  </si>
  <si>
    <t>MUZIKINIAI, CHOREOGRAFINIAI IR TEATRINIAI RENGINIAI</t>
  </si>
  <si>
    <t>PARODOS IR VIZUALINIO MENO KONKURSAI</t>
  </si>
  <si>
    <t>PROJEKTAI IR AKCIJOS</t>
  </si>
  <si>
    <t>2.</t>
  </si>
  <si>
    <t>3.</t>
  </si>
  <si>
    <t>4.</t>
  </si>
  <si>
    <r>
      <t>Renginiai, skirti miesto bendruomenei „Aš klaipėdietis visa širdimi esu“</t>
    </r>
    <r>
      <rPr>
        <sz val="11"/>
        <rFont val="Times New Roman"/>
        <family val="1"/>
        <charset val="186"/>
      </rPr>
      <t xml:space="preserve"> </t>
    </r>
    <r>
      <rPr>
        <sz val="12"/>
        <rFont val="Times New Roman"/>
        <family val="1"/>
        <charset val="186"/>
      </rPr>
      <t>(Atviros jaunimo erdvės)</t>
    </r>
  </si>
  <si>
    <t>Iš viso visiems renginiams:</t>
  </si>
  <si>
    <t xml:space="preserve">Projekto vadovė I. Dulkytė </t>
  </si>
  <si>
    <t xml:space="preserve">IED Projektų skyrius </t>
  </si>
  <si>
    <t>Projektų skyrius D. Šakinienė</t>
  </si>
  <si>
    <t>IED D. Šakinienė ir V. Tkačik</t>
  </si>
  <si>
    <t>IED V. Tkačik ir V. Kovaitis</t>
  </si>
  <si>
    <t>Klaipėdos jūrų kadetų mokyklos steigimas:</t>
  </si>
  <si>
    <t>Patalpų pritaikymas</t>
  </si>
  <si>
    <t>Klasių skaičius, vnt.</t>
  </si>
  <si>
    <t>Įrengtų technologijų kabinetų skaičius, vnt.</t>
  </si>
  <si>
    <t xml:space="preserve">Vidaus patalpų remontas po šiluminės renovacijos (2020 m. - L.Stulpino progimnazijos bibliotekos ir aktų salės remontas) </t>
  </si>
  <si>
    <t>Ugdymo proceso ir aplinkos užtikrinimas</t>
  </si>
  <si>
    <t>Energetinio efektyvumo didinimas ikimokyklinio ugdymo įstaigose:</t>
  </si>
  <si>
    <t>Edukacinių erdvių įrengimas Klaipėdos „Verdenės“ progimnazijoje</t>
  </si>
  <si>
    <t xml:space="preserve">Projektų skyrius,  V. Pronskuvienė </t>
  </si>
  <si>
    <t>Švietimo paslaugų modernizavimo 2018-2021 metais programos priemonių įgyvendinimas:</t>
  </si>
  <si>
    <t xml:space="preserve">iš jų mokinių skaičius, vnt. </t>
  </si>
  <si>
    <t>Maitinimo ikimokyklinio ugdymo įstaigose administravimo informacinės sistemos sukūrimas ir priežiūra</t>
  </si>
  <si>
    <r>
      <rPr>
        <b/>
        <sz val="10"/>
        <rFont val="Times New Roman"/>
        <family val="1"/>
        <charset val="186"/>
      </rPr>
      <t xml:space="preserve">Klaipėdos „Versmės“ progimnazijos </t>
    </r>
    <r>
      <rPr>
        <sz val="10"/>
        <rFont val="Times New Roman"/>
        <family val="1"/>
        <charset val="186"/>
      </rPr>
      <t xml:space="preserve">sporto salės atnaujinimas </t>
    </r>
  </si>
  <si>
    <t>m/d „Saulutė“, l/d „Vėrinėlis“, l/d „Pingvinukas“, l/d „Putinėlis“, l/d „Kregždutė“, l/d „Radastėlė“, l/d „Boružėlė“</t>
  </si>
  <si>
    <t xml:space="preserve">Švietimo įstaigų paprastasis remontas ((2019 m. – l.-d. „Čiauškutė“, „Eglutė“,  „Linelis“,  „Liepaitė“, „Vyturėlis“, progimnazijos „Vyturys“, „Santarvė“, „Vėtrungės“, „Pajūrio“ gimnazijos, RUC, klubas „Draugystė“, 3–6 švietimo įstaigų buitinių tinklų remontas) </t>
  </si>
  <si>
    <t>Klaipėdos „Gilijos“ pradinei mokyklai perduotų patalpų pritaikymas mokyklos reikmėms</t>
  </si>
  <si>
    <t>Nuotolinio mokymo savivaldybės švietimo įstaigose  plėtojimas</t>
  </si>
  <si>
    <t>Savivaldybės biudžetinės įstaigos bandomojo energijos vartojimo efektyvumo didinimo projekto įgyvendinimas (2020 m. – l-d „Klevelis“)</t>
  </si>
  <si>
    <t>Apmokėtas kreditorinis įsiskolinimas, proc.</t>
  </si>
  <si>
    <t>Mokinių pavėžėjimo užtikrinimas mokiniams, kuriems taikomos pavėžėjimo lengvatos</t>
  </si>
  <si>
    <t>Pavėžėta mokinių, skaičius</t>
  </si>
  <si>
    <t xml:space="preserve">Vidaus patalpų remontas po šiluminės renovacijos </t>
  </si>
  <si>
    <r>
      <t xml:space="preserve">Klaipėdos Tauralaukio progimnazijos pastato (Klaipėdos g. 31) rekonstravimas </t>
    </r>
    <r>
      <rPr>
        <sz val="10"/>
        <rFont val="Times New Roman"/>
        <family val="1"/>
        <charset val="186"/>
      </rPr>
      <t>į ikimokyklinio ir priešmokyklinio ugdymo įstaigą</t>
    </r>
  </si>
  <si>
    <t>Maitinamų mokinių skaičius</t>
  </si>
  <si>
    <r>
      <rPr>
        <b/>
        <sz val="10"/>
        <rFont val="Times New Roman"/>
        <family val="1"/>
        <charset val="186"/>
      </rPr>
      <t xml:space="preserve">Sporto aikštynų atnaujinimas </t>
    </r>
    <r>
      <rPr>
        <sz val="10"/>
        <rFont val="Times New Roman"/>
        <family val="1"/>
        <charset val="186"/>
      </rPr>
      <t>(modernizavimas) (2019 m. - „Verdenės“, Simono Dacho, „Vyturio“ progimnazijose)</t>
    </r>
  </si>
  <si>
    <t>Įstaigų, kuriose įrengtos saulės (fotovoltinės) elektrinės, skaičius</t>
  </si>
  <si>
    <t>Švietimo įstaigų lauko inžinerinių tinklų remontas (2019 m. – „Aitvaro“,  Vydūno ir „Žaliakalnio“ gimnazijos, l/d „Radastėlė“ ir „Pingvinukas“)</t>
  </si>
  <si>
    <t>Ikimokyklinio ir priešmokyklinio prieinamumo didinimas Klaipėdos mieste (lopšelio-darželio „Svirpliukas“ modernizavimas)</t>
  </si>
  <si>
    <t xml:space="preserve"> 2018–2021 M. KLAIPĖDOS MIESTO SAVIVALDYBĖS </t>
  </si>
  <si>
    <t xml:space="preserve"> 2019–2021 M. KLAIPĖDOS MIESTO SAVIVALDYBĖS </t>
  </si>
  <si>
    <t>Atsinaujinančių energijos išteklių  panaudojimas švietimo įstaigų pastatuose (l/d „Ąžuoliukas“, „Aitvarėlis“ ir "Versmė", „Verdenės“ progimnazijoje)</t>
  </si>
  <si>
    <t>Bendrojo ugdymo mokyklų dalyvavimas projekte ,,Mokinių ugdymosi pasiekimų gerinimas diegiant kokybės krepšelį“</t>
  </si>
  <si>
    <r>
      <t xml:space="preserve">Europos Sąjungos paramos lėšos </t>
    </r>
    <r>
      <rPr>
        <b/>
        <sz val="10"/>
        <rFont val="Times New Roman"/>
        <family val="1"/>
        <charset val="186"/>
      </rPr>
      <t>ES</t>
    </r>
  </si>
  <si>
    <t>Perkelta mokinių iš  Klaipėdos Ievos Simonaitytės pagrindinė mokyklos į Klaipėdos suaugusiųjų gimnazijos  Jaunimo skyrių, skaičius</t>
  </si>
  <si>
    <r>
      <t xml:space="preserve"> </t>
    </r>
    <r>
      <rPr>
        <b/>
        <sz val="12"/>
        <rFont val="Times New Roman"/>
        <family val="1"/>
        <charset val="186"/>
      </rPr>
      <t>Orientacinis lėšų poreikis sanitarinių patalpų remontui švietimo įstaigose 2019 m.</t>
    </r>
  </si>
  <si>
    <t xml:space="preserve">  Įstaigos pavadinimas</t>
  </si>
  <si>
    <t xml:space="preserve"> Reikalingi atlikti darbai</t>
  </si>
  <si>
    <t xml:space="preserve"> Preliminari darbų vertė, Eur.</t>
  </si>
  <si>
    <t xml:space="preserve">   Pastabos </t>
  </si>
  <si>
    <t>Bendrojo lavinimo įstaigos</t>
  </si>
  <si>
    <t>1.</t>
  </si>
  <si>
    <t>„Varpo“ gimnazija</t>
  </si>
  <si>
    <t>4 san. patalpų  remontas</t>
  </si>
  <si>
    <t>45 000,00</t>
  </si>
  <si>
    <t>S. Dacho progimnazija</t>
  </si>
  <si>
    <t>6 san. patalpų remontas</t>
  </si>
  <si>
    <t>65 000,00</t>
  </si>
  <si>
    <t>Viso:</t>
  </si>
  <si>
    <t>110 000,00</t>
  </si>
  <si>
    <t>Ikimokyklinio ugdymo įstaigos</t>
  </si>
  <si>
    <t>L/d „Varpelis“</t>
  </si>
  <si>
    <t>2-ių san. patalpų ir virtuvėlių remontas</t>
  </si>
  <si>
    <t>20 000,00</t>
  </si>
  <si>
    <t>L/d „Berželis“</t>
  </si>
  <si>
    <t>L/d „Alksniukas“</t>
  </si>
  <si>
    <t>4-ių san. patalpų ir virtuvėlių remontas</t>
  </si>
  <si>
    <t>25 000,00</t>
  </si>
  <si>
    <t>L/d „Du  gaideliai“</t>
  </si>
  <si>
    <t>30 000,00</t>
  </si>
  <si>
    <t>8.</t>
  </si>
  <si>
    <t>L/d „Putinėlis“</t>
  </si>
  <si>
    <t>18 000,00</t>
  </si>
  <si>
    <t>9.</t>
  </si>
  <si>
    <t>L/d „Bangelė“</t>
  </si>
  <si>
    <t>35 000,00</t>
  </si>
  <si>
    <t>10.</t>
  </si>
  <si>
    <t>L/d „Pumpurėlis“</t>
  </si>
  <si>
    <t>4-ių san. patalpų remontas</t>
  </si>
  <si>
    <t>11.</t>
  </si>
  <si>
    <t>L/d „Pagrandukas“</t>
  </si>
  <si>
    <t>12.</t>
  </si>
  <si>
    <t>L/d „Inkarėlis“</t>
  </si>
  <si>
    <t>32 000,00</t>
  </si>
  <si>
    <t>13.</t>
  </si>
  <si>
    <t>L/d “Linelis“</t>
  </si>
  <si>
    <t>14.</t>
  </si>
  <si>
    <t>l/d „Nykštukas“</t>
  </si>
  <si>
    <t>20 000,00</t>
  </si>
  <si>
    <t>290 000,00</t>
  </si>
  <si>
    <t>400 000,00</t>
  </si>
  <si>
    <t>PARENGĖ:</t>
  </si>
  <si>
    <t xml:space="preserve"> Vyr. specialistė V. Steponavičienė</t>
  </si>
  <si>
    <t>Garantinės priežiūros etapų skaičius</t>
  </si>
  <si>
    <r>
      <rPr>
        <b/>
        <sz val="10"/>
        <rFont val="Times New Roman"/>
        <family val="1"/>
        <charset val="186"/>
      </rPr>
      <t xml:space="preserve">Sporto aikštynų atnaujinimas </t>
    </r>
    <r>
      <rPr>
        <sz val="10"/>
        <rFont val="Times New Roman"/>
        <family val="1"/>
        <charset val="186"/>
      </rPr>
      <t>(modernizavimas) (2019 m. – „Verdenės“, Simono Dacho, „Vyturio“ progimnazijų)</t>
    </r>
  </si>
  <si>
    <t>Ikimokyklinio ir priešmokyklinio ugdymo prieinamumo didinimas Klaipėdos mieste (lopšelio-darželio „Svirpliukas“ modernizavimas)</t>
  </si>
  <si>
    <t>Energinio efektyvumo didinimas ikimokyklinio ugdymo įstaigose:</t>
  </si>
  <si>
    <t>m.-d „Saulutė“, l.-d „Vėrinėlis“, l.-d „Pingvinukas“, l.-d „Putinėlis“, l.-d „Kregždutė“, l.-d „Radastėlė“, l.-d „Boružėlė“</t>
  </si>
  <si>
    <t>Lauko žaidimų aikštelių ir įrenginių atnaujinimas ikimokyklinėse ugdymo įstaigose</t>
  </si>
  <si>
    <t>Patalpų atnaujinimas užtikrinant atitiktį higienos normoms</t>
  </si>
  <si>
    <t>Švietimo paslaugų modernizavimo 2018–2021 m. programos priemonių įgyvendinimas:</t>
  </si>
  <si>
    <t>Neformaliojo švietimo ir pagalbos įstaigų aprūpinimas mobilia interaktyvia įranga</t>
  </si>
  <si>
    <t xml:space="preserve">Švietimo įstaigų paprastasis remontas (2019 m. – l.-d. „Čiauškutė“, „Eglutė“,  „Linelis“,  „Liepaitė“, „Vyturėlis“,  „Vyturio“, „Santarvės“ progimnazijos, „Vėtrungės“, „Pajūrio“ gimnazijos, Regos ugdymo centras, klubas „Draugystė“, 3–6 švietimo įstaigų buitinių tinklų remontas) </t>
  </si>
  <si>
    <t>Bandomojo projekto H. Zudermano gimnazijos pastato ūkio priežiūros sistemos diegimas</t>
  </si>
  <si>
    <t>Savivaldybės biudžetinės įstaigos bandomojo energijos vartojimo efektyvumo didinimo projekto įgyvendinimas (2020 m. – l.-d. „Klevelis“)</t>
  </si>
  <si>
    <t>Atsinaujinančių energijos išteklių  panaudojimas švietimo įstaigų pastatuose (l.-d. „Ąžuoliukas“, „Aitvarėlis“ ir „Versmė“, „Verdenės“ progimnazijoje)</t>
  </si>
  <si>
    <t xml:space="preserve">Švietimo įstaigų lauko inžinerinių tinklų remontas (2019 m. – „Aitvaro“,  Vydūno ir „Žaliakalnio“ gimnazijos,  l.-d. „Radastėlė“ ir „Pingvinukas“) </t>
  </si>
  <si>
    <r>
      <t xml:space="preserve">Europos Sąjungos paramos lėšos, kurios įtrauktos į savivaldybės biudžetą </t>
    </r>
    <r>
      <rPr>
        <b/>
        <sz val="10"/>
        <rFont val="Times New Roman"/>
        <family val="1"/>
        <charset val="186"/>
      </rPr>
      <t>SB(ES)</t>
    </r>
  </si>
  <si>
    <t>2019-ųjų metų asignavimų planas</t>
  </si>
  <si>
    <t>Tarpinstitucinio bendradarbiavimo koordinatorius</t>
  </si>
  <si>
    <t>Klaipėdos miesto savivaldybės ugdymo proceso užtikrinimo programos (Nr. 10) aprašymo         priedas</t>
  </si>
  <si>
    <t>Lyginamasis variantas</t>
  </si>
  <si>
    <t>Siūlomas keisti 2019-ųjų metų asignavimų planas</t>
  </si>
  <si>
    <t>Skirtumas</t>
  </si>
  <si>
    <r>
      <t xml:space="preserve">Europos Sąjungos finansinės paramos lėšų likučio metų pradžioje lėšos </t>
    </r>
    <r>
      <rPr>
        <b/>
        <sz val="10"/>
        <rFont val="Times New Roman"/>
        <family val="1"/>
        <charset val="186"/>
      </rPr>
      <t>SB(ESL)</t>
    </r>
  </si>
  <si>
    <r>
      <t xml:space="preserve">Valstybės biudžeto tikslinės dotacijos lėšų likutis </t>
    </r>
    <r>
      <rPr>
        <b/>
        <sz val="10"/>
        <rFont val="Times New Roman"/>
        <family val="1"/>
        <charset val="186"/>
      </rPr>
      <t>SB(VBL)</t>
    </r>
  </si>
  <si>
    <t>Savivaldybės biudžetas, iš jo:</t>
  </si>
  <si>
    <t>SB(ESL)</t>
  </si>
  <si>
    <t>Pastabos</t>
  </si>
  <si>
    <t>SB(VBL)</t>
  </si>
  <si>
    <t>SB'</t>
  </si>
  <si>
    <t>SB(P)'</t>
  </si>
  <si>
    <t>Siūlomas keisti 2020-ųjų metų lėšų projektas</t>
  </si>
  <si>
    <t>Siūlomas keisti 2020 m. lėšų projektas</t>
  </si>
  <si>
    <t>Siūlomas keisti 2021-ųjų metų lėšų projektas</t>
  </si>
  <si>
    <t>Siūlomas keisti 2021 m. lėšų projektas</t>
  </si>
  <si>
    <t>Programose dalyvaujančių vaikų skaičius</t>
  </si>
  <si>
    <r>
      <t>Valstybės biudžeto tikslinės dotacijos lėšų likutis</t>
    </r>
    <r>
      <rPr>
        <b/>
        <sz val="10"/>
        <rFont val="Times New Roman"/>
        <family val="1"/>
        <charset val="186"/>
      </rPr>
      <t xml:space="preserve"> SB(VBL)</t>
    </r>
  </si>
  <si>
    <r>
      <rPr>
        <b/>
        <sz val="10"/>
        <rFont val="Times New Roman"/>
        <family val="1"/>
        <charset val="186"/>
      </rPr>
      <t>Bendrojo ugdymo mokyklos pastato statyba</t>
    </r>
    <r>
      <rPr>
        <sz val="10"/>
        <rFont val="Times New Roman"/>
        <family val="1"/>
        <charset val="186"/>
      </rPr>
      <t xml:space="preserve"> šiaurinėje miesto dalyje</t>
    </r>
  </si>
  <si>
    <t>Įsigyta baldų kompl., vnt.</t>
  </si>
  <si>
    <t xml:space="preserve">Patalpų pritaikymas neįgalių vaikų ugdymui   </t>
  </si>
  <si>
    <t>Įrengtas naujas keltuvas lopšelyje darželyje „Sakalėlis“</t>
  </si>
  <si>
    <t>Siūloma mažinti papriemonės finansavimo apimtį, nes visų suplanuotų sporto aikštynų ir  aikštelių atnaujinimo darbai  nupirkti pigiau, nei planuota.</t>
  </si>
  <si>
    <t xml:space="preserve">Siūloma mažinti papriemonės finansavimo apimtį, nes „Aitvaro“ ir Vydūno gimnazijų remonto darbai nupirkti už mažesnę kainą nei planuota.  </t>
  </si>
  <si>
    <t xml:space="preserve">Siūloma mažinti papriemonės finansavimo apimtį, nes išlaidos šildymui I ir II ketv. buvo mažesnės, nei praėjusiais metais tuo pačiu laiku. </t>
  </si>
  <si>
    <t>LRVB'</t>
  </si>
  <si>
    <t>SB(VB)'</t>
  </si>
  <si>
    <t>Dušinių atnaujinimas Vydūno ir „Aukuro“ gimnazijose</t>
  </si>
  <si>
    <r>
      <t xml:space="preserve">Ugdymo proceso ir aplinkos užtikrinimas </t>
    </r>
    <r>
      <rPr>
        <b/>
        <sz val="10"/>
        <color rgb="FFFF0000"/>
        <rFont val="Times New Roman"/>
        <family val="1"/>
        <charset val="186"/>
      </rPr>
      <t>savivaldybės</t>
    </r>
    <r>
      <rPr>
        <sz val="10"/>
        <color rgb="FFFF0000"/>
        <rFont val="Times New Roman"/>
        <family val="1"/>
        <charset val="186"/>
      </rPr>
      <t xml:space="preserve"> bendrojo ugdymo mokyklose </t>
    </r>
  </si>
  <si>
    <r>
      <t xml:space="preserve">2 </t>
    </r>
    <r>
      <rPr>
        <strike/>
        <sz val="10"/>
        <color rgb="FFFF0000"/>
        <rFont val="Times New Roman"/>
        <family val="1"/>
        <charset val="186"/>
      </rPr>
      <t xml:space="preserve"> 3</t>
    </r>
  </si>
  <si>
    <t>Siūloma sumažinti finansavimo apimtį (finansavimo šaltinis SB) papriemonėms: 1) „Klaipėdos miesto bendrojo ugdymo mokyklų antrųjų klasių mokinių vežimo paslaugos mokyti plaukti užtikrinimas" (15,9 tūkst. Eur), nes vežiojimo paslauga nupirkta pigiau; 2) „Centralizuotas paviršinių (lietaus) nuotekų tvarkymas“ (12,8 tūkst. Eur), nes sutaupytos lėšos dėl mažesnių sąskaitų ir 3) „Savivaldybės švietimo įstaigų civilinės atsakomybės draudimas“ (0,7 tūkst. Eur), nes paslauga nupirkta už mažesnę kainą.</t>
  </si>
  <si>
    <t xml:space="preserve">Siūloma didinti finansavimo apimtį priemonei, nes: 1) reikalinga sutvarkyti 11 kabinetų „Varpo“ gimnazijoje tam, kad būtų išduotas higienos pasas,  papildomiems remonto darbams Regos ugdymo centre ir lopšelio-darželio „Rūta“ koridoriaus laiptinių turėklų, atitinkančių higienos normas, įrengimui, 2) „Gilijos“ mokykloje, perėmus patalpas iš globos namų „Rytas“, valgyklos ir virtuvės patalpas reikia pritaikyti kompiuterinei klasei ir įrengti laboratoriją, 3) lopšelyje -darželyje „Sakalėlis“ reikia įrengti naują keltuvą, nes įstaigoje ugdomi 45 vaikai su spec poreikiais, kurių didžioji dalis turi judėjimo negalią, esantys įstaigoje 2 keltuvai yra nebetinkami naudoti ir juos eksplotuoti yra griežtai draudžiama. </t>
  </si>
  <si>
    <t>Siūloma įtraukti naują papriemonę, nes 2019-06-25 Švietimo, mokslo ir sporto ministro įsakymu Nr. V-733 buvo skirta po 16,39 tūkst. Eur (iš viso 32,8 tūkst. Eur) dviejų gimnazijų (Vydūno ir „Aukuro“) dušinių modernizavimui. Pagal sutartį privalomas prisidėjimas SB lėšomis (ne mažiau 50 proc., t.y. nemažiau 16,4 tūkst. per abi gimnazijas).</t>
  </si>
  <si>
    <t>Siūloma mažinti priemonės finansavimo apimtį, nes lėšų, planuotų I.Simonaitytės mokyklos inventoriaus pervežimui į Suaugusiųjų gimnaziją, nereikės, kadangi visas įstaigos inventorius lieka naujai įsteigtai Klaipėdos jūrų kadetų mokyklai.</t>
  </si>
  <si>
    <t xml:space="preserve">Siūloma keisti asignavimų valdytoją - 14 tūkst. Eur SB ir 70 tūkst. Eur LRVB lėšų perkelti Ugdymo ir kultūros departamentui, nes 2019 m. l/d „Ąžuoliukas“ (paraiškos teikėjas) pasirašė finansavimo sutartį su Aplinkos projektų valdymo agentūra dėl teikiamos 80 proc. subsidijos saulės elektrinės įrengimui ir už atliktus darbus privalo mokėti paraiškos teikėjas. </t>
  </si>
  <si>
    <t>SB(L)'</t>
  </si>
  <si>
    <r>
      <t xml:space="preserve">517 </t>
    </r>
    <r>
      <rPr>
        <strike/>
        <sz val="10"/>
        <color rgb="FFFF0000"/>
        <rFont val="Times New Roman"/>
        <family val="1"/>
      </rPr>
      <t>470</t>
    </r>
  </si>
  <si>
    <r>
      <t xml:space="preserve">72 </t>
    </r>
    <r>
      <rPr>
        <strike/>
        <sz val="10"/>
        <color rgb="FFFF0000"/>
        <rFont val="Times New Roman"/>
        <family val="1"/>
        <charset val="186"/>
      </rPr>
      <t>170</t>
    </r>
  </si>
  <si>
    <r>
      <t xml:space="preserve"> 93  </t>
    </r>
    <r>
      <rPr>
        <strike/>
        <sz val="10"/>
        <color rgb="FFFF0000"/>
        <rFont val="Times New Roman"/>
        <family val="1"/>
        <charset val="186"/>
      </rPr>
      <t>62</t>
    </r>
  </si>
  <si>
    <r>
      <t xml:space="preserve">15 </t>
    </r>
    <r>
      <rPr>
        <strike/>
        <sz val="10"/>
        <color rgb="FFFF0000"/>
        <rFont val="Times New Roman"/>
        <family val="1"/>
      </rPr>
      <t xml:space="preserve"> 11</t>
    </r>
  </si>
  <si>
    <r>
      <t xml:space="preserve">25  </t>
    </r>
    <r>
      <rPr>
        <strike/>
        <sz val="10"/>
        <color rgb="FFFF0000"/>
        <rFont val="Times New Roman"/>
        <family val="1"/>
      </rPr>
      <t>22</t>
    </r>
  </si>
  <si>
    <r>
      <t xml:space="preserve">757,2 </t>
    </r>
    <r>
      <rPr>
        <strike/>
        <sz val="10"/>
        <color rgb="FFFF0000"/>
        <rFont val="Times New Roman"/>
        <family val="1"/>
      </rPr>
      <t>685</t>
    </r>
  </si>
  <si>
    <t>Siūloma padidinti finansavimo apimtį priemonei iš SB lėšų: 1) 65 mokytojo padėjėjo etatams išlaikyti nuo 2019-09-01 (182 tūkst. Eur),  2) 86 atleidžiamų pensinio amžiaus ugdymo įstaigose  darbuotojų dviejų vidutinio darbo užmokesčių dydžio išeitinėms pašalpoms išmokėti (276,2 tūkst. Eur), 3) renovuotų  sporto aikštynų/universalių aikštelių kasmetinei priežiūrai (Vytauto Didžiojo (VDG), Vydūno, Žemynos gimnazijose, Versmės ir Prano Mašioto progimnazijoms), „Verdenės“ progimnazijoje vėdinimo įrenginio remontui, dviems Vitės progimnazijos pirmoms klasėms VDG patalpose įrengti nuo 2019-09-01 - vaikams pritaikytiems suolams įsigyti (31,5 tūkst. Eur), 4) nuo 2019 m. steigiamų sporto klasių „Aukuro“ gimnazijoje ir VDG sporto klasių mokinių nemokamiems pietums (15,9 tūkst. Eur), 5) nuo 2019-09-01 steigiamos Klaipėdos jūrų kadetų mokykos mokiniams, besimokantiems šioje įstaigoje, nemokamiems pietums apmokėti,  skiriamųjų ženklų ir atributikos įsigijimui, vėliavos stiebo įrengimui, iškabos pakeitimui, spintelių įsigijimui ir kitoms reikmėms (27,8 tūkst. Eur), 6) 2019-03-21 Klaipėdos miesto savivaldybės tarybos</t>
  </si>
  <si>
    <t>sprendimo Nr. T2-64 įgyvendinimui - sumažinto pailgintos dienos grupės tėvų mokesčio 50 proc. skirtumui padengti (161,7 tūkst. Eur), 7) vaikų nevalstybinėse įstaigose ugdymo kompensavimui nuo 2019-09-01 (47,5 tūkst. Eur).</t>
  </si>
  <si>
    <t>Sumokėtas likutis už techninio projekto parengimo paslaugas, proc.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</si>
</sst>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409]General"/>
    <numFmt numFmtId="167" formatCode="[$-409]#,##0"/>
    <numFmt numFmtId="168" formatCode="[$-409]0.00"/>
  </numFmts>
  <fonts count="31" x14ac:knownFonts="1">
    <font>
      <sz val="10"/>
      <name val="Arial"/>
      <charset val="186"/>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i/>
      <sz val="10"/>
      <name val="Times New Roman"/>
      <family val="1"/>
      <charset val="186"/>
    </font>
    <font>
      <b/>
      <sz val="12"/>
      <name val="Times New Roman"/>
      <family val="1"/>
      <charset val="186"/>
    </font>
    <font>
      <sz val="9"/>
      <name val="Times New Roman"/>
      <family val="1"/>
    </font>
    <font>
      <b/>
      <sz val="9"/>
      <name val="Times New Roman"/>
      <family val="1"/>
    </font>
    <font>
      <sz val="10"/>
      <color rgb="FFFF0000"/>
      <name val="Times New Roman"/>
      <family val="1"/>
    </font>
    <font>
      <strike/>
      <sz val="10"/>
      <name val="Times New Roman"/>
      <family val="1"/>
    </font>
    <font>
      <strike/>
      <sz val="10"/>
      <name val="Times New Roman"/>
      <family val="1"/>
      <charset val="186"/>
    </font>
    <font>
      <sz val="9"/>
      <name val="Times New Roman"/>
      <family val="1"/>
      <charset val="186"/>
    </font>
    <font>
      <i/>
      <sz val="10"/>
      <name val="Times New Roman"/>
      <family val="1"/>
    </font>
    <font>
      <u/>
      <sz val="9"/>
      <color indexed="81"/>
      <name val="Tahoma"/>
      <family val="2"/>
      <charset val="186"/>
    </font>
    <font>
      <sz val="11"/>
      <color rgb="FF000000"/>
      <name val="Calibri"/>
      <family val="2"/>
      <charset val="186"/>
    </font>
    <font>
      <sz val="12"/>
      <name val="Times New Roman"/>
      <family val="1"/>
    </font>
    <font>
      <b/>
      <sz val="11"/>
      <name val="Times New Roman"/>
      <family val="1"/>
      <charset val="186"/>
    </font>
    <font>
      <sz val="11"/>
      <name val="Times New Roman"/>
      <family val="1"/>
      <charset val="186"/>
    </font>
    <font>
      <sz val="11"/>
      <name val="Calibri"/>
      <family val="2"/>
      <charset val="186"/>
    </font>
    <font>
      <sz val="10"/>
      <color rgb="FFFF0000"/>
      <name val="Times New Roman"/>
      <family val="1"/>
      <charset val="186"/>
    </font>
    <font>
      <i/>
      <sz val="10"/>
      <color rgb="FFFF0000"/>
      <name val="Times New Roman"/>
      <family val="1"/>
      <charset val="186"/>
    </font>
    <font>
      <b/>
      <sz val="10"/>
      <color rgb="FFFF0000"/>
      <name val="Times New Roman"/>
      <family val="1"/>
    </font>
    <font>
      <b/>
      <sz val="10"/>
      <color rgb="FFFF0000"/>
      <name val="Times New Roman"/>
      <family val="1"/>
      <charset val="186"/>
    </font>
    <font>
      <strike/>
      <sz val="10"/>
      <color rgb="FFFF0000"/>
      <name val="Times New Roman"/>
      <family val="1"/>
      <charset val="186"/>
    </font>
    <font>
      <strike/>
      <sz val="10"/>
      <color rgb="FFFF0000"/>
      <name val="Times New Roman"/>
      <family val="1"/>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rgb="FFDBDBDB"/>
      </patternFill>
    </fill>
    <fill>
      <patternFill patternType="solid">
        <fgColor rgb="FFCCFFCC"/>
        <bgColor indexed="64"/>
      </patternFill>
    </fill>
    <fill>
      <patternFill patternType="solid">
        <fgColor theme="0"/>
        <bgColor rgb="FFD9D9D9"/>
      </patternFill>
    </fill>
    <fill>
      <patternFill patternType="solid">
        <fgColor theme="0"/>
        <bgColor rgb="FFFFFFFF"/>
      </patternFill>
    </fill>
    <fill>
      <patternFill patternType="solid">
        <fgColor theme="0"/>
        <bgColor rgb="FFFFFF00"/>
      </patternFill>
    </fill>
    <fill>
      <patternFill patternType="solid">
        <fgColor rgb="FFFFFFFF"/>
        <bgColor rgb="FFFFFFFF"/>
      </patternFill>
    </fill>
    <fill>
      <patternFill patternType="solid">
        <fgColor theme="0"/>
        <bgColor rgb="FFE2F0D9"/>
      </patternFill>
    </fill>
    <fill>
      <patternFill patternType="solid">
        <fgColor theme="0"/>
        <bgColor rgb="FFE2EFDA"/>
      </patternFill>
    </fill>
  </fills>
  <borders count="18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indexed="64"/>
      </right>
      <top style="thin">
        <color rgb="FF000000"/>
      </top>
      <bottom/>
      <diagonal/>
    </border>
    <border>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medium">
        <color indexed="64"/>
      </right>
      <top/>
      <bottom/>
      <diagonal/>
    </border>
    <border>
      <left style="thin">
        <color rgb="FF000000"/>
      </left>
      <right style="thin">
        <color rgb="FF000000"/>
      </right>
      <top/>
      <bottom style="thin">
        <color rgb="FF000000"/>
      </bottom>
      <diagonal/>
    </border>
    <border>
      <left/>
      <right style="medium">
        <color indexed="64"/>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thin">
        <color rgb="FF000000"/>
      </top>
      <bottom/>
      <diagonal/>
    </border>
    <border>
      <left style="medium">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medium">
        <color indexed="64"/>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thin">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indexed="64"/>
      </top>
      <bottom/>
      <diagonal/>
    </border>
    <border>
      <left style="medium">
        <color indexed="64"/>
      </left>
      <right style="thin">
        <color rgb="FF000000"/>
      </right>
      <top/>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style="thin">
        <color indexed="64"/>
      </top>
      <bottom style="medium">
        <color indexed="64"/>
      </bottom>
      <diagonal/>
    </border>
    <border>
      <left/>
      <right style="thin">
        <color rgb="FF000000"/>
      </right>
      <top style="thin">
        <color indexed="64"/>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indexed="64"/>
      </right>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diagonal/>
    </border>
    <border>
      <left/>
      <right/>
      <top style="thin">
        <color rgb="FF000000"/>
      </top>
      <bottom style="thin">
        <color rgb="FF000000"/>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rgb="FF000000"/>
      </top>
      <bottom style="thin">
        <color rgb="FF000000"/>
      </bottom>
      <diagonal/>
    </border>
    <border>
      <left/>
      <right/>
      <top style="hair">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thin">
        <color indexed="64"/>
      </left>
      <right style="medium">
        <color indexed="64"/>
      </right>
      <top style="medium">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medium">
        <color indexed="64"/>
      </right>
      <top/>
      <bottom style="hair">
        <color indexed="64"/>
      </bottom>
      <diagonal/>
    </border>
    <border>
      <left style="thin">
        <color rgb="FF000000"/>
      </left>
      <right/>
      <top style="medium">
        <color indexed="64"/>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medium">
        <color indexed="64"/>
      </right>
      <top style="thin">
        <color rgb="FF000000"/>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style="medium">
        <color indexed="64"/>
      </bottom>
      <diagonal/>
    </border>
    <border>
      <left style="thin">
        <color indexed="64"/>
      </left>
      <right style="thin">
        <color rgb="FF000000"/>
      </right>
      <top/>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style="hair">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hair">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3">
    <xf numFmtId="0" fontId="0" fillId="0" borderId="0"/>
    <xf numFmtId="0" fontId="3" fillId="0" borderId="0"/>
    <xf numFmtId="166" fontId="20" fillId="0" borderId="0" applyBorder="0" applyProtection="0"/>
  </cellStyleXfs>
  <cellXfs count="2136">
    <xf numFmtId="0" fontId="0" fillId="0" borderId="0" xfId="0"/>
    <xf numFmtId="0" fontId="1" fillId="0" borderId="0" xfId="0" applyFont="1" applyBorder="1" applyAlignment="1">
      <alignment vertical="top"/>
    </xf>
    <xf numFmtId="49" fontId="2" fillId="3" borderId="32" xfId="0" applyNumberFormat="1" applyFont="1" applyFill="1" applyBorder="1" applyAlignment="1">
      <alignment vertical="top"/>
    </xf>
    <xf numFmtId="0" fontId="4" fillId="0" borderId="0" xfId="0" applyFont="1" applyBorder="1" applyAlignment="1">
      <alignment vertical="top"/>
    </xf>
    <xf numFmtId="0" fontId="2" fillId="5" borderId="47" xfId="0" applyFont="1" applyFill="1" applyBorder="1" applyAlignment="1">
      <alignment horizontal="center" vertical="top" wrapText="1"/>
    </xf>
    <xf numFmtId="3" fontId="1" fillId="4" borderId="59" xfId="0" applyNumberFormat="1" applyFont="1" applyFill="1" applyBorder="1" applyAlignment="1">
      <alignment horizontal="center" vertical="top"/>
    </xf>
    <xf numFmtId="3" fontId="4" fillId="4" borderId="18" xfId="0" applyNumberFormat="1" applyFont="1" applyFill="1" applyBorder="1" applyAlignment="1">
      <alignment horizontal="center" vertical="top"/>
    </xf>
    <xf numFmtId="3" fontId="1" fillId="4" borderId="8" xfId="0" applyNumberFormat="1" applyFont="1" applyFill="1" applyBorder="1" applyAlignment="1">
      <alignment horizontal="center" vertical="top"/>
    </xf>
    <xf numFmtId="3" fontId="1" fillId="4" borderId="17" xfId="0" applyNumberFormat="1" applyFont="1" applyFill="1" applyBorder="1" applyAlignment="1">
      <alignment horizontal="center" vertical="top"/>
    </xf>
    <xf numFmtId="3" fontId="4" fillId="0" borderId="61" xfId="0" applyNumberFormat="1" applyFont="1" applyFill="1" applyBorder="1" applyAlignment="1">
      <alignment horizontal="center" vertical="top" wrapText="1"/>
    </xf>
    <xf numFmtId="3" fontId="4" fillId="4" borderId="66" xfId="0" applyNumberFormat="1" applyFont="1" applyFill="1" applyBorder="1" applyAlignment="1">
      <alignment horizontal="center" vertical="top"/>
    </xf>
    <xf numFmtId="3" fontId="4" fillId="4" borderId="52" xfId="0" applyNumberFormat="1" applyFont="1" applyFill="1" applyBorder="1" applyAlignment="1">
      <alignment horizontal="center" vertical="top"/>
    </xf>
    <xf numFmtId="3" fontId="4" fillId="4" borderId="59" xfId="0" applyNumberFormat="1" applyFont="1" applyFill="1" applyBorder="1" applyAlignment="1">
      <alignment horizontal="center" vertical="top"/>
    </xf>
    <xf numFmtId="3" fontId="1" fillId="0" borderId="16"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4" borderId="62" xfId="0" applyNumberFormat="1" applyFont="1" applyFill="1" applyBorder="1" applyAlignment="1">
      <alignment horizontal="center" vertical="top"/>
    </xf>
    <xf numFmtId="3" fontId="2" fillId="5" borderId="47" xfId="0" applyNumberFormat="1" applyFont="1" applyFill="1" applyBorder="1" applyAlignment="1">
      <alignment horizontal="center" vertical="top" wrapText="1"/>
    </xf>
    <xf numFmtId="3" fontId="1" fillId="0" borderId="0" xfId="0" applyNumberFormat="1" applyFont="1" applyBorder="1" applyAlignment="1">
      <alignment vertical="top"/>
    </xf>
    <xf numFmtId="3" fontId="1" fillId="0" borderId="60" xfId="0" applyNumberFormat="1" applyFont="1" applyBorder="1" applyAlignment="1">
      <alignment horizontal="center" vertical="top"/>
    </xf>
    <xf numFmtId="3" fontId="1" fillId="4" borderId="52" xfId="0" applyNumberFormat="1" applyFont="1" applyFill="1" applyBorder="1" applyAlignment="1">
      <alignment horizontal="center" vertical="top"/>
    </xf>
    <xf numFmtId="3" fontId="1" fillId="0" borderId="39" xfId="0" applyNumberFormat="1" applyFont="1" applyBorder="1" applyAlignment="1">
      <alignment horizontal="center" vertical="top"/>
    </xf>
    <xf numFmtId="3" fontId="1" fillId="3" borderId="18" xfId="0" applyNumberFormat="1" applyFont="1" applyFill="1" applyBorder="1" applyAlignment="1">
      <alignment vertical="top" wrapText="1"/>
    </xf>
    <xf numFmtId="3" fontId="1" fillId="4" borderId="18" xfId="0" applyNumberFormat="1" applyFont="1" applyFill="1" applyBorder="1" applyAlignment="1">
      <alignment horizontal="center" vertical="top" wrapText="1"/>
    </xf>
    <xf numFmtId="3" fontId="1" fillId="4" borderId="31" xfId="0" applyNumberFormat="1" applyFont="1" applyFill="1" applyBorder="1" applyAlignment="1">
      <alignment horizontal="center" vertical="top" wrapText="1"/>
    </xf>
    <xf numFmtId="3" fontId="2" fillId="3" borderId="13" xfId="0" applyNumberFormat="1" applyFont="1" applyFill="1" applyBorder="1" applyAlignment="1">
      <alignment horizontal="center" vertical="top" wrapText="1"/>
    </xf>
    <xf numFmtId="49" fontId="2" fillId="3" borderId="18" xfId="0" applyNumberFormat="1" applyFont="1" applyFill="1" applyBorder="1" applyAlignment="1">
      <alignment vertical="top"/>
    </xf>
    <xf numFmtId="3" fontId="1" fillId="4" borderId="65" xfId="0" applyNumberFormat="1" applyFont="1" applyFill="1" applyBorder="1" applyAlignment="1">
      <alignment horizontal="center" vertical="top"/>
    </xf>
    <xf numFmtId="3" fontId="1" fillId="4" borderId="61" xfId="0" applyNumberFormat="1" applyFont="1" applyFill="1" applyBorder="1" applyAlignment="1">
      <alignment horizontal="center" vertical="top"/>
    </xf>
    <xf numFmtId="3" fontId="1" fillId="3" borderId="66" xfId="0" applyNumberFormat="1" applyFont="1" applyFill="1" applyBorder="1" applyAlignment="1">
      <alignment vertical="top" wrapText="1"/>
    </xf>
    <xf numFmtId="3" fontId="1" fillId="4" borderId="66" xfId="0" applyNumberFormat="1" applyFont="1" applyFill="1" applyBorder="1" applyAlignment="1">
      <alignment vertical="top" wrapText="1"/>
    </xf>
    <xf numFmtId="3" fontId="1" fillId="4" borderId="39" xfId="0" applyNumberFormat="1" applyFont="1" applyFill="1" applyBorder="1" applyAlignment="1">
      <alignment horizontal="center" vertical="top" wrapText="1"/>
    </xf>
    <xf numFmtId="3" fontId="1" fillId="4" borderId="0" xfId="0" applyNumberFormat="1" applyFont="1" applyFill="1" applyBorder="1" applyAlignment="1">
      <alignment vertical="top"/>
    </xf>
    <xf numFmtId="3" fontId="1" fillId="0" borderId="31" xfId="0" applyNumberFormat="1" applyFont="1" applyBorder="1" applyAlignment="1">
      <alignment horizontal="center" vertical="top"/>
    </xf>
    <xf numFmtId="3" fontId="1" fillId="0" borderId="52" xfId="0" applyNumberFormat="1" applyFont="1" applyBorder="1" applyAlignment="1">
      <alignment horizontal="center" vertical="top"/>
    </xf>
    <xf numFmtId="49" fontId="1" fillId="0" borderId="0" xfId="0" applyNumberFormat="1" applyFont="1" applyBorder="1" applyAlignment="1">
      <alignment horizontal="center" vertical="top" wrapText="1"/>
    </xf>
    <xf numFmtId="164" fontId="1" fillId="4" borderId="0" xfId="0" applyNumberFormat="1" applyFont="1" applyFill="1" applyBorder="1" applyAlignment="1">
      <alignment horizontal="center" vertical="top"/>
    </xf>
    <xf numFmtId="164" fontId="4" fillId="4" borderId="7"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164" fontId="1" fillId="4" borderId="24" xfId="0" applyNumberFormat="1" applyFont="1" applyFill="1" applyBorder="1" applyAlignment="1">
      <alignment horizontal="center" vertical="top"/>
    </xf>
    <xf numFmtId="164" fontId="2" fillId="5" borderId="47" xfId="0" applyNumberFormat="1" applyFont="1" applyFill="1" applyBorder="1" applyAlignment="1">
      <alignment horizontal="center" vertical="top"/>
    </xf>
    <xf numFmtId="164" fontId="2" fillId="5" borderId="45" xfId="0" applyNumberFormat="1" applyFont="1" applyFill="1" applyBorder="1" applyAlignment="1">
      <alignment horizontal="center" vertical="top"/>
    </xf>
    <xf numFmtId="3" fontId="1" fillId="4" borderId="32" xfId="0" applyNumberFormat="1" applyFont="1" applyFill="1" applyBorder="1" applyAlignment="1">
      <alignment horizontal="center" vertical="top" wrapText="1"/>
    </xf>
    <xf numFmtId="164" fontId="1" fillId="4" borderId="28" xfId="0" applyNumberFormat="1" applyFont="1" applyFill="1" applyBorder="1" applyAlignment="1">
      <alignment horizontal="center" vertical="top"/>
    </xf>
    <xf numFmtId="3" fontId="1" fillId="4" borderId="60" xfId="0" applyNumberFormat="1" applyFont="1" applyFill="1" applyBorder="1" applyAlignment="1">
      <alignment horizontal="center" vertical="top" wrapText="1"/>
    </xf>
    <xf numFmtId="3" fontId="1" fillId="0" borderId="32" xfId="0" applyNumberFormat="1" applyFont="1" applyBorder="1" applyAlignment="1">
      <alignment horizontal="center" vertical="top"/>
    </xf>
    <xf numFmtId="164" fontId="1" fillId="4" borderId="15" xfId="0" applyNumberFormat="1" applyFont="1" applyFill="1" applyBorder="1" applyAlignment="1">
      <alignment horizontal="center" vertical="top"/>
    </xf>
    <xf numFmtId="3" fontId="1" fillId="4" borderId="18" xfId="0" applyNumberFormat="1" applyFont="1" applyFill="1" applyBorder="1" applyAlignment="1">
      <alignment vertical="top" wrapText="1"/>
    </xf>
    <xf numFmtId="3" fontId="1" fillId="4" borderId="17" xfId="0" applyNumberFormat="1" applyFont="1" applyFill="1" applyBorder="1" applyAlignment="1">
      <alignment vertical="top" wrapText="1"/>
    </xf>
    <xf numFmtId="3" fontId="1" fillId="4" borderId="61" xfId="0" applyNumberFormat="1" applyFont="1" applyFill="1" applyBorder="1" applyAlignment="1">
      <alignment vertical="top" wrapText="1"/>
    </xf>
    <xf numFmtId="3" fontId="1" fillId="4" borderId="53" xfId="0" applyNumberFormat="1" applyFont="1" applyFill="1" applyBorder="1" applyAlignment="1">
      <alignment horizontal="center" vertical="top" wrapText="1"/>
    </xf>
    <xf numFmtId="3" fontId="4" fillId="4" borderId="52" xfId="0" applyNumberFormat="1" applyFont="1" applyFill="1" applyBorder="1" applyAlignment="1">
      <alignment horizontal="center" vertical="top" wrapText="1"/>
    </xf>
    <xf numFmtId="164" fontId="4" fillId="4" borderId="28" xfId="0" applyNumberFormat="1" applyFont="1" applyFill="1" applyBorder="1" applyAlignment="1">
      <alignment horizontal="center" vertical="top"/>
    </xf>
    <xf numFmtId="3" fontId="4" fillId="4" borderId="44" xfId="0" applyNumberFormat="1" applyFont="1" applyFill="1" applyBorder="1" applyAlignment="1">
      <alignment horizontal="center" vertical="top" wrapText="1"/>
    </xf>
    <xf numFmtId="3" fontId="1" fillId="4" borderId="62" xfId="0" applyNumberFormat="1" applyFont="1" applyFill="1" applyBorder="1" applyAlignment="1">
      <alignment vertical="top" wrapText="1"/>
    </xf>
    <xf numFmtId="3" fontId="4" fillId="4" borderId="66" xfId="0" applyNumberFormat="1" applyFont="1" applyFill="1" applyBorder="1" applyAlignment="1">
      <alignment horizontal="center" vertical="top" wrapText="1"/>
    </xf>
    <xf numFmtId="3" fontId="4" fillId="4" borderId="51" xfId="0" applyNumberFormat="1" applyFont="1" applyFill="1" applyBorder="1" applyAlignment="1">
      <alignment horizontal="center" vertical="top" wrapText="1"/>
    </xf>
    <xf numFmtId="3" fontId="1" fillId="4" borderId="33" xfId="0" applyNumberFormat="1" applyFont="1" applyFill="1" applyBorder="1" applyAlignment="1">
      <alignment horizontal="center" vertical="top"/>
    </xf>
    <xf numFmtId="3" fontId="4" fillId="4" borderId="32" xfId="0" applyNumberFormat="1" applyFont="1" applyFill="1" applyBorder="1" applyAlignment="1">
      <alignment horizontal="center" vertical="top" wrapText="1"/>
    </xf>
    <xf numFmtId="3" fontId="1" fillId="4" borderId="51" xfId="0" applyNumberFormat="1" applyFont="1" applyFill="1" applyBorder="1" applyAlignment="1">
      <alignment horizontal="center" vertical="top"/>
    </xf>
    <xf numFmtId="3" fontId="5" fillId="4" borderId="67" xfId="0" applyNumberFormat="1" applyFont="1" applyFill="1" applyBorder="1" applyAlignment="1">
      <alignment horizontal="center" vertical="top" wrapText="1"/>
    </xf>
    <xf numFmtId="3" fontId="4" fillId="4" borderId="53" xfId="0" applyNumberFormat="1" applyFont="1" applyFill="1" applyBorder="1" applyAlignment="1">
      <alignment horizontal="center" vertical="top" wrapText="1"/>
    </xf>
    <xf numFmtId="3" fontId="1" fillId="0" borderId="64" xfId="0" applyNumberFormat="1" applyFont="1" applyBorder="1" applyAlignment="1">
      <alignment horizontal="center" vertical="top"/>
    </xf>
    <xf numFmtId="3" fontId="1" fillId="0" borderId="68" xfId="0" applyNumberFormat="1" applyFont="1" applyBorder="1" applyAlignment="1">
      <alignment horizontal="center" vertical="top"/>
    </xf>
    <xf numFmtId="3" fontId="1" fillId="4" borderId="21" xfId="0" applyNumberFormat="1" applyFont="1" applyFill="1" applyBorder="1" applyAlignment="1">
      <alignment horizontal="center" vertical="top"/>
    </xf>
    <xf numFmtId="164" fontId="4" fillId="4" borderId="27" xfId="0" applyNumberFormat="1" applyFont="1" applyFill="1" applyBorder="1" applyAlignment="1">
      <alignment horizontal="center" vertical="top"/>
    </xf>
    <xf numFmtId="3" fontId="1" fillId="4" borderId="33" xfId="0" applyNumberFormat="1" applyFont="1" applyFill="1" applyBorder="1" applyAlignment="1">
      <alignment horizontal="center" vertical="top" wrapText="1"/>
    </xf>
    <xf numFmtId="164" fontId="2" fillId="5" borderId="47" xfId="0" applyNumberFormat="1" applyFont="1" applyFill="1" applyBorder="1" applyAlignment="1">
      <alignment horizontal="center" vertical="top" wrapText="1"/>
    </xf>
    <xf numFmtId="3" fontId="1" fillId="4" borderId="46" xfId="0" applyNumberFormat="1" applyFont="1" applyFill="1" applyBorder="1" applyAlignment="1">
      <alignment horizontal="center" vertical="top" wrapText="1"/>
    </xf>
    <xf numFmtId="3" fontId="1" fillId="4" borderId="44" xfId="0" applyNumberFormat="1" applyFont="1" applyFill="1" applyBorder="1" applyAlignment="1">
      <alignment horizontal="center" vertical="top" wrapText="1"/>
    </xf>
    <xf numFmtId="3" fontId="4" fillId="4" borderId="27" xfId="0" applyNumberFormat="1" applyFont="1" applyFill="1" applyBorder="1" applyAlignment="1">
      <alignment horizontal="center" vertical="top" wrapText="1"/>
    </xf>
    <xf numFmtId="164" fontId="1" fillId="4" borderId="34" xfId="0" applyNumberFormat="1" applyFont="1" applyFill="1" applyBorder="1" applyAlignment="1">
      <alignment horizontal="center" vertical="top"/>
    </xf>
    <xf numFmtId="3" fontId="4" fillId="4" borderId="57" xfId="0" applyNumberFormat="1" applyFont="1" applyFill="1" applyBorder="1" applyAlignment="1">
      <alignment horizontal="center" vertical="top" wrapText="1"/>
    </xf>
    <xf numFmtId="164" fontId="1" fillId="4" borderId="7" xfId="0" applyNumberFormat="1" applyFont="1" applyFill="1" applyBorder="1" applyAlignment="1">
      <alignment horizontal="center" vertical="top" wrapText="1"/>
    </xf>
    <xf numFmtId="3" fontId="1" fillId="4" borderId="65" xfId="0" applyNumberFormat="1" applyFont="1" applyFill="1" applyBorder="1" applyAlignment="1">
      <alignment horizontal="left" vertical="top" wrapText="1"/>
    </xf>
    <xf numFmtId="3" fontId="1" fillId="4" borderId="56" xfId="0" applyNumberFormat="1" applyFont="1" applyFill="1" applyBorder="1" applyAlignment="1">
      <alignment vertical="top" wrapText="1"/>
    </xf>
    <xf numFmtId="3" fontId="1" fillId="4" borderId="21" xfId="0" applyNumberFormat="1" applyFont="1" applyFill="1" applyBorder="1" applyAlignment="1">
      <alignment horizontal="center" vertical="top" wrapText="1"/>
    </xf>
    <xf numFmtId="164" fontId="1" fillId="4" borderId="74" xfId="0" applyNumberFormat="1" applyFont="1" applyFill="1" applyBorder="1" applyAlignment="1">
      <alignment horizontal="center" vertical="top" wrapText="1"/>
    </xf>
    <xf numFmtId="164" fontId="1" fillId="4" borderId="17"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wrapText="1"/>
    </xf>
    <xf numFmtId="3" fontId="1" fillId="0" borderId="61" xfId="0" applyNumberFormat="1" applyFont="1" applyFill="1" applyBorder="1" applyAlignment="1">
      <alignment horizontal="center" vertical="top" wrapText="1"/>
    </xf>
    <xf numFmtId="0" fontId="1" fillId="0" borderId="17" xfId="0" applyFont="1" applyFill="1" applyBorder="1" applyAlignment="1">
      <alignment horizontal="center" vertical="top" wrapText="1"/>
    </xf>
    <xf numFmtId="49" fontId="2" fillId="0" borderId="18" xfId="0" applyNumberFormat="1" applyFont="1" applyBorder="1" applyAlignment="1">
      <alignment horizontal="center" vertical="top" wrapText="1"/>
    </xf>
    <xf numFmtId="49" fontId="2" fillId="0" borderId="32" xfId="0" applyNumberFormat="1" applyFont="1" applyBorder="1" applyAlignment="1">
      <alignment horizontal="center" vertical="top" wrapText="1"/>
    </xf>
    <xf numFmtId="3" fontId="2" fillId="4" borderId="29"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textRotation="90" wrapText="1"/>
    </xf>
    <xf numFmtId="3" fontId="4" fillId="4" borderId="61" xfId="0" applyNumberFormat="1" applyFont="1" applyFill="1" applyBorder="1" applyAlignment="1">
      <alignment horizontal="center" vertical="top" wrapText="1"/>
    </xf>
    <xf numFmtId="49" fontId="2" fillId="3" borderId="19" xfId="0" applyNumberFormat="1" applyFont="1" applyFill="1" applyBorder="1" applyAlignment="1">
      <alignment vertical="top"/>
    </xf>
    <xf numFmtId="3" fontId="1" fillId="4" borderId="66" xfId="0" applyNumberFormat="1" applyFont="1" applyFill="1" applyBorder="1" applyAlignment="1">
      <alignment horizontal="left" vertical="top" wrapText="1"/>
    </xf>
    <xf numFmtId="3" fontId="4" fillId="3" borderId="0" xfId="0" applyNumberFormat="1" applyFont="1" applyFill="1" applyBorder="1" applyAlignment="1">
      <alignment horizontal="center" vertical="top" wrapText="1"/>
    </xf>
    <xf numFmtId="3" fontId="5" fillId="3" borderId="0" xfId="0" applyNumberFormat="1" applyFont="1" applyFill="1" applyBorder="1" applyAlignment="1">
      <alignment horizontal="center" vertical="top" wrapText="1"/>
    </xf>
    <xf numFmtId="49" fontId="2" fillId="4" borderId="32" xfId="0" applyNumberFormat="1" applyFont="1" applyFill="1" applyBorder="1" applyAlignment="1">
      <alignment horizontal="center" vertical="top"/>
    </xf>
    <xf numFmtId="3" fontId="1" fillId="0" borderId="0" xfId="0" applyNumberFormat="1" applyFont="1" applyFill="1" applyBorder="1" applyAlignment="1">
      <alignment horizontal="center" vertical="center" wrapText="1"/>
    </xf>
    <xf numFmtId="3" fontId="1" fillId="4" borderId="16" xfId="0" applyNumberFormat="1" applyFont="1" applyFill="1" applyBorder="1" applyAlignment="1">
      <alignment horizontal="center" vertical="top"/>
    </xf>
    <xf numFmtId="3" fontId="1" fillId="4" borderId="61"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1" fillId="4" borderId="62" xfId="0" applyNumberFormat="1" applyFont="1" applyFill="1" applyBorder="1" applyAlignment="1">
      <alignment horizontal="center" vertical="top" wrapText="1"/>
    </xf>
    <xf numFmtId="164" fontId="4" fillId="0" borderId="65" xfId="0" applyNumberFormat="1" applyFont="1" applyFill="1" applyBorder="1" applyAlignment="1">
      <alignment horizontal="center" vertical="top" wrapText="1"/>
    </xf>
    <xf numFmtId="164" fontId="4" fillId="0" borderId="62" xfId="0" applyNumberFormat="1" applyFont="1" applyFill="1" applyBorder="1" applyAlignment="1">
      <alignment horizontal="center" vertical="top" wrapText="1"/>
    </xf>
    <xf numFmtId="164" fontId="4" fillId="0" borderId="61" xfId="0" applyNumberFormat="1" applyFont="1" applyBorder="1" applyAlignment="1">
      <alignment horizontal="center" vertical="top" wrapText="1"/>
    </xf>
    <xf numFmtId="164" fontId="4" fillId="0" borderId="47" xfId="0" applyNumberFormat="1" applyFont="1" applyFill="1" applyBorder="1" applyAlignment="1">
      <alignment horizontal="center" vertical="top" wrapText="1"/>
    </xf>
    <xf numFmtId="164" fontId="5" fillId="5" borderId="12" xfId="0" applyNumberFormat="1" applyFont="1" applyFill="1" applyBorder="1" applyAlignment="1">
      <alignment horizontal="center" vertical="top" wrapText="1"/>
    </xf>
    <xf numFmtId="3" fontId="4" fillId="4" borderId="17" xfId="0" applyNumberFormat="1" applyFont="1" applyFill="1" applyBorder="1" applyAlignment="1">
      <alignment horizontal="center" vertical="top" wrapText="1"/>
    </xf>
    <xf numFmtId="3" fontId="4" fillId="4" borderId="51" xfId="0" applyNumberFormat="1" applyFont="1" applyFill="1" applyBorder="1" applyAlignment="1">
      <alignment horizontal="center" vertical="top"/>
    </xf>
    <xf numFmtId="164" fontId="2" fillId="4" borderId="7" xfId="0" applyNumberFormat="1" applyFont="1" applyFill="1" applyBorder="1" applyAlignment="1">
      <alignment horizontal="center" vertical="top"/>
    </xf>
    <xf numFmtId="3" fontId="1" fillId="0" borderId="0" xfId="0" applyNumberFormat="1" applyFont="1" applyFill="1" applyBorder="1" applyAlignment="1">
      <alignment vertical="top" wrapText="1"/>
    </xf>
    <xf numFmtId="3" fontId="4" fillId="4" borderId="16"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textRotation="90" wrapText="1"/>
    </xf>
    <xf numFmtId="3" fontId="4" fillId="0" borderId="65" xfId="0" applyNumberFormat="1" applyFont="1" applyFill="1" applyBorder="1" applyAlignment="1">
      <alignment horizontal="center" vertical="top" wrapText="1"/>
    </xf>
    <xf numFmtId="3" fontId="1" fillId="3" borderId="59" xfId="0" applyNumberFormat="1" applyFont="1" applyFill="1" applyBorder="1" applyAlignment="1">
      <alignment vertical="top" wrapText="1"/>
    </xf>
    <xf numFmtId="3" fontId="1" fillId="4" borderId="74" xfId="0" applyNumberFormat="1" applyFont="1" applyFill="1" applyBorder="1" applyAlignment="1">
      <alignment vertical="top" wrapText="1"/>
    </xf>
    <xf numFmtId="164" fontId="4" fillId="4" borderId="26" xfId="0" applyNumberFormat="1" applyFont="1" applyFill="1" applyBorder="1" applyAlignment="1">
      <alignment horizontal="center" vertical="top"/>
    </xf>
    <xf numFmtId="164" fontId="2" fillId="5" borderId="4" xfId="0" applyNumberFormat="1" applyFont="1" applyFill="1" applyBorder="1" applyAlignment="1">
      <alignment horizontal="center" vertical="top" wrapText="1"/>
    </xf>
    <xf numFmtId="164" fontId="1" fillId="4" borderId="13" xfId="0" applyNumberFormat="1" applyFont="1" applyFill="1" applyBorder="1" applyAlignment="1">
      <alignment horizontal="center" vertical="top"/>
    </xf>
    <xf numFmtId="164" fontId="2" fillId="5" borderId="4" xfId="0" applyNumberFormat="1" applyFont="1" applyFill="1" applyBorder="1" applyAlignment="1">
      <alignment horizontal="center" vertical="top"/>
    </xf>
    <xf numFmtId="164" fontId="4" fillId="4" borderId="18" xfId="0" applyNumberFormat="1" applyFont="1" applyFill="1" applyBorder="1" applyAlignment="1">
      <alignment horizontal="center" vertical="top" wrapText="1"/>
    </xf>
    <xf numFmtId="164" fontId="2" fillId="4" borderId="18" xfId="0" applyNumberFormat="1" applyFont="1" applyFill="1" applyBorder="1" applyAlignment="1">
      <alignment horizontal="center" vertical="top"/>
    </xf>
    <xf numFmtId="164" fontId="1" fillId="4" borderId="18" xfId="0" applyNumberFormat="1" applyFont="1" applyFill="1" applyBorder="1" applyAlignment="1">
      <alignment horizontal="center" vertical="top" wrapText="1"/>
    </xf>
    <xf numFmtId="164" fontId="4" fillId="0" borderId="66" xfId="0" applyNumberFormat="1" applyFont="1" applyFill="1" applyBorder="1" applyAlignment="1">
      <alignment horizontal="center" vertical="top" wrapText="1"/>
    </xf>
    <xf numFmtId="164" fontId="4" fillId="0" borderId="42" xfId="0" applyNumberFormat="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164" fontId="5" fillId="5" borderId="11" xfId="0" applyNumberFormat="1" applyFont="1" applyFill="1" applyBorder="1" applyAlignment="1">
      <alignment horizontal="center" vertical="top" wrapText="1"/>
    </xf>
    <xf numFmtId="3" fontId="4" fillId="4" borderId="65" xfId="0" applyNumberFormat="1" applyFont="1" applyFill="1" applyBorder="1" applyAlignment="1">
      <alignment horizontal="center" vertical="top" wrapText="1"/>
    </xf>
    <xf numFmtId="3" fontId="4" fillId="4" borderId="7"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textRotation="180" wrapText="1"/>
    </xf>
    <xf numFmtId="164" fontId="2" fillId="5" borderId="46" xfId="0" applyNumberFormat="1" applyFont="1" applyFill="1" applyBorder="1" applyAlignment="1">
      <alignment horizontal="center" vertical="top"/>
    </xf>
    <xf numFmtId="3" fontId="5" fillId="5" borderId="47" xfId="0" applyNumberFormat="1" applyFont="1" applyFill="1" applyBorder="1" applyAlignment="1">
      <alignment horizontal="center" vertical="top" wrapText="1"/>
    </xf>
    <xf numFmtId="164" fontId="1" fillId="4" borderId="26" xfId="0" applyNumberFormat="1" applyFont="1" applyFill="1" applyBorder="1" applyAlignment="1">
      <alignment horizontal="center" vertical="top"/>
    </xf>
    <xf numFmtId="164" fontId="1" fillId="4" borderId="27" xfId="0" applyNumberFormat="1" applyFont="1" applyFill="1" applyBorder="1" applyAlignment="1">
      <alignment horizontal="center" vertical="top"/>
    </xf>
    <xf numFmtId="3" fontId="1" fillId="4" borderId="30" xfId="0" applyNumberFormat="1" applyFont="1" applyFill="1" applyBorder="1" applyAlignment="1">
      <alignment horizontal="center" vertical="top"/>
    </xf>
    <xf numFmtId="164" fontId="4" fillId="0" borderId="26" xfId="0" applyNumberFormat="1" applyFont="1" applyFill="1" applyBorder="1" applyAlignment="1">
      <alignment horizontal="center" vertical="top" wrapText="1"/>
    </xf>
    <xf numFmtId="3" fontId="1"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left" vertical="top" wrapText="1"/>
    </xf>
    <xf numFmtId="164" fontId="4" fillId="0" borderId="59" xfId="0" applyNumberFormat="1" applyFont="1" applyBorder="1" applyAlignment="1">
      <alignment horizontal="center" vertical="top" wrapText="1"/>
    </xf>
    <xf numFmtId="164" fontId="2" fillId="5" borderId="44" xfId="0" applyNumberFormat="1" applyFont="1" applyFill="1" applyBorder="1" applyAlignment="1">
      <alignment horizontal="center" vertical="top"/>
    </xf>
    <xf numFmtId="164" fontId="4" fillId="4" borderId="22" xfId="0" applyNumberFormat="1" applyFont="1" applyFill="1" applyBorder="1" applyAlignment="1">
      <alignment horizontal="center" vertical="top"/>
    </xf>
    <xf numFmtId="3" fontId="16" fillId="4" borderId="32" xfId="0" applyNumberFormat="1" applyFont="1" applyFill="1" applyBorder="1" applyAlignment="1">
      <alignment horizontal="center" vertical="top" wrapText="1"/>
    </xf>
    <xf numFmtId="3" fontId="16" fillId="4" borderId="31" xfId="0" applyNumberFormat="1" applyFont="1" applyFill="1" applyBorder="1" applyAlignment="1">
      <alignment horizontal="center" vertical="top" wrapText="1"/>
    </xf>
    <xf numFmtId="3" fontId="2" fillId="3" borderId="32" xfId="0" applyNumberFormat="1" applyFont="1" applyFill="1" applyBorder="1" applyAlignment="1">
      <alignment horizontal="center" vertical="top" wrapText="1"/>
    </xf>
    <xf numFmtId="3" fontId="2" fillId="3" borderId="64" xfId="0" applyNumberFormat="1" applyFont="1" applyFill="1" applyBorder="1" applyAlignment="1">
      <alignment horizontal="center" vertical="top" wrapText="1"/>
    </xf>
    <xf numFmtId="164" fontId="4" fillId="4" borderId="65" xfId="0" applyNumberFormat="1" applyFont="1" applyFill="1" applyBorder="1" applyAlignment="1">
      <alignment horizontal="center" vertical="top"/>
    </xf>
    <xf numFmtId="164" fontId="1" fillId="4" borderId="0" xfId="0" applyNumberFormat="1" applyFont="1" applyFill="1" applyBorder="1" applyAlignment="1">
      <alignment horizontal="center" vertical="top" wrapText="1"/>
    </xf>
    <xf numFmtId="164" fontId="1" fillId="4" borderId="65" xfId="0" applyNumberFormat="1" applyFont="1" applyFill="1" applyBorder="1" applyAlignment="1">
      <alignment horizontal="center" vertical="top"/>
    </xf>
    <xf numFmtId="164" fontId="1" fillId="0" borderId="16" xfId="0" applyNumberFormat="1" applyFont="1" applyBorder="1" applyAlignment="1">
      <alignment horizontal="center" vertical="top" wrapText="1"/>
    </xf>
    <xf numFmtId="164" fontId="1" fillId="0" borderId="13" xfId="0" applyNumberFormat="1" applyFont="1" applyBorder="1" applyAlignment="1">
      <alignment horizontal="center" vertical="top" wrapText="1"/>
    </xf>
    <xf numFmtId="164" fontId="4" fillId="4" borderId="16" xfId="0" applyNumberFormat="1" applyFont="1" applyFill="1" applyBorder="1" applyAlignment="1">
      <alignment horizontal="center" vertical="top"/>
    </xf>
    <xf numFmtId="3" fontId="1" fillId="4" borderId="8" xfId="0" applyNumberFormat="1" applyFont="1" applyFill="1" applyBorder="1" applyAlignment="1">
      <alignment vertical="top" wrapText="1"/>
    </xf>
    <xf numFmtId="3" fontId="1" fillId="4" borderId="16" xfId="0" applyNumberFormat="1" applyFont="1" applyFill="1" applyBorder="1" applyAlignment="1">
      <alignment vertical="top" wrapText="1"/>
    </xf>
    <xf numFmtId="164" fontId="4" fillId="4" borderId="61" xfId="0" applyNumberFormat="1" applyFont="1" applyFill="1" applyBorder="1" applyAlignment="1">
      <alignment horizontal="center" vertical="top"/>
    </xf>
    <xf numFmtId="3" fontId="5" fillId="4" borderId="18" xfId="0" applyNumberFormat="1" applyFont="1" applyFill="1" applyBorder="1" applyAlignment="1">
      <alignment horizontal="center" vertical="top" wrapText="1"/>
    </xf>
    <xf numFmtId="164" fontId="4" fillId="4" borderId="24" xfId="0" applyNumberFormat="1" applyFont="1" applyFill="1" applyBorder="1" applyAlignment="1">
      <alignment horizontal="center" vertical="top"/>
    </xf>
    <xf numFmtId="164" fontId="5" fillId="5" borderId="48" xfId="0" applyNumberFormat="1" applyFont="1" applyFill="1" applyBorder="1" applyAlignment="1">
      <alignment horizontal="center" vertical="top" wrapText="1"/>
    </xf>
    <xf numFmtId="164" fontId="1" fillId="4" borderId="22" xfId="0" applyNumberFormat="1" applyFont="1" applyFill="1" applyBorder="1" applyAlignment="1">
      <alignment horizontal="center" vertical="top"/>
    </xf>
    <xf numFmtId="164" fontId="1" fillId="0" borderId="3" xfId="0" applyNumberFormat="1" applyFont="1" applyBorder="1" applyAlignment="1">
      <alignment horizontal="center" vertical="top" wrapText="1"/>
    </xf>
    <xf numFmtId="164" fontId="4" fillId="4" borderId="13" xfId="0" applyNumberFormat="1" applyFont="1" applyFill="1" applyBorder="1" applyAlignment="1">
      <alignment horizontal="center" vertical="top"/>
    </xf>
    <xf numFmtId="164" fontId="4" fillId="0" borderId="15" xfId="0" applyNumberFormat="1" applyFont="1" applyFill="1" applyBorder="1" applyAlignment="1">
      <alignment horizontal="center" vertical="top" wrapText="1"/>
    </xf>
    <xf numFmtId="164" fontId="4" fillId="0" borderId="28" xfId="0" applyNumberFormat="1" applyFont="1" applyBorder="1" applyAlignment="1">
      <alignment horizontal="center" vertical="top" wrapText="1"/>
    </xf>
    <xf numFmtId="164" fontId="4" fillId="0" borderId="50" xfId="0" applyNumberFormat="1" applyFont="1" applyFill="1" applyBorder="1" applyAlignment="1">
      <alignment horizontal="center" vertical="top" wrapText="1"/>
    </xf>
    <xf numFmtId="164" fontId="5" fillId="5" borderId="72" xfId="0" applyNumberFormat="1" applyFont="1" applyFill="1" applyBorder="1" applyAlignment="1">
      <alignment horizontal="center" vertical="top" wrapText="1"/>
    </xf>
    <xf numFmtId="164" fontId="4" fillId="0" borderId="37" xfId="0" applyNumberFormat="1" applyFont="1" applyBorder="1" applyAlignment="1">
      <alignment horizontal="center" vertical="top" wrapText="1"/>
    </xf>
    <xf numFmtId="3" fontId="4" fillId="0" borderId="68" xfId="0" applyNumberFormat="1" applyFont="1" applyBorder="1" applyAlignment="1">
      <alignment horizontal="center" vertical="center" textRotation="90" wrapText="1"/>
    </xf>
    <xf numFmtId="3" fontId="4" fillId="0" borderId="21" xfId="0" applyNumberFormat="1" applyFont="1" applyBorder="1" applyAlignment="1">
      <alignment horizontal="center" vertical="center" textRotation="90" wrapText="1"/>
    </xf>
    <xf numFmtId="164" fontId="1" fillId="4" borderId="36" xfId="0" applyNumberFormat="1" applyFont="1" applyFill="1" applyBorder="1" applyAlignment="1">
      <alignment horizontal="center" vertical="top"/>
    </xf>
    <xf numFmtId="164" fontId="4" fillId="4" borderId="66" xfId="0" applyNumberFormat="1" applyFont="1" applyFill="1" applyBorder="1" applyAlignment="1">
      <alignment horizontal="center" vertical="top" wrapText="1"/>
    </xf>
    <xf numFmtId="164" fontId="4" fillId="3" borderId="0" xfId="0" applyNumberFormat="1" applyFont="1" applyFill="1" applyBorder="1" applyAlignment="1">
      <alignment horizontal="center" vertical="top" wrapText="1"/>
    </xf>
    <xf numFmtId="3" fontId="1" fillId="4" borderId="51" xfId="0" applyNumberFormat="1" applyFont="1" applyFill="1" applyBorder="1" applyAlignment="1">
      <alignment horizontal="center" vertical="top" wrapText="1"/>
    </xf>
    <xf numFmtId="3" fontId="1" fillId="4" borderId="52" xfId="0" applyNumberFormat="1" applyFont="1" applyFill="1" applyBorder="1" applyAlignment="1">
      <alignment horizontal="center" vertical="top" wrapText="1"/>
    </xf>
    <xf numFmtId="3" fontId="2" fillId="3" borderId="32" xfId="0" applyNumberFormat="1" applyFont="1" applyFill="1" applyBorder="1" applyAlignment="1">
      <alignment horizontal="center" vertical="top"/>
    </xf>
    <xf numFmtId="164" fontId="5" fillId="5" borderId="46" xfId="0" applyNumberFormat="1" applyFont="1" applyFill="1" applyBorder="1" applyAlignment="1">
      <alignment horizontal="center" vertical="top" wrapText="1"/>
    </xf>
    <xf numFmtId="3" fontId="1" fillId="4" borderId="65" xfId="0" applyNumberFormat="1" applyFont="1" applyFill="1" applyBorder="1" applyAlignment="1">
      <alignment vertical="top" wrapText="1"/>
    </xf>
    <xf numFmtId="3" fontId="4" fillId="4" borderId="29" xfId="0" applyNumberFormat="1" applyFont="1" applyFill="1" applyBorder="1" applyAlignment="1">
      <alignment horizontal="center" vertical="top" wrapText="1"/>
    </xf>
    <xf numFmtId="3" fontId="4" fillId="4" borderId="30" xfId="0" applyNumberFormat="1" applyFont="1" applyFill="1" applyBorder="1" applyAlignment="1">
      <alignment horizontal="center" vertical="top" wrapText="1"/>
    </xf>
    <xf numFmtId="3" fontId="4" fillId="4" borderId="71" xfId="0" applyNumberFormat="1" applyFont="1" applyFill="1" applyBorder="1" applyAlignment="1">
      <alignment horizontal="center" vertical="top" wrapText="1"/>
    </xf>
    <xf numFmtId="3" fontId="2" fillId="0" borderId="32" xfId="0" applyNumberFormat="1" applyFont="1" applyFill="1" applyBorder="1" applyAlignment="1">
      <alignment horizontal="center" vertical="top" textRotation="180" wrapText="1"/>
    </xf>
    <xf numFmtId="3" fontId="2" fillId="0" borderId="0" xfId="0" applyNumberFormat="1" applyFont="1" applyFill="1" applyBorder="1" applyAlignment="1">
      <alignment horizontal="center" vertical="top" textRotation="180" wrapText="1"/>
    </xf>
    <xf numFmtId="3" fontId="2" fillId="0" borderId="43" xfId="0" applyNumberFormat="1" applyFont="1" applyFill="1" applyBorder="1" applyAlignment="1">
      <alignment horizontal="center" vertical="top" textRotation="180" wrapText="1"/>
    </xf>
    <xf numFmtId="164" fontId="1" fillId="4" borderId="29" xfId="0" applyNumberFormat="1" applyFont="1" applyFill="1" applyBorder="1" applyAlignment="1">
      <alignment horizontal="center" vertical="top" wrapText="1"/>
    </xf>
    <xf numFmtId="3" fontId="2" fillId="0" borderId="4" xfId="0" applyNumberFormat="1" applyFont="1" applyFill="1" applyBorder="1" applyAlignment="1">
      <alignment vertical="top" wrapText="1"/>
    </xf>
    <xf numFmtId="3" fontId="1" fillId="4" borderId="68"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textRotation="90" wrapText="1"/>
    </xf>
    <xf numFmtId="3" fontId="4" fillId="4" borderId="66" xfId="0" applyNumberFormat="1" applyFont="1" applyFill="1" applyBorder="1" applyAlignment="1">
      <alignment horizontal="left" vertical="top" wrapText="1"/>
    </xf>
    <xf numFmtId="3" fontId="12" fillId="4" borderId="51" xfId="0" applyNumberFormat="1" applyFont="1" applyFill="1" applyBorder="1" applyAlignment="1">
      <alignment horizontal="center" vertical="top" wrapText="1"/>
    </xf>
    <xf numFmtId="3" fontId="1" fillId="4" borderId="27" xfId="0" applyNumberFormat="1" applyFont="1" applyFill="1" applyBorder="1" applyAlignment="1">
      <alignment horizontal="center" vertical="top" wrapText="1"/>
    </xf>
    <xf numFmtId="3" fontId="1" fillId="4" borderId="64" xfId="0" applyNumberFormat="1" applyFont="1" applyFill="1" applyBorder="1" applyAlignment="1">
      <alignment horizontal="center" vertical="top"/>
    </xf>
    <xf numFmtId="49" fontId="1" fillId="4" borderId="61" xfId="0" applyNumberFormat="1" applyFont="1" applyFill="1" applyBorder="1" applyAlignment="1">
      <alignment horizontal="left" vertical="top" wrapText="1"/>
    </xf>
    <xf numFmtId="164" fontId="2" fillId="5" borderId="46" xfId="0" applyNumberFormat="1" applyFont="1" applyFill="1" applyBorder="1" applyAlignment="1">
      <alignment horizontal="center" vertical="top" wrapText="1"/>
    </xf>
    <xf numFmtId="164" fontId="2" fillId="5" borderId="48" xfId="0" applyNumberFormat="1" applyFont="1" applyFill="1" applyBorder="1" applyAlignment="1">
      <alignment horizontal="center" vertical="top" wrapText="1"/>
    </xf>
    <xf numFmtId="164" fontId="2" fillId="5" borderId="44"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center" textRotation="90" wrapText="1"/>
    </xf>
    <xf numFmtId="3" fontId="5" fillId="0" borderId="18" xfId="0" applyNumberFormat="1" applyFont="1" applyFill="1" applyBorder="1" applyAlignment="1">
      <alignment horizontal="center" vertical="top" wrapText="1"/>
    </xf>
    <xf numFmtId="164" fontId="4" fillId="4" borderId="40" xfId="0" applyNumberFormat="1" applyFont="1" applyFill="1" applyBorder="1" applyAlignment="1">
      <alignment horizontal="center" vertical="top"/>
    </xf>
    <xf numFmtId="164" fontId="4" fillId="4" borderId="66" xfId="0" applyNumberFormat="1" applyFont="1" applyFill="1" applyBorder="1" applyAlignment="1">
      <alignment horizontal="center" vertical="top"/>
    </xf>
    <xf numFmtId="3" fontId="2" fillId="4" borderId="0" xfId="0" applyNumberFormat="1" applyFont="1" applyFill="1" applyBorder="1" applyAlignment="1">
      <alignment horizontal="center" vertical="top" textRotation="90" wrapText="1"/>
    </xf>
    <xf numFmtId="3" fontId="4" fillId="4" borderId="62" xfId="0" applyNumberFormat="1" applyFont="1" applyFill="1" applyBorder="1" applyAlignment="1">
      <alignment vertical="top" wrapText="1"/>
    </xf>
    <xf numFmtId="3" fontId="4" fillId="4" borderId="74" xfId="0" applyNumberFormat="1" applyFont="1" applyFill="1" applyBorder="1" applyAlignment="1">
      <alignment vertical="top" wrapText="1"/>
    </xf>
    <xf numFmtId="3" fontId="1" fillId="4" borderId="44" xfId="0" applyNumberFormat="1" applyFont="1" applyFill="1" applyBorder="1" applyAlignment="1">
      <alignment horizontal="center" vertical="top"/>
    </xf>
    <xf numFmtId="164" fontId="4" fillId="4" borderId="65" xfId="0" applyNumberFormat="1" applyFont="1" applyFill="1" applyBorder="1" applyAlignment="1">
      <alignment horizontal="center" vertical="top" wrapText="1"/>
    </xf>
    <xf numFmtId="3" fontId="5" fillId="0" borderId="67" xfId="0" applyNumberFormat="1" applyFont="1" applyFill="1" applyBorder="1" applyAlignment="1">
      <alignment horizontal="center" vertical="top" wrapText="1"/>
    </xf>
    <xf numFmtId="3" fontId="4" fillId="4" borderId="61" xfId="0" applyNumberFormat="1" applyFont="1" applyFill="1" applyBorder="1" applyAlignment="1">
      <alignment vertical="top" wrapText="1"/>
    </xf>
    <xf numFmtId="0" fontId="1" fillId="4" borderId="17" xfId="0" applyFont="1" applyFill="1" applyBorder="1" applyAlignment="1">
      <alignment vertical="top" wrapText="1"/>
    </xf>
    <xf numFmtId="49" fontId="4" fillId="4" borderId="39" xfId="0" applyNumberFormat="1" applyFont="1" applyFill="1" applyBorder="1" applyAlignment="1">
      <alignment horizontal="center" vertical="top" wrapText="1"/>
    </xf>
    <xf numFmtId="3" fontId="1" fillId="4" borderId="47" xfId="0" applyNumberFormat="1" applyFont="1" applyFill="1" applyBorder="1" applyAlignment="1">
      <alignment vertical="top" wrapText="1"/>
    </xf>
    <xf numFmtId="3" fontId="1" fillId="4" borderId="19" xfId="0" applyNumberFormat="1" applyFont="1" applyFill="1" applyBorder="1" applyAlignment="1">
      <alignment vertical="top" wrapText="1"/>
    </xf>
    <xf numFmtId="164" fontId="4" fillId="0" borderId="17" xfId="0" applyNumberFormat="1" applyFont="1" applyFill="1" applyBorder="1" applyAlignment="1">
      <alignment horizontal="center" vertical="top" wrapText="1"/>
    </xf>
    <xf numFmtId="3" fontId="4" fillId="4" borderId="62" xfId="0" applyNumberFormat="1" applyFont="1" applyFill="1" applyBorder="1" applyAlignment="1">
      <alignment horizontal="center" vertical="top" wrapText="1"/>
    </xf>
    <xf numFmtId="164" fontId="2" fillId="5" borderId="56" xfId="0" applyNumberFormat="1" applyFont="1" applyFill="1" applyBorder="1" applyAlignment="1">
      <alignment horizontal="center" vertical="top" wrapText="1"/>
    </xf>
    <xf numFmtId="3" fontId="4" fillId="4" borderId="56" xfId="0" applyNumberFormat="1" applyFont="1" applyFill="1" applyBorder="1" applyAlignment="1">
      <alignment horizontal="left" vertical="top" wrapText="1"/>
    </xf>
    <xf numFmtId="3" fontId="1" fillId="4" borderId="65" xfId="0" applyNumberFormat="1" applyFont="1" applyFill="1" applyBorder="1" applyAlignment="1">
      <alignment horizontal="center" vertical="top" wrapText="1"/>
    </xf>
    <xf numFmtId="3" fontId="4" fillId="4" borderId="65" xfId="0" applyNumberFormat="1" applyFont="1" applyFill="1" applyBorder="1" applyAlignment="1">
      <alignment vertical="top" wrapText="1"/>
    </xf>
    <xf numFmtId="3" fontId="4" fillId="4" borderId="47" xfId="0" applyNumberFormat="1" applyFont="1" applyFill="1" applyBorder="1" applyAlignment="1">
      <alignment vertical="top" wrapText="1"/>
    </xf>
    <xf numFmtId="3" fontId="4" fillId="4" borderId="36" xfId="0" applyNumberFormat="1" applyFont="1" applyFill="1" applyBorder="1" applyAlignment="1">
      <alignment horizontal="center" vertical="top"/>
    </xf>
    <xf numFmtId="3" fontId="4" fillId="4" borderId="36" xfId="0" applyNumberFormat="1" applyFont="1" applyFill="1" applyBorder="1" applyAlignment="1">
      <alignment horizontal="center" vertical="top" wrapText="1"/>
    </xf>
    <xf numFmtId="3" fontId="4" fillId="4" borderId="48" xfId="0" applyNumberFormat="1" applyFont="1" applyFill="1" applyBorder="1" applyAlignment="1">
      <alignment horizontal="center" vertical="top" wrapText="1"/>
    </xf>
    <xf numFmtId="3" fontId="4" fillId="4" borderId="74" xfId="0" applyNumberFormat="1" applyFont="1" applyFill="1" applyBorder="1" applyAlignment="1">
      <alignment horizontal="center" vertical="top" wrapText="1"/>
    </xf>
    <xf numFmtId="3" fontId="12" fillId="4" borderId="65" xfId="0" applyNumberFormat="1" applyFont="1" applyFill="1" applyBorder="1" applyAlignment="1">
      <alignment horizontal="center" vertical="top" wrapText="1"/>
    </xf>
    <xf numFmtId="3" fontId="1" fillId="4" borderId="48" xfId="0" applyNumberFormat="1" applyFont="1" applyFill="1" applyBorder="1" applyAlignment="1">
      <alignment horizontal="center" vertical="top" wrapText="1"/>
    </xf>
    <xf numFmtId="3" fontId="1" fillId="4" borderId="56" xfId="0" applyNumberFormat="1" applyFont="1" applyFill="1" applyBorder="1" applyAlignment="1">
      <alignment horizontal="center" vertical="top" wrapText="1"/>
    </xf>
    <xf numFmtId="0" fontId="1" fillId="4" borderId="61" xfId="0" applyFont="1" applyFill="1" applyBorder="1" applyAlignment="1">
      <alignment vertical="top" wrapText="1"/>
    </xf>
    <xf numFmtId="3" fontId="4" fillId="4" borderId="16" xfId="0" applyNumberFormat="1" applyFont="1" applyFill="1" applyBorder="1" applyAlignment="1">
      <alignment vertical="top" wrapText="1"/>
    </xf>
    <xf numFmtId="3" fontId="1" fillId="4" borderId="0" xfId="0" applyNumberFormat="1" applyFont="1" applyFill="1" applyBorder="1" applyAlignment="1">
      <alignment vertical="top" wrapText="1"/>
    </xf>
    <xf numFmtId="3" fontId="1" fillId="4" borderId="36" xfId="0" applyNumberFormat="1" applyFont="1" applyFill="1" applyBorder="1" applyAlignment="1">
      <alignment horizontal="center" vertical="top" wrapText="1"/>
    </xf>
    <xf numFmtId="3" fontId="1" fillId="4" borderId="36" xfId="0" applyNumberFormat="1" applyFont="1" applyFill="1" applyBorder="1" applyAlignment="1">
      <alignment horizontal="center" vertical="top"/>
    </xf>
    <xf numFmtId="3" fontId="1" fillId="4" borderId="40" xfId="0" applyNumberFormat="1" applyFont="1" applyFill="1" applyBorder="1" applyAlignment="1">
      <alignment horizontal="center" vertical="top"/>
    </xf>
    <xf numFmtId="0" fontId="4" fillId="4" borderId="37" xfId="0" applyFont="1" applyFill="1" applyBorder="1" applyAlignment="1">
      <alignment horizontal="center" vertical="top" wrapText="1"/>
    </xf>
    <xf numFmtId="3" fontId="1" fillId="4" borderId="41" xfId="0" applyNumberFormat="1" applyFont="1" applyFill="1" applyBorder="1" applyAlignment="1">
      <alignment horizontal="center" vertical="top"/>
    </xf>
    <xf numFmtId="3" fontId="1" fillId="0" borderId="56" xfId="0" applyNumberFormat="1" applyFont="1" applyBorder="1" applyAlignment="1">
      <alignment horizontal="center" vertical="top"/>
    </xf>
    <xf numFmtId="0" fontId="1" fillId="4" borderId="65" xfId="0" applyFont="1" applyFill="1" applyBorder="1" applyAlignment="1">
      <alignment vertical="top" wrapText="1"/>
    </xf>
    <xf numFmtId="3" fontId="1" fillId="4" borderId="37" xfId="0" applyNumberFormat="1" applyFont="1" applyFill="1" applyBorder="1" applyAlignment="1">
      <alignment horizontal="center" vertical="top"/>
    </xf>
    <xf numFmtId="3" fontId="2" fillId="4" borderId="70" xfId="0" applyNumberFormat="1" applyFont="1" applyFill="1" applyBorder="1" applyAlignment="1">
      <alignment horizontal="center" vertical="top" textRotation="90" wrapText="1"/>
    </xf>
    <xf numFmtId="3" fontId="2" fillId="4" borderId="67" xfId="0" applyNumberFormat="1" applyFont="1" applyFill="1" applyBorder="1" applyAlignment="1">
      <alignment horizontal="center" vertical="top" textRotation="90" wrapText="1"/>
    </xf>
    <xf numFmtId="3" fontId="4" fillId="4" borderId="59" xfId="0" applyNumberFormat="1" applyFont="1" applyFill="1" applyBorder="1" applyAlignment="1">
      <alignment vertical="top" wrapText="1"/>
    </xf>
    <xf numFmtId="3" fontId="2" fillId="3" borderId="18" xfId="0" applyNumberFormat="1" applyFont="1" applyFill="1" applyBorder="1" applyAlignment="1">
      <alignment horizontal="center" vertical="top" wrapText="1"/>
    </xf>
    <xf numFmtId="164" fontId="4" fillId="4" borderId="7" xfId="0" applyNumberFormat="1" applyFont="1" applyFill="1" applyBorder="1" applyAlignment="1">
      <alignment horizontal="center" vertical="top" wrapText="1"/>
    </xf>
    <xf numFmtId="0" fontId="4" fillId="4" borderId="40" xfId="0" applyFont="1" applyFill="1" applyBorder="1" applyAlignment="1">
      <alignment horizontal="center" vertical="top" wrapText="1"/>
    </xf>
    <xf numFmtId="164" fontId="5" fillId="7" borderId="12" xfId="0" applyNumberFormat="1" applyFont="1" applyFill="1" applyBorder="1" applyAlignment="1">
      <alignment horizontal="center" vertical="top" wrapText="1"/>
    </xf>
    <xf numFmtId="164" fontId="5" fillId="7" borderId="11" xfId="0" applyNumberFormat="1" applyFont="1" applyFill="1" applyBorder="1" applyAlignment="1">
      <alignment horizontal="center" vertical="top" wrapText="1"/>
    </xf>
    <xf numFmtId="3" fontId="1" fillId="0" borderId="38" xfId="0" applyNumberFormat="1" applyFont="1" applyBorder="1" applyAlignment="1">
      <alignment horizontal="center" vertical="top"/>
    </xf>
    <xf numFmtId="3" fontId="1" fillId="0" borderId="21" xfId="0" applyNumberFormat="1" applyFont="1" applyBorder="1" applyAlignment="1">
      <alignment horizontal="center" vertical="top"/>
    </xf>
    <xf numFmtId="3" fontId="1" fillId="3" borderId="42" xfId="0" applyNumberFormat="1" applyFont="1" applyFill="1" applyBorder="1" applyAlignment="1">
      <alignment horizontal="left" vertical="top" wrapText="1"/>
    </xf>
    <xf numFmtId="3" fontId="1" fillId="4" borderId="18" xfId="0" applyNumberFormat="1" applyFont="1" applyFill="1" applyBorder="1" applyAlignment="1">
      <alignment horizontal="center" vertical="top"/>
    </xf>
    <xf numFmtId="3" fontId="1" fillId="4" borderId="32" xfId="0" applyNumberFormat="1" applyFont="1" applyFill="1" applyBorder="1" applyAlignment="1">
      <alignment horizontal="center" vertical="top"/>
    </xf>
    <xf numFmtId="3" fontId="1" fillId="4" borderId="53" xfId="0" applyNumberFormat="1" applyFont="1" applyFill="1" applyBorder="1" applyAlignment="1">
      <alignment horizontal="center" vertical="top"/>
    </xf>
    <xf numFmtId="3" fontId="1" fillId="4" borderId="31" xfId="0" applyNumberFormat="1" applyFont="1" applyFill="1" applyBorder="1" applyAlignment="1">
      <alignment horizontal="center" vertical="top"/>
    </xf>
    <xf numFmtId="164" fontId="4" fillId="4"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1" fillId="4" borderId="73" xfId="0" applyNumberFormat="1" applyFont="1" applyFill="1" applyBorder="1" applyAlignment="1">
      <alignment horizontal="center" vertical="top" wrapText="1"/>
    </xf>
    <xf numFmtId="164" fontId="1" fillId="0" borderId="24" xfId="0" applyNumberFormat="1" applyFont="1" applyBorder="1" applyAlignment="1">
      <alignment horizontal="center" vertical="top" wrapText="1"/>
    </xf>
    <xf numFmtId="164" fontId="4" fillId="0" borderId="28" xfId="0" applyNumberFormat="1" applyFont="1" applyFill="1" applyBorder="1" applyAlignment="1">
      <alignment horizontal="center" vertical="top" wrapText="1"/>
    </xf>
    <xf numFmtId="3" fontId="1" fillId="3" borderId="42" xfId="0" applyNumberFormat="1" applyFont="1" applyFill="1" applyBorder="1" applyAlignment="1">
      <alignment vertical="top" wrapText="1"/>
    </xf>
    <xf numFmtId="3" fontId="1" fillId="4" borderId="16" xfId="0" applyNumberFormat="1" applyFont="1" applyFill="1" applyBorder="1" applyAlignment="1">
      <alignment horizontal="center" vertical="top" wrapText="1"/>
    </xf>
    <xf numFmtId="3" fontId="1" fillId="4" borderId="64" xfId="0" applyNumberFormat="1" applyFont="1" applyFill="1" applyBorder="1" applyAlignment="1">
      <alignment horizontal="center" vertical="top" wrapText="1"/>
    </xf>
    <xf numFmtId="3" fontId="1" fillId="4" borderId="38" xfId="0" applyNumberFormat="1" applyFont="1" applyFill="1" applyBorder="1" applyAlignment="1">
      <alignment horizontal="center" vertical="top" wrapText="1"/>
    </xf>
    <xf numFmtId="164" fontId="1" fillId="4" borderId="62" xfId="0" applyNumberFormat="1" applyFont="1" applyFill="1" applyBorder="1" applyAlignment="1">
      <alignment horizontal="center" vertical="top"/>
    </xf>
    <xf numFmtId="164" fontId="4" fillId="0" borderId="29" xfId="0" applyNumberFormat="1" applyFont="1" applyBorder="1" applyAlignment="1">
      <alignment horizontal="center" vertical="top" wrapText="1"/>
    </xf>
    <xf numFmtId="164" fontId="4" fillId="4" borderId="40" xfId="0" applyNumberFormat="1" applyFont="1" applyFill="1" applyBorder="1" applyAlignment="1">
      <alignment horizontal="center" vertical="top" wrapText="1"/>
    </xf>
    <xf numFmtId="3" fontId="4" fillId="0" borderId="26" xfId="0" applyNumberFormat="1" applyFont="1" applyFill="1" applyBorder="1" applyAlignment="1">
      <alignment horizontal="center" vertical="top" wrapText="1"/>
    </xf>
    <xf numFmtId="164" fontId="4" fillId="4" borderId="42" xfId="0" applyNumberFormat="1" applyFont="1" applyFill="1" applyBorder="1" applyAlignment="1">
      <alignment horizontal="center" vertical="top"/>
    </xf>
    <xf numFmtId="164" fontId="2" fillId="5" borderId="69" xfId="0" applyNumberFormat="1" applyFont="1" applyFill="1" applyBorder="1" applyAlignment="1">
      <alignment horizontal="center" vertical="top" wrapText="1"/>
    </xf>
    <xf numFmtId="3" fontId="5" fillId="0" borderId="18" xfId="0" applyNumberFormat="1" applyFont="1" applyFill="1" applyBorder="1" applyAlignment="1">
      <alignment horizontal="center" vertical="top" textRotation="90" wrapText="1"/>
    </xf>
    <xf numFmtId="3" fontId="4" fillId="4" borderId="17" xfId="0" applyNumberFormat="1" applyFont="1" applyFill="1" applyBorder="1" applyAlignment="1">
      <alignment vertical="top" wrapText="1"/>
    </xf>
    <xf numFmtId="164" fontId="4" fillId="4" borderId="37" xfId="0" applyNumberFormat="1" applyFont="1" applyFill="1" applyBorder="1" applyAlignment="1">
      <alignment horizontal="center" vertical="top"/>
    </xf>
    <xf numFmtId="164" fontId="4" fillId="4" borderId="59" xfId="0" applyNumberFormat="1" applyFont="1" applyFill="1" applyBorder="1" applyAlignment="1">
      <alignment horizontal="center" vertical="top"/>
    </xf>
    <xf numFmtId="164" fontId="4" fillId="4" borderId="18" xfId="0" applyNumberFormat="1" applyFont="1" applyFill="1" applyBorder="1" applyAlignment="1">
      <alignment horizontal="center" vertical="top"/>
    </xf>
    <xf numFmtId="49" fontId="4" fillId="4" borderId="17" xfId="0" applyNumberFormat="1" applyFont="1" applyFill="1" applyBorder="1" applyAlignment="1">
      <alignment horizontal="left" vertical="top" wrapText="1"/>
    </xf>
    <xf numFmtId="3" fontId="1" fillId="0" borderId="62" xfId="0" applyNumberFormat="1" applyFont="1" applyFill="1" applyBorder="1" applyAlignment="1">
      <alignment horizontal="center" vertical="top" wrapText="1"/>
    </xf>
    <xf numFmtId="164" fontId="4" fillId="4" borderId="78" xfId="0" applyNumberFormat="1" applyFont="1" applyFill="1" applyBorder="1" applyAlignment="1">
      <alignment horizontal="center" vertical="top"/>
    </xf>
    <xf numFmtId="164" fontId="4" fillId="4" borderId="67" xfId="0" applyNumberFormat="1" applyFont="1" applyFill="1" applyBorder="1" applyAlignment="1">
      <alignment horizontal="center" vertical="top"/>
    </xf>
    <xf numFmtId="164" fontId="5" fillId="5" borderId="79" xfId="0" applyNumberFormat="1" applyFont="1" applyFill="1" applyBorder="1" applyAlignment="1">
      <alignment horizontal="center" vertical="top" wrapText="1"/>
    </xf>
    <xf numFmtId="164" fontId="2" fillId="5" borderId="45" xfId="0" applyNumberFormat="1" applyFont="1" applyFill="1" applyBorder="1" applyAlignment="1">
      <alignment horizontal="center" vertical="top" wrapText="1"/>
    </xf>
    <xf numFmtId="164" fontId="5" fillId="5" borderId="44" xfId="0" applyNumberFormat="1" applyFont="1" applyFill="1" applyBorder="1" applyAlignment="1">
      <alignment horizontal="center" vertical="top" wrapText="1"/>
    </xf>
    <xf numFmtId="164" fontId="4" fillId="4" borderId="17" xfId="0" applyNumberFormat="1" applyFont="1" applyFill="1" applyBorder="1" applyAlignment="1">
      <alignment horizontal="center" vertical="center"/>
    </xf>
    <xf numFmtId="164" fontId="4" fillId="4" borderId="17" xfId="0" applyNumberFormat="1" applyFont="1" applyFill="1" applyBorder="1" applyAlignment="1">
      <alignment horizontal="center" vertical="top"/>
    </xf>
    <xf numFmtId="164" fontId="1" fillId="0" borderId="52" xfId="0" applyNumberFormat="1" applyFont="1" applyFill="1" applyBorder="1" applyAlignment="1">
      <alignment horizontal="center" vertical="top"/>
    </xf>
    <xf numFmtId="164" fontId="1" fillId="0" borderId="39" xfId="0" applyNumberFormat="1" applyFont="1" applyFill="1" applyBorder="1" applyAlignment="1">
      <alignment horizontal="center" vertical="top"/>
    </xf>
    <xf numFmtId="164" fontId="4" fillId="4" borderId="15" xfId="0" applyNumberFormat="1" applyFont="1" applyFill="1" applyBorder="1" applyAlignment="1">
      <alignment horizontal="center" vertical="top"/>
    </xf>
    <xf numFmtId="3" fontId="1" fillId="0" borderId="33" xfId="0" applyNumberFormat="1" applyFont="1" applyBorder="1" applyAlignment="1">
      <alignment horizontal="center" vertical="top"/>
    </xf>
    <xf numFmtId="164" fontId="1" fillId="4" borderId="17" xfId="0" applyNumberFormat="1" applyFont="1" applyFill="1" applyBorder="1" applyAlignment="1">
      <alignment horizontal="center" vertical="top"/>
    </xf>
    <xf numFmtId="3" fontId="4" fillId="0" borderId="8" xfId="0" applyNumberFormat="1" applyFont="1" applyBorder="1" applyAlignment="1">
      <alignment vertical="top" wrapText="1"/>
    </xf>
    <xf numFmtId="3" fontId="4" fillId="4" borderId="40" xfId="0" applyNumberFormat="1" applyFont="1" applyFill="1" applyBorder="1" applyAlignment="1">
      <alignment horizontal="center" vertical="top" wrapText="1"/>
    </xf>
    <xf numFmtId="3" fontId="4" fillId="4" borderId="28" xfId="0" applyNumberFormat="1" applyFont="1" applyFill="1" applyBorder="1" applyAlignment="1">
      <alignment horizontal="center" vertical="top" wrapText="1"/>
    </xf>
    <xf numFmtId="164" fontId="4" fillId="4" borderId="0" xfId="0" applyNumberFormat="1" applyFont="1" applyFill="1" applyBorder="1" applyAlignment="1">
      <alignment horizontal="center" vertical="top"/>
    </xf>
    <xf numFmtId="3" fontId="4" fillId="4" borderId="46" xfId="0" applyNumberFormat="1" applyFont="1" applyFill="1" applyBorder="1" applyAlignment="1">
      <alignment horizontal="center" vertical="top" wrapText="1"/>
    </xf>
    <xf numFmtId="164" fontId="2" fillId="5" borderId="68" xfId="0" applyNumberFormat="1" applyFont="1" applyFill="1" applyBorder="1" applyAlignment="1">
      <alignment horizontal="center" vertical="top" wrapText="1"/>
    </xf>
    <xf numFmtId="164" fontId="1" fillId="4" borderId="53" xfId="0" applyNumberFormat="1" applyFont="1" applyFill="1" applyBorder="1" applyAlignment="1">
      <alignment horizontal="center" vertical="top"/>
    </xf>
    <xf numFmtId="164" fontId="2" fillId="5" borderId="19" xfId="0" applyNumberFormat="1" applyFont="1" applyFill="1" applyBorder="1" applyAlignment="1">
      <alignment horizontal="center" vertical="top" wrapText="1"/>
    </xf>
    <xf numFmtId="164" fontId="1" fillId="4" borderId="32" xfId="0" applyNumberFormat="1" applyFont="1" applyFill="1" applyBorder="1" applyAlignment="1">
      <alignment horizontal="center" vertical="top"/>
    </xf>
    <xf numFmtId="3" fontId="1" fillId="4" borderId="28" xfId="0" applyNumberFormat="1" applyFont="1" applyFill="1" applyBorder="1" applyAlignment="1">
      <alignment horizontal="center" vertical="top" wrapText="1"/>
    </xf>
    <xf numFmtId="3" fontId="1" fillId="4" borderId="15" xfId="0" applyNumberFormat="1" applyFont="1" applyFill="1" applyBorder="1" applyAlignment="1">
      <alignment horizontal="center" vertical="top" wrapText="1"/>
    </xf>
    <xf numFmtId="164" fontId="1" fillId="4" borderId="35" xfId="0" applyNumberFormat="1" applyFont="1" applyFill="1" applyBorder="1" applyAlignment="1">
      <alignment horizontal="center" vertical="top" wrapText="1"/>
    </xf>
    <xf numFmtId="164" fontId="1" fillId="4" borderId="30" xfId="0" applyNumberFormat="1" applyFont="1" applyFill="1" applyBorder="1" applyAlignment="1">
      <alignment horizontal="center" vertical="top" wrapText="1"/>
    </xf>
    <xf numFmtId="164" fontId="1" fillId="4" borderId="71" xfId="0" applyNumberFormat="1" applyFont="1" applyFill="1" applyBorder="1" applyAlignment="1">
      <alignment horizontal="center" vertical="top" wrapText="1"/>
    </xf>
    <xf numFmtId="3" fontId="1" fillId="4" borderId="66" xfId="0" applyNumberFormat="1" applyFont="1" applyFill="1" applyBorder="1" applyAlignment="1">
      <alignment horizontal="center" vertical="top" wrapText="1"/>
    </xf>
    <xf numFmtId="3" fontId="1" fillId="4" borderId="4" xfId="0" applyNumberFormat="1" applyFont="1" applyFill="1" applyBorder="1" applyAlignment="1">
      <alignment horizontal="center" vertical="top" wrapText="1"/>
    </xf>
    <xf numFmtId="3" fontId="4" fillId="4" borderId="35" xfId="0" applyNumberFormat="1" applyFont="1" applyFill="1" applyBorder="1" applyAlignment="1">
      <alignment horizontal="center" vertical="top" wrapText="1"/>
    </xf>
    <xf numFmtId="3" fontId="16" fillId="4" borderId="17" xfId="0" applyNumberFormat="1" applyFont="1" applyFill="1" applyBorder="1" applyAlignment="1">
      <alignment horizontal="center" vertical="top" wrapText="1"/>
    </xf>
    <xf numFmtId="3" fontId="1" fillId="4" borderId="47" xfId="0" applyNumberFormat="1" applyFont="1" applyFill="1" applyBorder="1" applyAlignment="1">
      <alignment horizontal="center" vertical="top" wrapText="1"/>
    </xf>
    <xf numFmtId="3" fontId="4" fillId="0" borderId="56" xfId="0" applyNumberFormat="1" applyFont="1" applyBorder="1" applyAlignment="1">
      <alignment horizontal="center" vertical="center" textRotation="90" wrapText="1"/>
    </xf>
    <xf numFmtId="3" fontId="4" fillId="4" borderId="64" xfId="0" applyNumberFormat="1" applyFont="1" applyFill="1" applyBorder="1" applyAlignment="1">
      <alignment horizontal="center" vertical="top" wrapText="1"/>
    </xf>
    <xf numFmtId="3" fontId="4" fillId="4" borderId="3" xfId="0" applyNumberFormat="1" applyFont="1" applyFill="1" applyBorder="1" applyAlignment="1">
      <alignment horizontal="center" vertical="top" wrapText="1"/>
    </xf>
    <xf numFmtId="49" fontId="4" fillId="4" borderId="32" xfId="0" applyNumberFormat="1" applyFont="1" applyFill="1" applyBorder="1" applyAlignment="1">
      <alignment horizontal="center" vertical="top" wrapText="1"/>
    </xf>
    <xf numFmtId="49" fontId="4" fillId="4" borderId="31" xfId="0" applyNumberFormat="1" applyFont="1" applyFill="1" applyBorder="1" applyAlignment="1">
      <alignment horizontal="center" vertical="top" wrapText="1"/>
    </xf>
    <xf numFmtId="3" fontId="4" fillId="4" borderId="80" xfId="0" applyNumberFormat="1" applyFont="1" applyFill="1" applyBorder="1" applyAlignment="1">
      <alignment horizontal="center" vertical="top" wrapText="1"/>
    </xf>
    <xf numFmtId="3" fontId="4" fillId="4" borderId="77" xfId="0" applyNumberFormat="1" applyFont="1" applyFill="1" applyBorder="1" applyAlignment="1">
      <alignment horizontal="center" vertical="top" wrapText="1"/>
    </xf>
    <xf numFmtId="3" fontId="4" fillId="4" borderId="67" xfId="0" applyNumberFormat="1" applyFont="1" applyFill="1" applyBorder="1" applyAlignment="1">
      <alignment horizontal="center" vertical="top" wrapText="1"/>
    </xf>
    <xf numFmtId="3" fontId="4" fillId="4" borderId="63" xfId="0" applyNumberFormat="1" applyFont="1" applyFill="1" applyBorder="1" applyAlignment="1">
      <alignment horizontal="center" vertical="top" wrapText="1"/>
    </xf>
    <xf numFmtId="3" fontId="1" fillId="4" borderId="0" xfId="0" applyNumberFormat="1" applyFont="1" applyFill="1" applyBorder="1" applyAlignment="1">
      <alignment horizontal="center" vertical="top" wrapText="1"/>
    </xf>
    <xf numFmtId="3" fontId="4" fillId="4" borderId="43" xfId="0" applyNumberFormat="1" applyFont="1" applyFill="1" applyBorder="1" applyAlignment="1">
      <alignment horizontal="center" vertical="top" wrapText="1"/>
    </xf>
    <xf numFmtId="3" fontId="4" fillId="4" borderId="56" xfId="0" applyNumberFormat="1" applyFont="1" applyFill="1" applyBorder="1" applyAlignment="1">
      <alignment horizontal="center" vertical="top" wrapText="1"/>
    </xf>
    <xf numFmtId="3" fontId="1" fillId="4" borderId="12" xfId="0" applyNumberFormat="1" applyFont="1" applyFill="1" applyBorder="1" applyAlignment="1">
      <alignment horizontal="left" vertical="top" wrapText="1"/>
    </xf>
    <xf numFmtId="3" fontId="1" fillId="4" borderId="12" xfId="0" applyNumberFormat="1" applyFont="1" applyFill="1" applyBorder="1" applyAlignment="1">
      <alignment vertical="top" wrapText="1"/>
    </xf>
    <xf numFmtId="3" fontId="4" fillId="4" borderId="78" xfId="0" applyNumberFormat="1" applyFont="1" applyFill="1" applyBorder="1" applyAlignment="1">
      <alignment horizontal="center" vertical="top" wrapText="1"/>
    </xf>
    <xf numFmtId="3" fontId="4" fillId="4" borderId="34" xfId="0" applyNumberFormat="1" applyFont="1" applyFill="1" applyBorder="1" applyAlignment="1">
      <alignment horizontal="center" vertical="top" wrapText="1"/>
    </xf>
    <xf numFmtId="3" fontId="4" fillId="4" borderId="79"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wrapText="1"/>
    </xf>
    <xf numFmtId="3" fontId="10" fillId="4" borderId="38" xfId="0" applyNumberFormat="1" applyFont="1" applyFill="1" applyBorder="1" applyAlignment="1">
      <alignment horizontal="center" vertical="top" wrapText="1"/>
    </xf>
    <xf numFmtId="3" fontId="4" fillId="4" borderId="38" xfId="0" applyNumberFormat="1" applyFont="1" applyFill="1" applyBorder="1" applyAlignment="1">
      <alignment horizontal="center" vertical="top" wrapText="1"/>
    </xf>
    <xf numFmtId="3" fontId="4" fillId="4" borderId="0" xfId="0" applyNumberFormat="1" applyFont="1" applyFill="1" applyBorder="1" applyAlignment="1">
      <alignment vertical="top" wrapText="1"/>
    </xf>
    <xf numFmtId="3" fontId="4" fillId="4" borderId="22" xfId="0" applyNumberFormat="1" applyFont="1" applyFill="1" applyBorder="1" applyAlignment="1">
      <alignment horizontal="center" vertical="top" wrapText="1"/>
    </xf>
    <xf numFmtId="3" fontId="4" fillId="4" borderId="47" xfId="0" applyNumberFormat="1" applyFont="1" applyFill="1" applyBorder="1" applyAlignment="1">
      <alignment horizontal="center" vertical="top" wrapText="1"/>
    </xf>
    <xf numFmtId="164" fontId="4" fillId="4" borderId="29" xfId="0" applyNumberFormat="1" applyFont="1" applyFill="1" applyBorder="1" applyAlignment="1">
      <alignment horizontal="center" vertical="top" wrapText="1"/>
    </xf>
    <xf numFmtId="164" fontId="4" fillId="4" borderId="0" xfId="0" applyNumberFormat="1" applyFont="1" applyFill="1" applyBorder="1" applyAlignment="1">
      <alignment vertical="top" wrapText="1"/>
    </xf>
    <xf numFmtId="164" fontId="2" fillId="4" borderId="32" xfId="0" applyNumberFormat="1" applyFont="1" applyFill="1" applyBorder="1" applyAlignment="1">
      <alignment vertical="top"/>
    </xf>
    <xf numFmtId="3" fontId="4" fillId="4" borderId="56" xfId="0" applyNumberFormat="1" applyFont="1" applyFill="1" applyBorder="1" applyAlignment="1">
      <alignment vertical="top" wrapText="1"/>
    </xf>
    <xf numFmtId="3" fontId="4" fillId="4" borderId="20" xfId="0" applyNumberFormat="1" applyFont="1" applyFill="1" applyBorder="1" applyAlignment="1">
      <alignment horizontal="center" vertical="top" wrapText="1"/>
    </xf>
    <xf numFmtId="4" fontId="4" fillId="4" borderId="47" xfId="0" applyNumberFormat="1" applyFont="1" applyFill="1" applyBorder="1" applyAlignment="1">
      <alignment horizontal="center" vertical="top" wrapText="1"/>
    </xf>
    <xf numFmtId="4" fontId="4" fillId="4" borderId="46" xfId="0" applyNumberFormat="1" applyFont="1" applyFill="1" applyBorder="1" applyAlignment="1">
      <alignment horizontal="center" vertical="top" wrapText="1"/>
    </xf>
    <xf numFmtId="3" fontId="4" fillId="4" borderId="50" xfId="0" applyNumberFormat="1" applyFont="1" applyFill="1" applyBorder="1" applyAlignment="1">
      <alignment horizontal="center" vertical="top" wrapText="1"/>
    </xf>
    <xf numFmtId="165" fontId="4" fillId="0" borderId="12"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165" fontId="2" fillId="7" borderId="35" xfId="0" applyNumberFormat="1" applyFont="1" applyFill="1" applyBorder="1" applyAlignment="1">
      <alignment horizontal="center" vertical="top" wrapText="1"/>
    </xf>
    <xf numFmtId="3" fontId="4" fillId="4" borderId="36" xfId="0" applyNumberFormat="1" applyFont="1" applyFill="1" applyBorder="1" applyAlignment="1">
      <alignment horizontal="left" vertical="top" wrapText="1"/>
    </xf>
    <xf numFmtId="3" fontId="1" fillId="4" borderId="19" xfId="0" applyNumberFormat="1" applyFont="1" applyFill="1" applyBorder="1" applyAlignment="1">
      <alignment horizontal="center" vertical="top" wrapText="1"/>
    </xf>
    <xf numFmtId="3" fontId="1" fillId="4" borderId="14" xfId="0" applyNumberFormat="1" applyFont="1" applyFill="1" applyBorder="1" applyAlignment="1">
      <alignment horizontal="center" vertical="top" wrapText="1"/>
    </xf>
    <xf numFmtId="3" fontId="1" fillId="4" borderId="12" xfId="0" applyNumberFormat="1" applyFont="1" applyFill="1" applyBorder="1" applyAlignment="1">
      <alignment horizontal="center" vertical="top" wrapText="1"/>
    </xf>
    <xf numFmtId="3" fontId="1" fillId="4" borderId="76"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xf>
    <xf numFmtId="3" fontId="2" fillId="4" borderId="13" xfId="0" applyNumberFormat="1" applyFont="1" applyFill="1" applyBorder="1" applyAlignment="1">
      <alignment horizontal="center" vertical="top" textRotation="90" wrapText="1"/>
    </xf>
    <xf numFmtId="3" fontId="2" fillId="4" borderId="19" xfId="0" applyNumberFormat="1" applyFont="1" applyFill="1" applyBorder="1" applyAlignment="1">
      <alignment horizontal="center" vertical="top" textRotation="90" wrapText="1"/>
    </xf>
    <xf numFmtId="3" fontId="1" fillId="0" borderId="74" xfId="0" applyNumberFormat="1" applyFont="1" applyFill="1" applyBorder="1" applyAlignment="1">
      <alignment horizontal="center" vertical="top" wrapText="1"/>
    </xf>
    <xf numFmtId="3" fontId="2" fillId="8" borderId="54" xfId="0" applyNumberFormat="1" applyFont="1" applyFill="1" applyBorder="1" applyAlignment="1">
      <alignment horizontal="center" vertical="top" wrapText="1"/>
    </xf>
    <xf numFmtId="3" fontId="2" fillId="8" borderId="72" xfId="0" applyNumberFormat="1" applyFont="1" applyFill="1" applyBorder="1" applyAlignment="1">
      <alignment horizontal="center" vertical="top" wrapText="1"/>
    </xf>
    <xf numFmtId="3" fontId="1" fillId="0" borderId="0" xfId="0" applyNumberFormat="1" applyFont="1" applyAlignment="1">
      <alignment horizontal="center" vertical="top" wrapText="1"/>
    </xf>
    <xf numFmtId="49" fontId="1" fillId="0" borderId="0" xfId="0" applyNumberFormat="1" applyFont="1" applyAlignment="1">
      <alignment vertical="top" wrapText="1"/>
    </xf>
    <xf numFmtId="3" fontId="1" fillId="0" borderId="0" xfId="0" applyNumberFormat="1" applyFont="1" applyAlignment="1">
      <alignment vertical="top" wrapText="1"/>
    </xf>
    <xf numFmtId="3" fontId="4" fillId="0" borderId="0" xfId="0" applyNumberFormat="1" applyFont="1" applyAlignment="1">
      <alignment horizontal="center" vertical="top" wrapText="1"/>
    </xf>
    <xf numFmtId="165" fontId="1" fillId="0" borderId="0" xfId="0" applyNumberFormat="1" applyFont="1" applyAlignment="1">
      <alignment horizontal="center" vertical="top" wrapText="1"/>
    </xf>
    <xf numFmtId="3" fontId="1" fillId="0" borderId="0" xfId="0" applyNumberFormat="1" applyFont="1" applyBorder="1" applyAlignment="1">
      <alignment vertical="top" wrapText="1"/>
    </xf>
    <xf numFmtId="3" fontId="8" fillId="0" borderId="0" xfId="0" applyNumberFormat="1" applyFont="1" applyBorder="1" applyAlignment="1">
      <alignment vertical="top" wrapText="1"/>
    </xf>
    <xf numFmtId="164" fontId="4" fillId="0" borderId="0" xfId="0" applyNumberFormat="1" applyFont="1" applyBorder="1" applyAlignment="1">
      <alignment vertical="top" wrapText="1"/>
    </xf>
    <xf numFmtId="3" fontId="4" fillId="0" borderId="0" xfId="0" applyNumberFormat="1" applyFont="1" applyBorder="1" applyAlignment="1">
      <alignment vertical="top" wrapText="1"/>
    </xf>
    <xf numFmtId="49" fontId="5" fillId="8" borderId="12" xfId="0" applyNumberFormat="1" applyFont="1" applyFill="1" applyBorder="1" applyAlignment="1">
      <alignment vertical="top" wrapText="1"/>
    </xf>
    <xf numFmtId="49" fontId="5" fillId="8" borderId="16" xfId="0" applyNumberFormat="1" applyFont="1" applyFill="1" applyBorder="1" applyAlignment="1">
      <alignment horizontal="center" vertical="top" wrapText="1"/>
    </xf>
    <xf numFmtId="49" fontId="5" fillId="2" borderId="32" xfId="0" applyNumberFormat="1" applyFont="1" applyFill="1" applyBorder="1" applyAlignment="1">
      <alignment horizontal="center" vertical="top" wrapText="1"/>
    </xf>
    <xf numFmtId="49" fontId="5" fillId="8" borderId="16" xfId="0" applyNumberFormat="1" applyFont="1" applyFill="1" applyBorder="1" applyAlignment="1">
      <alignment vertical="top" wrapText="1"/>
    </xf>
    <xf numFmtId="49" fontId="5" fillId="2" borderId="13" xfId="0" applyNumberFormat="1" applyFont="1" applyFill="1" applyBorder="1" applyAlignment="1">
      <alignment vertical="top" wrapText="1"/>
    </xf>
    <xf numFmtId="49" fontId="5" fillId="3" borderId="64" xfId="0" applyNumberFormat="1" applyFont="1" applyFill="1" applyBorder="1" applyAlignment="1">
      <alignment horizontal="center" vertical="top" wrapText="1"/>
    </xf>
    <xf numFmtId="3" fontId="5" fillId="0" borderId="71" xfId="0" applyNumberFormat="1" applyFont="1" applyBorder="1" applyAlignment="1">
      <alignment horizontal="center" vertical="top" wrapText="1"/>
    </xf>
    <xf numFmtId="49" fontId="5" fillId="8" borderId="17" xfId="0" applyNumberFormat="1" applyFont="1" applyFill="1" applyBorder="1" applyAlignment="1">
      <alignment vertical="top" wrapText="1"/>
    </xf>
    <xf numFmtId="49" fontId="5" fillId="2" borderId="18" xfId="0" applyNumberFormat="1" applyFont="1" applyFill="1" applyBorder="1" applyAlignment="1">
      <alignment horizontal="center" vertical="top" wrapText="1"/>
    </xf>
    <xf numFmtId="49" fontId="5" fillId="3" borderId="32" xfId="0" applyNumberFormat="1" applyFont="1" applyFill="1" applyBorder="1" applyAlignment="1">
      <alignment vertical="top" wrapText="1"/>
    </xf>
    <xf numFmtId="3" fontId="5" fillId="0" borderId="32" xfId="0" applyNumberFormat="1" applyFont="1" applyBorder="1" applyAlignment="1">
      <alignment horizontal="center" vertical="top" wrapText="1"/>
    </xf>
    <xf numFmtId="49" fontId="5" fillId="2" borderId="18" xfId="0" applyNumberFormat="1" applyFont="1" applyFill="1" applyBorder="1" applyAlignment="1">
      <alignment vertical="top" wrapText="1"/>
    </xf>
    <xf numFmtId="49" fontId="5" fillId="8" borderId="40" xfId="0" applyNumberFormat="1" applyFont="1" applyFill="1" applyBorder="1" applyAlignment="1">
      <alignment horizontal="center" vertical="top" wrapText="1"/>
    </xf>
    <xf numFmtId="49" fontId="5" fillId="3" borderId="0" xfId="0" applyNumberFormat="1" applyFont="1" applyFill="1" applyBorder="1" applyAlignment="1">
      <alignment horizontal="center" vertical="top" wrapText="1"/>
    </xf>
    <xf numFmtId="49" fontId="5" fillId="3" borderId="32" xfId="0" applyNumberFormat="1" applyFont="1" applyFill="1" applyBorder="1" applyAlignment="1">
      <alignment horizontal="center" vertical="top" wrapText="1"/>
    </xf>
    <xf numFmtId="49" fontId="5" fillId="8" borderId="17" xfId="0" applyNumberFormat="1" applyFont="1" applyFill="1" applyBorder="1" applyAlignment="1">
      <alignment horizontal="center" vertical="top" wrapText="1"/>
    </xf>
    <xf numFmtId="3" fontId="5" fillId="0" borderId="32" xfId="0" applyNumberFormat="1" applyFont="1" applyFill="1" applyBorder="1" applyAlignment="1">
      <alignment horizontal="center" vertical="top" wrapText="1"/>
    </xf>
    <xf numFmtId="3" fontId="5" fillId="4" borderId="32" xfId="0" applyNumberFormat="1" applyFont="1" applyFill="1" applyBorder="1" applyAlignment="1">
      <alignment horizontal="center" vertical="top" wrapText="1"/>
    </xf>
    <xf numFmtId="3" fontId="2" fillId="0" borderId="0" xfId="0" applyNumberFormat="1" applyFont="1" applyFill="1" applyBorder="1" applyAlignment="1">
      <alignment horizontal="center" vertical="center" wrapText="1"/>
    </xf>
    <xf numFmtId="3" fontId="2" fillId="0" borderId="32" xfId="0" applyNumberFormat="1" applyFont="1" applyBorder="1" applyAlignment="1">
      <alignment horizontal="center" vertical="top" wrapText="1"/>
    </xf>
    <xf numFmtId="3" fontId="3" fillId="0" borderId="0" xfId="0" applyNumberFormat="1" applyFont="1" applyAlignment="1">
      <alignment wrapText="1"/>
    </xf>
    <xf numFmtId="3" fontId="4" fillId="4" borderId="45" xfId="0" applyNumberFormat="1" applyFont="1" applyFill="1" applyBorder="1" applyAlignment="1">
      <alignment horizontal="center" vertical="top" wrapText="1"/>
    </xf>
    <xf numFmtId="49" fontId="5" fillId="8" borderId="40" xfId="0" applyNumberFormat="1" applyFont="1" applyFill="1" applyBorder="1" applyAlignment="1">
      <alignment vertical="top" wrapText="1"/>
    </xf>
    <xf numFmtId="3" fontId="5" fillId="0" borderId="32" xfId="0" applyNumberFormat="1" applyFont="1" applyBorder="1" applyAlignment="1">
      <alignment vertical="top" wrapText="1"/>
    </xf>
    <xf numFmtId="3" fontId="1" fillId="4" borderId="30" xfId="0" applyNumberFormat="1" applyFont="1" applyFill="1" applyBorder="1" applyAlignment="1">
      <alignment horizontal="center" vertical="top" wrapText="1"/>
    </xf>
    <xf numFmtId="49" fontId="2" fillId="8" borderId="17" xfId="0" applyNumberFormat="1" applyFont="1" applyFill="1" applyBorder="1" applyAlignment="1">
      <alignment vertical="top" wrapText="1"/>
    </xf>
    <xf numFmtId="49" fontId="2" fillId="2" borderId="18" xfId="0" applyNumberFormat="1" applyFont="1" applyFill="1" applyBorder="1" applyAlignment="1">
      <alignment vertical="top" wrapText="1"/>
    </xf>
    <xf numFmtId="49" fontId="2" fillId="3" borderId="32" xfId="0" applyNumberFormat="1" applyFont="1" applyFill="1" applyBorder="1" applyAlignment="1">
      <alignment vertical="top" wrapText="1"/>
    </xf>
    <xf numFmtId="4" fontId="4" fillId="4" borderId="44" xfId="0" applyNumberFormat="1" applyFont="1" applyFill="1" applyBorder="1" applyAlignment="1">
      <alignment horizontal="center" vertical="top" wrapText="1"/>
    </xf>
    <xf numFmtId="49" fontId="2" fillId="8" borderId="17"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wrapText="1"/>
    </xf>
    <xf numFmtId="49" fontId="2" fillId="3" borderId="32"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wrapText="1"/>
    </xf>
    <xf numFmtId="3" fontId="1" fillId="0" borderId="12" xfId="0" applyNumberFormat="1" applyFont="1" applyBorder="1" applyAlignment="1">
      <alignment horizontal="center" vertical="top" wrapText="1"/>
    </xf>
    <xf numFmtId="3" fontId="1" fillId="0" borderId="76" xfId="0" applyNumberFormat="1" applyFont="1" applyBorder="1" applyAlignment="1">
      <alignment horizontal="center" vertical="top" wrapText="1"/>
    </xf>
    <xf numFmtId="3" fontId="2" fillId="0" borderId="32" xfId="0" applyNumberFormat="1" applyFont="1" applyFill="1" applyBorder="1" applyAlignment="1">
      <alignment horizontal="center" vertical="top" wrapText="1"/>
    </xf>
    <xf numFmtId="3" fontId="1" fillId="0" borderId="38" xfId="0" applyNumberFormat="1" applyFont="1" applyBorder="1" applyAlignment="1">
      <alignment horizontal="center" vertical="top" wrapText="1"/>
    </xf>
    <xf numFmtId="3" fontId="1" fillId="0" borderId="17" xfId="0" applyNumberFormat="1" applyFont="1" applyBorder="1" applyAlignment="1">
      <alignment horizontal="center" vertical="top" wrapText="1"/>
    </xf>
    <xf numFmtId="0" fontId="4" fillId="4" borderId="30" xfId="0" applyFont="1" applyFill="1" applyBorder="1" applyAlignment="1">
      <alignment horizontal="center" vertical="top" wrapText="1"/>
    </xf>
    <xf numFmtId="0" fontId="4" fillId="4" borderId="35" xfId="0" applyFont="1" applyFill="1" applyBorder="1" applyAlignment="1">
      <alignment horizontal="center" vertical="top" wrapText="1"/>
    </xf>
    <xf numFmtId="0" fontId="1" fillId="4" borderId="29" xfId="0" applyFont="1" applyFill="1" applyBorder="1" applyAlignment="1">
      <alignment horizontal="center" vertical="top" wrapText="1"/>
    </xf>
    <xf numFmtId="3" fontId="1" fillId="0" borderId="30" xfId="0" applyNumberFormat="1" applyFont="1" applyBorder="1" applyAlignment="1">
      <alignment horizontal="center" vertical="top" wrapText="1"/>
    </xf>
    <xf numFmtId="3" fontId="1" fillId="0" borderId="56" xfId="0" applyNumberFormat="1" applyFont="1" applyBorder="1" applyAlignment="1">
      <alignment horizontal="center" vertical="top" wrapText="1"/>
    </xf>
    <xf numFmtId="0" fontId="17" fillId="4" borderId="44" xfId="0" applyFont="1" applyFill="1" applyBorder="1" applyAlignment="1">
      <alignment horizontal="center" vertical="top" wrapText="1"/>
    </xf>
    <xf numFmtId="0" fontId="17" fillId="4" borderId="48" xfId="0" applyFont="1" applyFill="1" applyBorder="1" applyAlignment="1">
      <alignment horizontal="center" vertical="top" wrapText="1"/>
    </xf>
    <xf numFmtId="0" fontId="12" fillId="4" borderId="4" xfId="0" applyFont="1" applyFill="1" applyBorder="1" applyAlignment="1">
      <alignment horizontal="center" vertical="top" wrapText="1"/>
    </xf>
    <xf numFmtId="3" fontId="4" fillId="0" borderId="44" xfId="0" applyNumberFormat="1" applyFont="1" applyBorder="1" applyAlignment="1">
      <alignment horizontal="center" vertical="top" wrapText="1"/>
    </xf>
    <xf numFmtId="49" fontId="2" fillId="8" borderId="40" xfId="0" applyNumberFormat="1" applyFont="1" applyFill="1" applyBorder="1" applyAlignment="1">
      <alignment horizontal="center" vertical="top" wrapText="1"/>
    </xf>
    <xf numFmtId="49" fontId="5" fillId="3" borderId="0" xfId="0" applyNumberFormat="1" applyFont="1" applyFill="1" applyBorder="1" applyAlignment="1">
      <alignment vertical="top" wrapText="1"/>
    </xf>
    <xf numFmtId="49" fontId="5" fillId="8" borderId="20" xfId="0" applyNumberFormat="1" applyFont="1" applyFill="1" applyBorder="1" applyAlignment="1">
      <alignment vertical="top" wrapText="1"/>
    </xf>
    <xf numFmtId="49" fontId="2" fillId="2" borderId="19" xfId="0" applyNumberFormat="1" applyFont="1" applyFill="1" applyBorder="1" applyAlignment="1">
      <alignment vertical="top" wrapText="1"/>
    </xf>
    <xf numFmtId="49" fontId="2" fillId="3" borderId="68" xfId="0" applyNumberFormat="1" applyFont="1" applyFill="1" applyBorder="1" applyAlignment="1">
      <alignment vertical="top" wrapText="1"/>
    </xf>
    <xf numFmtId="0" fontId="17" fillId="4" borderId="21" xfId="0" applyFont="1" applyFill="1" applyBorder="1" applyAlignment="1">
      <alignment horizontal="center" vertical="top" wrapText="1"/>
    </xf>
    <xf numFmtId="0" fontId="12" fillId="4" borderId="56" xfId="0" applyFont="1" applyFill="1" applyBorder="1" applyAlignment="1">
      <alignment horizontal="center" vertical="top" wrapText="1"/>
    </xf>
    <xf numFmtId="0" fontId="12" fillId="4" borderId="68" xfId="0" applyFont="1" applyFill="1" applyBorder="1" applyAlignment="1">
      <alignment horizontal="center" vertical="top" wrapText="1"/>
    </xf>
    <xf numFmtId="0" fontId="12" fillId="4" borderId="21" xfId="0" applyFont="1" applyFill="1" applyBorder="1" applyAlignment="1">
      <alignment horizontal="center" vertical="top" wrapText="1"/>
    </xf>
    <xf numFmtId="49" fontId="2" fillId="8" borderId="22" xfId="0" applyNumberFormat="1" applyFont="1" applyFill="1" applyBorder="1" applyAlignment="1">
      <alignment horizontal="center" vertical="top" wrapText="1"/>
    </xf>
    <xf numFmtId="49" fontId="2" fillId="2" borderId="13" xfId="0" applyNumberFormat="1" applyFont="1" applyFill="1" applyBorder="1" applyAlignment="1">
      <alignment horizontal="center" vertical="top" wrapText="1"/>
    </xf>
    <xf numFmtId="49" fontId="2" fillId="3" borderId="64" xfId="0" applyNumberFormat="1" applyFont="1" applyFill="1" applyBorder="1" applyAlignment="1">
      <alignment horizontal="center" vertical="top" wrapText="1"/>
    </xf>
    <xf numFmtId="3" fontId="2" fillId="0" borderId="64"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2" fillId="0" borderId="31" xfId="0" applyNumberFormat="1" applyFont="1" applyBorder="1" applyAlignment="1">
      <alignment horizontal="center" vertical="top" wrapText="1"/>
    </xf>
    <xf numFmtId="3" fontId="4" fillId="4" borderId="21" xfId="0" applyNumberFormat="1" applyFont="1" applyFill="1" applyBorder="1" applyAlignment="1">
      <alignment horizontal="center" vertical="top" wrapText="1"/>
    </xf>
    <xf numFmtId="49" fontId="5" fillId="8" borderId="56" xfId="0" applyNumberFormat="1" applyFont="1" applyFill="1" applyBorder="1" applyAlignment="1">
      <alignment horizontal="center" vertical="top" wrapText="1"/>
    </xf>
    <xf numFmtId="49" fontId="2" fillId="2" borderId="19" xfId="0" applyNumberFormat="1" applyFont="1" applyFill="1" applyBorder="1" applyAlignment="1">
      <alignment horizontal="center" vertical="top" wrapText="1"/>
    </xf>
    <xf numFmtId="49" fontId="2" fillId="3" borderId="68" xfId="0" applyNumberFormat="1" applyFont="1" applyFill="1" applyBorder="1" applyAlignment="1">
      <alignment horizontal="center" vertical="top" wrapText="1"/>
    </xf>
    <xf numFmtId="3" fontId="2" fillId="0" borderId="68" xfId="0" applyNumberFormat="1" applyFont="1" applyFill="1" applyBorder="1" applyAlignment="1">
      <alignment horizontal="center" vertical="top" wrapText="1"/>
    </xf>
    <xf numFmtId="49" fontId="2" fillId="8" borderId="56" xfId="0" applyNumberFormat="1" applyFont="1" applyFill="1" applyBorder="1" applyAlignment="1">
      <alignment horizontal="center" vertical="top" wrapText="1"/>
    </xf>
    <xf numFmtId="3" fontId="2" fillId="4" borderId="68" xfId="0" applyNumberFormat="1" applyFont="1" applyFill="1" applyBorder="1" applyAlignment="1">
      <alignment horizontal="center" vertical="top" wrapText="1"/>
    </xf>
    <xf numFmtId="3" fontId="2" fillId="0" borderId="64" xfId="0" applyNumberFormat="1" applyFont="1" applyFill="1" applyBorder="1" applyAlignment="1">
      <alignment horizontal="center" vertical="top" wrapText="1"/>
    </xf>
    <xf numFmtId="49" fontId="5" fillId="8" borderId="22" xfId="0" applyNumberFormat="1" applyFont="1" applyFill="1" applyBorder="1" applyAlignment="1">
      <alignment horizontal="center" vertical="top" wrapText="1"/>
    </xf>
    <xf numFmtId="164" fontId="1" fillId="0" borderId="35"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wrapText="1"/>
    </xf>
    <xf numFmtId="164" fontId="1" fillId="0" borderId="30" xfId="0" applyNumberFormat="1" applyFont="1" applyFill="1" applyBorder="1" applyAlignment="1">
      <alignment horizontal="center" vertical="top" wrapText="1"/>
    </xf>
    <xf numFmtId="3" fontId="1" fillId="4" borderId="71" xfId="0" applyNumberFormat="1" applyFont="1" applyFill="1" applyBorder="1" applyAlignment="1">
      <alignment horizontal="center" vertical="top" wrapText="1"/>
    </xf>
    <xf numFmtId="3" fontId="1" fillId="4" borderId="74" xfId="0" applyNumberFormat="1" applyFont="1" applyFill="1" applyBorder="1" applyAlignment="1">
      <alignment horizontal="center" vertical="top" wrapText="1"/>
    </xf>
    <xf numFmtId="164" fontId="1" fillId="4" borderId="53" xfId="0" applyNumberFormat="1" applyFont="1" applyFill="1" applyBorder="1" applyAlignment="1">
      <alignment horizontal="center" vertical="top" wrapText="1"/>
    </xf>
    <xf numFmtId="164" fontId="1" fillId="0" borderId="62" xfId="0" applyNumberFormat="1" applyFont="1" applyFill="1" applyBorder="1" applyAlignment="1">
      <alignment horizontal="center" vertical="top" wrapText="1"/>
    </xf>
    <xf numFmtId="164" fontId="1" fillId="0" borderId="42" xfId="0" applyNumberFormat="1" applyFont="1" applyFill="1" applyBorder="1" applyAlignment="1">
      <alignment horizontal="center" vertical="top" wrapText="1"/>
    </xf>
    <xf numFmtId="164" fontId="1" fillId="0" borderId="15" xfId="0" applyNumberFormat="1" applyFont="1" applyFill="1" applyBorder="1" applyAlignment="1">
      <alignment horizontal="center" vertical="top" wrapText="1"/>
    </xf>
    <xf numFmtId="3" fontId="1" fillId="0" borderId="39" xfId="0" applyNumberFormat="1" applyFont="1" applyBorder="1" applyAlignment="1">
      <alignment horizontal="center" vertical="top" wrapText="1"/>
    </xf>
    <xf numFmtId="164" fontId="1" fillId="4" borderId="33" xfId="0" applyNumberFormat="1" applyFont="1" applyFill="1" applyBorder="1" applyAlignment="1">
      <alignment horizontal="center" vertical="top" wrapText="1"/>
    </xf>
    <xf numFmtId="164" fontId="1" fillId="0" borderId="61" xfId="0" applyNumberFormat="1" applyFont="1" applyFill="1" applyBorder="1" applyAlignment="1">
      <alignment horizontal="center" vertical="top" wrapText="1"/>
    </xf>
    <xf numFmtId="164" fontId="1" fillId="0" borderId="59" xfId="0" applyNumberFormat="1" applyFont="1" applyFill="1" applyBorder="1" applyAlignment="1">
      <alignment horizontal="center" vertical="top" wrapText="1"/>
    </xf>
    <xf numFmtId="164" fontId="1" fillId="0" borderId="28" xfId="0" applyNumberFormat="1" applyFont="1" applyFill="1" applyBorder="1" applyAlignment="1">
      <alignment horizontal="center" vertical="top" wrapText="1"/>
    </xf>
    <xf numFmtId="49" fontId="5" fillId="8" borderId="20" xfId="0" applyNumberFormat="1" applyFont="1" applyFill="1" applyBorder="1" applyAlignment="1">
      <alignment horizontal="center" vertical="top" wrapText="1"/>
    </xf>
    <xf numFmtId="164" fontId="2" fillId="5" borderId="50" xfId="0" applyNumberFormat="1" applyFont="1" applyFill="1" applyBorder="1" applyAlignment="1">
      <alignment horizontal="center" vertical="top" wrapText="1"/>
    </xf>
    <xf numFmtId="3" fontId="2" fillId="4" borderId="64" xfId="0" applyNumberFormat="1" applyFont="1" applyFill="1" applyBorder="1" applyAlignment="1">
      <alignment horizontal="center" vertical="top" wrapText="1"/>
    </xf>
    <xf numFmtId="3" fontId="1" fillId="4" borderId="35" xfId="0" applyNumberFormat="1" applyFont="1" applyFill="1" applyBorder="1" applyAlignment="1">
      <alignment horizontal="center" vertical="top" wrapText="1"/>
    </xf>
    <xf numFmtId="3" fontId="1" fillId="4" borderId="29" xfId="0" applyNumberFormat="1" applyFont="1" applyFill="1" applyBorder="1" applyAlignment="1">
      <alignment horizontal="center" vertical="top" wrapText="1"/>
    </xf>
    <xf numFmtId="49" fontId="2" fillId="8" borderId="12" xfId="0" applyNumberFormat="1" applyFont="1" applyFill="1" applyBorder="1" applyAlignment="1">
      <alignment horizontal="center" vertical="top" wrapText="1"/>
    </xf>
    <xf numFmtId="49" fontId="2" fillId="2" borderId="11" xfId="0" applyNumberFormat="1" applyFont="1" applyFill="1" applyBorder="1" applyAlignment="1">
      <alignment horizontal="center" vertical="top" wrapText="1"/>
    </xf>
    <xf numFmtId="3" fontId="2" fillId="2" borderId="12" xfId="0" applyNumberFormat="1" applyFont="1" applyFill="1" applyBorder="1" applyAlignment="1">
      <alignment horizontal="center" vertical="top" wrapText="1"/>
    </xf>
    <xf numFmtId="3" fontId="2" fillId="2" borderId="54" xfId="0" applyNumberFormat="1" applyFont="1" applyFill="1" applyBorder="1" applyAlignment="1">
      <alignment horizontal="center" vertical="top" wrapText="1"/>
    </xf>
    <xf numFmtId="3" fontId="2" fillId="2" borderId="7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49" fontId="2" fillId="8" borderId="16" xfId="0" applyNumberFormat="1" applyFont="1" applyFill="1" applyBorder="1" applyAlignment="1">
      <alignment horizontal="center" vertical="top" wrapText="1"/>
    </xf>
    <xf numFmtId="49" fontId="5" fillId="8" borderId="12"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49" fontId="2" fillId="3" borderId="13"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3" fontId="1" fillId="0" borderId="38" xfId="0" applyNumberFormat="1" applyFont="1" applyFill="1" applyBorder="1" applyAlignment="1">
      <alignment horizontal="center" vertical="top" wrapText="1"/>
    </xf>
    <xf numFmtId="3" fontId="1" fillId="0" borderId="13" xfId="0" applyNumberFormat="1" applyFont="1" applyBorder="1" applyAlignment="1">
      <alignment horizontal="center" vertical="top" wrapText="1"/>
    </xf>
    <xf numFmtId="3" fontId="1" fillId="0" borderId="24" xfId="0" applyNumberFormat="1" applyFont="1" applyBorder="1" applyAlignment="1">
      <alignment horizontal="center" vertical="top" wrapText="1"/>
    </xf>
    <xf numFmtId="164" fontId="1" fillId="0" borderId="0" xfId="0" applyNumberFormat="1" applyFont="1" applyBorder="1" applyAlignment="1">
      <alignment vertical="top" wrapText="1"/>
    </xf>
    <xf numFmtId="49" fontId="2" fillId="3" borderId="18" xfId="0" applyNumberFormat="1" applyFont="1" applyFill="1" applyBorder="1" applyAlignment="1">
      <alignment horizontal="center" vertical="top" wrapText="1"/>
    </xf>
    <xf numFmtId="3" fontId="4" fillId="0" borderId="0" xfId="0" applyNumberFormat="1" applyFont="1" applyBorder="1" applyAlignment="1">
      <alignment horizontal="center" vertical="top" wrapText="1"/>
    </xf>
    <xf numFmtId="3" fontId="1" fillId="0" borderId="31" xfId="0" applyNumberFormat="1" applyFont="1" applyFill="1" applyBorder="1" applyAlignment="1">
      <alignment horizontal="center" vertical="top" wrapText="1"/>
    </xf>
    <xf numFmtId="3" fontId="1" fillId="0" borderId="18"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1" fillId="3" borderId="17" xfId="0" applyNumberFormat="1" applyFont="1" applyFill="1" applyBorder="1" applyAlignment="1">
      <alignment horizontal="center" vertical="top" wrapText="1"/>
    </xf>
    <xf numFmtId="3" fontId="2" fillId="0" borderId="18" xfId="0" applyNumberFormat="1" applyFont="1" applyBorder="1" applyAlignment="1">
      <alignment horizontal="center" vertical="top" wrapText="1"/>
    </xf>
    <xf numFmtId="3" fontId="2" fillId="4" borderId="18" xfId="0" applyNumberFormat="1" applyFont="1" applyFill="1" applyBorder="1" applyAlignment="1">
      <alignment horizontal="center" vertical="top" wrapText="1"/>
    </xf>
    <xf numFmtId="3" fontId="1" fillId="4" borderId="26" xfId="0" applyNumberFormat="1" applyFont="1" applyFill="1" applyBorder="1" applyAlignment="1">
      <alignment horizontal="center" vertical="top" wrapText="1"/>
    </xf>
    <xf numFmtId="49" fontId="2" fillId="3" borderId="0" xfId="0" applyNumberFormat="1" applyFont="1" applyFill="1" applyBorder="1" applyAlignment="1">
      <alignment vertical="top" wrapText="1"/>
    </xf>
    <xf numFmtId="49" fontId="2" fillId="3" borderId="18" xfId="0" applyNumberFormat="1" applyFont="1" applyFill="1" applyBorder="1" applyAlignment="1">
      <alignment vertical="top" wrapText="1"/>
    </xf>
    <xf numFmtId="49" fontId="1" fillId="0" borderId="0" xfId="0" applyNumberFormat="1" applyFont="1" applyBorder="1" applyAlignment="1">
      <alignment vertical="top" wrapText="1"/>
    </xf>
    <xf numFmtId="3" fontId="1" fillId="0" borderId="17" xfId="0" applyNumberFormat="1" applyFont="1" applyBorder="1" applyAlignment="1">
      <alignment vertical="top" wrapText="1"/>
    </xf>
    <xf numFmtId="49" fontId="2" fillId="8" borderId="20" xfId="0" applyNumberFormat="1" applyFont="1" applyFill="1" applyBorder="1" applyAlignment="1">
      <alignment horizontal="center" vertical="top" wrapText="1"/>
    </xf>
    <xf numFmtId="49" fontId="5" fillId="3" borderId="68" xfId="0" applyNumberFormat="1" applyFont="1" applyFill="1" applyBorder="1" applyAlignment="1">
      <alignment horizontal="center" vertical="top" wrapText="1"/>
    </xf>
    <xf numFmtId="3" fontId="4" fillId="3" borderId="56" xfId="0" applyNumberFormat="1" applyFont="1" applyFill="1" applyBorder="1" applyAlignment="1">
      <alignment horizontal="center" vertical="top" wrapText="1"/>
    </xf>
    <xf numFmtId="3" fontId="4" fillId="3" borderId="19" xfId="0" applyNumberFormat="1" applyFont="1" applyFill="1" applyBorder="1" applyAlignment="1">
      <alignment horizontal="center" vertical="top" wrapText="1"/>
    </xf>
    <xf numFmtId="3" fontId="4" fillId="3" borderId="69" xfId="0" applyNumberFormat="1" applyFont="1" applyFill="1" applyBorder="1" applyAlignment="1">
      <alignment horizontal="center" vertical="top" wrapText="1"/>
    </xf>
    <xf numFmtId="3" fontId="5" fillId="0" borderId="3" xfId="0" applyNumberFormat="1" applyFont="1" applyBorder="1" applyAlignment="1">
      <alignment horizontal="center" vertical="top" wrapText="1"/>
    </xf>
    <xf numFmtId="3" fontId="5" fillId="0" borderId="0" xfId="0" applyNumberFormat="1" applyFont="1" applyBorder="1" applyAlignment="1">
      <alignment horizontal="center" vertical="top" wrapText="1"/>
    </xf>
    <xf numFmtId="3" fontId="4" fillId="4" borderId="15" xfId="0" applyNumberFormat="1" applyFont="1" applyFill="1" applyBorder="1" applyAlignment="1">
      <alignment horizontal="center" vertical="top" wrapText="1"/>
    </xf>
    <xf numFmtId="164" fontId="1" fillId="0" borderId="0" xfId="0" applyNumberFormat="1" applyFont="1" applyBorder="1" applyAlignment="1">
      <alignment horizontal="left" vertical="top" wrapText="1"/>
    </xf>
    <xf numFmtId="49" fontId="2" fillId="3" borderId="0" xfId="0" applyNumberFormat="1" applyFont="1" applyFill="1" applyBorder="1" applyAlignment="1">
      <alignment horizontal="center" vertical="top" wrapText="1"/>
    </xf>
    <xf numFmtId="3" fontId="2" fillId="0" borderId="18" xfId="0" applyNumberFormat="1" applyFont="1" applyBorder="1" applyAlignment="1">
      <alignment vertical="top" wrapText="1"/>
    </xf>
    <xf numFmtId="3" fontId="2" fillId="0" borderId="32" xfId="0" applyNumberFormat="1" applyFont="1" applyBorder="1" applyAlignment="1">
      <alignment vertical="top" wrapText="1"/>
    </xf>
    <xf numFmtId="3" fontId="1" fillId="4" borderId="50" xfId="0" applyNumberFormat="1" applyFont="1" applyFill="1" applyBorder="1" applyAlignment="1">
      <alignment horizontal="center" vertical="top" wrapText="1"/>
    </xf>
    <xf numFmtId="3" fontId="2" fillId="0" borderId="3" xfId="0" applyNumberFormat="1" applyFont="1" applyBorder="1" applyAlignment="1">
      <alignment horizontal="center" vertical="top" wrapText="1"/>
    </xf>
    <xf numFmtId="3" fontId="1" fillId="4" borderId="69" xfId="0" applyNumberFormat="1" applyFont="1" applyFill="1" applyBorder="1" applyAlignment="1">
      <alignment horizontal="center" vertical="top" wrapText="1"/>
    </xf>
    <xf numFmtId="49" fontId="2" fillId="4" borderId="32" xfId="0" applyNumberFormat="1" applyFont="1" applyFill="1" applyBorder="1" applyAlignment="1">
      <alignment horizontal="center" vertical="top" wrapText="1"/>
    </xf>
    <xf numFmtId="49" fontId="2" fillId="8" borderId="23"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49" fontId="2" fillId="8" borderId="22" xfId="0" applyNumberFormat="1" applyFont="1" applyFill="1" applyBorder="1" applyAlignment="1">
      <alignment vertical="top" wrapText="1"/>
    </xf>
    <xf numFmtId="49" fontId="2" fillId="2" borderId="13" xfId="0" applyNumberFormat="1" applyFont="1" applyFill="1" applyBorder="1" applyAlignment="1">
      <alignment vertical="top" wrapText="1"/>
    </xf>
    <xf numFmtId="3" fontId="4" fillId="0" borderId="0" xfId="0" applyNumberFormat="1" applyFont="1" applyFill="1" applyBorder="1" applyAlignment="1">
      <alignment horizontal="center" vertical="top" wrapText="1"/>
    </xf>
    <xf numFmtId="3" fontId="1" fillId="0" borderId="61" xfId="0" applyNumberFormat="1" applyFont="1" applyBorder="1" applyAlignment="1">
      <alignment horizontal="center" vertical="top" wrapText="1"/>
    </xf>
    <xf numFmtId="3" fontId="1" fillId="4" borderId="24" xfId="0" applyNumberFormat="1" applyFont="1" applyFill="1" applyBorder="1" applyAlignment="1">
      <alignment horizontal="center" vertical="top" wrapText="1"/>
    </xf>
    <xf numFmtId="49" fontId="2" fillId="8" borderId="20" xfId="0" applyNumberFormat="1" applyFont="1" applyFill="1" applyBorder="1" applyAlignment="1">
      <alignment vertical="top" wrapText="1"/>
    </xf>
    <xf numFmtId="3" fontId="1" fillId="0" borderId="19" xfId="0" applyNumberFormat="1" applyFont="1" applyBorder="1" applyAlignment="1">
      <alignment horizontal="center" vertical="top" wrapText="1"/>
    </xf>
    <xf numFmtId="3" fontId="1" fillId="0" borderId="69" xfId="0" applyNumberFormat="1" applyFont="1" applyBorder="1" applyAlignment="1">
      <alignment horizontal="center" vertical="top" wrapText="1"/>
    </xf>
    <xf numFmtId="49" fontId="2" fillId="3" borderId="13" xfId="0" applyNumberFormat="1" applyFont="1" applyFill="1" applyBorder="1" applyAlignment="1">
      <alignment vertical="top" wrapText="1"/>
    </xf>
    <xf numFmtId="49" fontId="2" fillId="2" borderId="11" xfId="0" applyNumberFormat="1" applyFont="1" applyFill="1" applyBorder="1" applyAlignment="1">
      <alignment horizontal="left" vertical="top" wrapText="1"/>
    </xf>
    <xf numFmtId="3" fontId="1" fillId="3" borderId="16" xfId="0" applyNumberFormat="1" applyFont="1" applyFill="1" applyBorder="1" applyAlignment="1">
      <alignment horizontal="center" vertical="top" wrapText="1"/>
    </xf>
    <xf numFmtId="3" fontId="2" fillId="3" borderId="43" xfId="0" applyNumberFormat="1" applyFont="1" applyFill="1" applyBorder="1" applyAlignment="1">
      <alignment horizontal="center" vertical="top" wrapText="1"/>
    </xf>
    <xf numFmtId="49" fontId="2" fillId="3" borderId="19" xfId="0" applyNumberFormat="1" applyFont="1" applyFill="1" applyBorder="1" applyAlignment="1">
      <alignment vertical="top" wrapText="1"/>
    </xf>
    <xf numFmtId="3" fontId="10" fillId="4" borderId="17" xfId="0" applyNumberFormat="1" applyFont="1" applyFill="1" applyBorder="1" applyAlignment="1">
      <alignment horizontal="center" vertical="top" wrapText="1"/>
    </xf>
    <xf numFmtId="3" fontId="2" fillId="3" borderId="68" xfId="0" applyNumberFormat="1" applyFont="1" applyFill="1" applyBorder="1" applyAlignment="1">
      <alignment horizontal="center" vertical="top" wrapText="1"/>
    </xf>
    <xf numFmtId="0" fontId="1" fillId="0" borderId="0" xfId="0" applyFont="1" applyBorder="1" applyAlignment="1">
      <alignment vertical="top" wrapText="1"/>
    </xf>
    <xf numFmtId="0" fontId="4" fillId="0" borderId="0" xfId="0" applyFont="1" applyBorder="1" applyAlignment="1">
      <alignment vertical="top" wrapText="1"/>
    </xf>
    <xf numFmtId="165" fontId="1" fillId="0" borderId="0" xfId="0" applyNumberFormat="1" applyFont="1" applyBorder="1" applyAlignment="1">
      <alignment horizontal="center" vertical="top" wrapText="1"/>
    </xf>
    <xf numFmtId="3" fontId="1" fillId="0" borderId="26" xfId="0" applyNumberFormat="1" applyFont="1" applyFill="1" applyBorder="1" applyAlignment="1">
      <alignment horizontal="center" vertical="top" wrapText="1"/>
    </xf>
    <xf numFmtId="49" fontId="2" fillId="2" borderId="67" xfId="0" applyNumberFormat="1" applyFont="1" applyFill="1" applyBorder="1" applyAlignment="1">
      <alignment horizontal="center" vertical="top" wrapText="1"/>
    </xf>
    <xf numFmtId="49" fontId="2" fillId="8" borderId="1" xfId="0" applyNumberFormat="1" applyFont="1" applyFill="1" applyBorder="1" applyAlignment="1">
      <alignment horizontal="center" vertical="top" wrapText="1"/>
    </xf>
    <xf numFmtId="3" fontId="3" fillId="0" borderId="0" xfId="0" applyNumberFormat="1" applyFont="1" applyBorder="1" applyAlignment="1">
      <alignment vertical="top" wrapText="1"/>
    </xf>
    <xf numFmtId="49" fontId="2" fillId="7" borderId="1" xfId="0" applyNumberFormat="1" applyFont="1" applyFill="1" applyBorder="1" applyAlignment="1">
      <alignment horizontal="center" vertical="top" wrapText="1"/>
    </xf>
    <xf numFmtId="3" fontId="2" fillId="7" borderId="56" xfId="0" applyNumberFormat="1" applyFont="1" applyFill="1" applyBorder="1" applyAlignment="1">
      <alignment horizontal="center" vertical="top" wrapText="1"/>
    </xf>
    <xf numFmtId="3" fontId="2" fillId="7" borderId="43" xfId="0" applyNumberFormat="1" applyFont="1" applyFill="1" applyBorder="1" applyAlignment="1">
      <alignment horizontal="center" vertical="top" wrapText="1"/>
    </xf>
    <xf numFmtId="3" fontId="2" fillId="7" borderId="69" xfId="0" applyNumberFormat="1" applyFont="1" applyFill="1" applyBorder="1" applyAlignment="1">
      <alignment horizontal="center" vertical="top" wrapText="1"/>
    </xf>
    <xf numFmtId="3" fontId="1" fillId="0" borderId="64" xfId="0" applyNumberFormat="1" applyFont="1" applyBorder="1" applyAlignment="1">
      <alignment horizontal="center" vertical="top" wrapText="1"/>
    </xf>
    <xf numFmtId="0" fontId="1" fillId="4" borderId="33" xfId="0" applyFont="1" applyFill="1" applyBorder="1" applyAlignment="1">
      <alignment horizontal="center" vertical="top" wrapText="1"/>
    </xf>
    <xf numFmtId="3" fontId="1" fillId="3" borderId="10"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3" fontId="1" fillId="4" borderId="36" xfId="0" applyNumberFormat="1" applyFont="1" applyFill="1" applyBorder="1" applyAlignment="1">
      <alignment vertical="top" wrapText="1"/>
    </xf>
    <xf numFmtId="3" fontId="1" fillId="0" borderId="68" xfId="0" applyNumberFormat="1" applyFont="1" applyBorder="1" applyAlignment="1">
      <alignment horizontal="center" vertical="top" wrapText="1"/>
    </xf>
    <xf numFmtId="164" fontId="1" fillId="4" borderId="41" xfId="0" applyNumberFormat="1" applyFont="1" applyFill="1" applyBorder="1" applyAlignment="1">
      <alignment horizontal="center" vertical="top" wrapText="1"/>
    </xf>
    <xf numFmtId="164" fontId="1" fillId="4" borderId="42" xfId="0" applyNumberFormat="1" applyFont="1" applyFill="1" applyBorder="1" applyAlignment="1">
      <alignment horizontal="center" vertical="top" wrapText="1"/>
    </xf>
    <xf numFmtId="164" fontId="1" fillId="4" borderId="15" xfId="0" applyNumberFormat="1" applyFont="1" applyFill="1" applyBorder="1" applyAlignment="1">
      <alignment horizontal="center" vertical="top" wrapText="1"/>
    </xf>
    <xf numFmtId="3" fontId="1" fillId="4" borderId="40" xfId="0" applyNumberFormat="1" applyFont="1" applyFill="1" applyBorder="1" applyAlignment="1">
      <alignment vertical="top" wrapText="1"/>
    </xf>
    <xf numFmtId="164" fontId="1" fillId="4" borderId="37" xfId="0" applyNumberFormat="1" applyFont="1" applyFill="1" applyBorder="1" applyAlignment="1">
      <alignment horizontal="center" vertical="top" wrapText="1"/>
    </xf>
    <xf numFmtId="164" fontId="1" fillId="4" borderId="59" xfId="0" applyNumberFormat="1" applyFont="1" applyFill="1" applyBorder="1" applyAlignment="1">
      <alignment horizontal="center" vertical="top" wrapText="1"/>
    </xf>
    <xf numFmtId="164" fontId="1" fillId="4" borderId="28" xfId="0" applyNumberFormat="1" applyFont="1" applyFill="1" applyBorder="1" applyAlignment="1">
      <alignment horizontal="center" vertical="top" wrapText="1"/>
    </xf>
    <xf numFmtId="3" fontId="1" fillId="4" borderId="37" xfId="0" applyNumberFormat="1" applyFont="1" applyFill="1" applyBorder="1" applyAlignment="1">
      <alignment vertical="top" wrapText="1"/>
    </xf>
    <xf numFmtId="3" fontId="1" fillId="4" borderId="41" xfId="0" applyNumberFormat="1" applyFont="1" applyFill="1" applyBorder="1" applyAlignment="1">
      <alignment vertical="top" wrapText="1"/>
    </xf>
    <xf numFmtId="3" fontId="1" fillId="0" borderId="8" xfId="0" applyNumberFormat="1" applyFont="1" applyFill="1" applyBorder="1" applyAlignment="1">
      <alignment vertical="top" wrapText="1"/>
    </xf>
    <xf numFmtId="3" fontId="1" fillId="0" borderId="17" xfId="0" applyNumberFormat="1" applyFont="1" applyBorder="1" applyAlignment="1">
      <alignment horizontal="center" vertical="top"/>
    </xf>
    <xf numFmtId="3" fontId="4" fillId="4" borderId="68" xfId="0" applyNumberFormat="1" applyFont="1" applyFill="1" applyBorder="1" applyAlignment="1">
      <alignment horizontal="center" vertical="top" wrapText="1"/>
    </xf>
    <xf numFmtId="3" fontId="1" fillId="3" borderId="57" xfId="0" applyNumberFormat="1" applyFont="1" applyFill="1" applyBorder="1" applyAlignment="1">
      <alignment horizontal="center" vertical="top" wrapText="1"/>
    </xf>
    <xf numFmtId="167" fontId="4" fillId="9" borderId="7" xfId="2" applyNumberFormat="1" applyFont="1" applyFill="1" applyBorder="1" applyAlignment="1">
      <alignment horizontal="center" vertical="top" wrapText="1"/>
    </xf>
    <xf numFmtId="3" fontId="4" fillId="0" borderId="43" xfId="0" applyNumberFormat="1" applyFont="1" applyBorder="1" applyAlignment="1">
      <alignment horizontal="right" vertical="top" wrapText="1"/>
    </xf>
    <xf numFmtId="49" fontId="4" fillId="4" borderId="86" xfId="2" applyNumberFormat="1" applyFont="1" applyFill="1" applyBorder="1" applyAlignment="1">
      <alignment horizontal="center" vertical="top"/>
    </xf>
    <xf numFmtId="164" fontId="4" fillId="4" borderId="0" xfId="2" applyNumberFormat="1" applyFont="1" applyFill="1" applyAlignment="1">
      <alignment horizontal="center" vertical="top"/>
    </xf>
    <xf numFmtId="164" fontId="4" fillId="12" borderId="87" xfId="2" applyNumberFormat="1" applyFont="1" applyFill="1" applyBorder="1" applyAlignment="1">
      <alignment horizontal="center" vertical="top"/>
    </xf>
    <xf numFmtId="49" fontId="4" fillId="4" borderId="98" xfId="2" applyNumberFormat="1" applyFont="1" applyFill="1" applyBorder="1" applyAlignment="1">
      <alignment horizontal="center" vertical="top"/>
    </xf>
    <xf numFmtId="164" fontId="4" fillId="4" borderId="34" xfId="2" applyNumberFormat="1" applyFont="1" applyFill="1" applyBorder="1" applyAlignment="1">
      <alignment horizontal="center" vertical="top"/>
    </xf>
    <xf numFmtId="164" fontId="4" fillId="12" borderId="99" xfId="2" applyNumberFormat="1" applyFont="1" applyFill="1" applyBorder="1" applyAlignment="1">
      <alignment horizontal="center" vertical="top"/>
    </xf>
    <xf numFmtId="164" fontId="4" fillId="12" borderId="100" xfId="2" applyNumberFormat="1" applyFont="1" applyFill="1" applyBorder="1" applyAlignment="1">
      <alignment horizontal="center" vertical="top"/>
    </xf>
    <xf numFmtId="49" fontId="4" fillId="4" borderId="89" xfId="2" applyNumberFormat="1" applyFont="1" applyFill="1" applyBorder="1" applyAlignment="1">
      <alignment horizontal="center" vertical="top"/>
    </xf>
    <xf numFmtId="164" fontId="4" fillId="12" borderId="90" xfId="2" applyNumberFormat="1" applyFont="1" applyFill="1" applyBorder="1" applyAlignment="1">
      <alignment horizontal="center" vertical="top"/>
    </xf>
    <xf numFmtId="164" fontId="4" fillId="11" borderId="97" xfId="2" applyNumberFormat="1" applyFont="1" applyFill="1" applyBorder="1" applyAlignment="1">
      <alignment horizontal="center" vertical="top"/>
    </xf>
    <xf numFmtId="164" fontId="4" fillId="11" borderId="36" xfId="2" applyNumberFormat="1" applyFont="1" applyFill="1" applyBorder="1" applyAlignment="1">
      <alignment horizontal="center" vertical="top"/>
    </xf>
    <xf numFmtId="49" fontId="4" fillId="4" borderId="101" xfId="2" applyNumberFormat="1" applyFont="1" applyFill="1" applyBorder="1" applyAlignment="1">
      <alignment horizontal="center" vertical="top"/>
    </xf>
    <xf numFmtId="164" fontId="4" fillId="4" borderId="27" xfId="2" applyNumberFormat="1" applyFont="1" applyFill="1" applyBorder="1" applyAlignment="1">
      <alignment horizontal="center" vertical="top"/>
    </xf>
    <xf numFmtId="164" fontId="4" fillId="12" borderId="102" xfId="2" applyNumberFormat="1" applyFont="1" applyFill="1" applyBorder="1" applyAlignment="1">
      <alignment horizontal="center" vertical="top"/>
    </xf>
    <xf numFmtId="164" fontId="4" fillId="11" borderId="40" xfId="2" applyNumberFormat="1" applyFont="1" applyFill="1" applyBorder="1" applyAlignment="1">
      <alignment horizontal="center" vertical="top"/>
    </xf>
    <xf numFmtId="167" fontId="4" fillId="9" borderId="15" xfId="2" applyNumberFormat="1" applyFont="1" applyFill="1" applyBorder="1" applyAlignment="1">
      <alignment horizontal="center" vertical="top" wrapText="1"/>
    </xf>
    <xf numFmtId="164" fontId="4" fillId="12" borderId="104" xfId="2" applyNumberFormat="1" applyFont="1" applyFill="1" applyBorder="1" applyAlignment="1">
      <alignment horizontal="center" vertical="top"/>
    </xf>
    <xf numFmtId="164" fontId="4" fillId="12" borderId="112" xfId="2" applyNumberFormat="1" applyFont="1" applyFill="1" applyBorder="1" applyAlignment="1">
      <alignment horizontal="center" vertical="top"/>
    </xf>
    <xf numFmtId="164" fontId="4" fillId="11" borderId="37" xfId="2" applyNumberFormat="1" applyFont="1" applyFill="1" applyBorder="1" applyAlignment="1">
      <alignment horizontal="center" vertical="top"/>
    </xf>
    <xf numFmtId="164" fontId="4" fillId="12" borderId="103" xfId="2" applyNumberFormat="1" applyFont="1" applyFill="1" applyBorder="1" applyAlignment="1">
      <alignment horizontal="center" vertical="top"/>
    </xf>
    <xf numFmtId="49" fontId="4" fillId="4" borderId="114" xfId="2" applyNumberFormat="1" applyFont="1" applyFill="1" applyBorder="1" applyAlignment="1">
      <alignment horizontal="center" vertical="top"/>
    </xf>
    <xf numFmtId="164" fontId="4" fillId="4" borderId="3" xfId="2" applyNumberFormat="1" applyFont="1" applyFill="1" applyBorder="1" applyAlignment="1">
      <alignment horizontal="center" vertical="top"/>
    </xf>
    <xf numFmtId="164" fontId="4" fillId="11" borderId="22" xfId="2" applyNumberFormat="1" applyFont="1" applyFill="1" applyBorder="1" applyAlignment="1">
      <alignment horizontal="center" vertical="top"/>
    </xf>
    <xf numFmtId="164" fontId="4" fillId="12" borderId="115" xfId="2" applyNumberFormat="1" applyFont="1" applyFill="1" applyBorder="1" applyAlignment="1">
      <alignment horizontal="center" vertical="top"/>
    </xf>
    <xf numFmtId="167" fontId="4" fillId="9" borderId="24" xfId="2" applyNumberFormat="1" applyFont="1" applyFill="1" applyBorder="1" applyAlignment="1">
      <alignment horizontal="center" vertical="top" wrapText="1"/>
    </xf>
    <xf numFmtId="49" fontId="4" fillId="4" borderId="113" xfId="2" applyNumberFormat="1" applyFont="1" applyFill="1" applyBorder="1" applyAlignment="1">
      <alignment horizontal="center" vertical="top"/>
    </xf>
    <xf numFmtId="164" fontId="4" fillId="4" borderId="0" xfId="2" applyNumberFormat="1" applyFont="1" applyFill="1" applyBorder="1" applyAlignment="1">
      <alignment horizontal="center" vertical="top"/>
    </xf>
    <xf numFmtId="49" fontId="4" fillId="4" borderId="118" xfId="2" applyNumberFormat="1" applyFont="1" applyFill="1" applyBorder="1" applyAlignment="1">
      <alignment horizontal="center" vertical="top"/>
    </xf>
    <xf numFmtId="164" fontId="4" fillId="4" borderId="45" xfId="2" applyNumberFormat="1" applyFont="1" applyFill="1" applyBorder="1" applyAlignment="1">
      <alignment horizontal="center" vertical="top"/>
    </xf>
    <xf numFmtId="164" fontId="4" fillId="11" borderId="48" xfId="2" applyNumberFormat="1" applyFont="1" applyFill="1" applyBorder="1" applyAlignment="1">
      <alignment horizontal="center" vertical="top"/>
    </xf>
    <xf numFmtId="164" fontId="4" fillId="12" borderId="119" xfId="2" applyNumberFormat="1" applyFont="1" applyFill="1" applyBorder="1" applyAlignment="1">
      <alignment horizontal="center" vertical="top"/>
    </xf>
    <xf numFmtId="164" fontId="4" fillId="4" borderId="91" xfId="2" applyNumberFormat="1" applyFont="1" applyFill="1" applyBorder="1" applyAlignment="1">
      <alignment horizontal="center" vertical="top"/>
    </xf>
    <xf numFmtId="164" fontId="4" fillId="4" borderId="104" xfId="2" applyNumberFormat="1" applyFont="1" applyFill="1" applyBorder="1" applyAlignment="1">
      <alignment horizontal="center" vertical="top"/>
    </xf>
    <xf numFmtId="164" fontId="5" fillId="11" borderId="40" xfId="2" applyNumberFormat="1" applyFont="1" applyFill="1" applyBorder="1" applyAlignment="1">
      <alignment horizontal="center" vertical="top"/>
    </xf>
    <xf numFmtId="3" fontId="1" fillId="0" borderId="8" xfId="0" applyNumberFormat="1" applyFont="1" applyBorder="1" applyAlignment="1">
      <alignment horizontal="center" vertical="top" wrapText="1"/>
    </xf>
    <xf numFmtId="164" fontId="4" fillId="4" borderId="0" xfId="2" applyNumberFormat="1" applyFont="1" applyFill="1" applyBorder="1" applyAlignment="1">
      <alignment horizontal="left" vertical="top"/>
    </xf>
    <xf numFmtId="3" fontId="5" fillId="0" borderId="31" xfId="0" applyNumberFormat="1" applyFont="1" applyFill="1" applyBorder="1" applyAlignment="1">
      <alignment horizontal="center" vertical="top" wrapText="1"/>
    </xf>
    <xf numFmtId="164" fontId="4" fillId="0" borderId="0" xfId="2" applyNumberFormat="1" applyFont="1" applyFill="1" applyAlignment="1">
      <alignment horizontal="center" vertical="top"/>
    </xf>
    <xf numFmtId="49" fontId="4" fillId="0" borderId="89" xfId="2" applyNumberFormat="1" applyFont="1" applyFill="1" applyBorder="1" applyAlignment="1">
      <alignment horizontal="center" vertical="top"/>
    </xf>
    <xf numFmtId="164" fontId="4" fillId="14" borderId="0" xfId="2" applyNumberFormat="1" applyFont="1" applyFill="1" applyAlignment="1">
      <alignment horizontal="center" vertical="top"/>
    </xf>
    <xf numFmtId="164" fontId="4" fillId="14" borderId="124" xfId="2" applyNumberFormat="1" applyFont="1" applyFill="1" applyBorder="1" applyAlignment="1">
      <alignment horizontal="center" vertical="top"/>
    </xf>
    <xf numFmtId="49" fontId="4" fillId="0" borderId="98" xfId="2" applyNumberFormat="1" applyFont="1" applyFill="1" applyBorder="1" applyAlignment="1">
      <alignment horizontal="center" vertical="top"/>
    </xf>
    <xf numFmtId="164" fontId="4" fillId="0" borderId="34" xfId="2" applyNumberFormat="1" applyFont="1" applyFill="1" applyBorder="1" applyAlignment="1">
      <alignment horizontal="center" vertical="top"/>
    </xf>
    <xf numFmtId="164" fontId="4" fillId="0" borderId="34" xfId="2" applyNumberFormat="1" applyFont="1" applyFill="1" applyBorder="1" applyAlignment="1">
      <alignment horizontal="center" vertical="top" wrapText="1"/>
    </xf>
    <xf numFmtId="3" fontId="1" fillId="0" borderId="32" xfId="0" applyNumberFormat="1" applyFont="1" applyBorder="1" applyAlignment="1">
      <alignment horizontal="center" vertical="top" wrapText="1"/>
    </xf>
    <xf numFmtId="164" fontId="4" fillId="0" borderId="0" xfId="2" applyNumberFormat="1" applyFont="1" applyFill="1" applyBorder="1" applyAlignment="1">
      <alignment horizontal="center" vertical="top"/>
    </xf>
    <xf numFmtId="3" fontId="1" fillId="4" borderId="3" xfId="0" applyNumberFormat="1" applyFont="1" applyFill="1" applyBorder="1" applyAlignment="1">
      <alignment horizontal="left" vertical="top" wrapText="1"/>
    </xf>
    <xf numFmtId="3" fontId="1" fillId="4" borderId="0" xfId="0" applyNumberFormat="1" applyFont="1" applyFill="1" applyBorder="1" applyAlignment="1">
      <alignment horizontal="left" vertical="top" wrapText="1"/>
    </xf>
    <xf numFmtId="3" fontId="1" fillId="0" borderId="37" xfId="0" applyNumberFormat="1" applyFont="1" applyFill="1" applyBorder="1" applyAlignment="1">
      <alignment horizontal="center" vertical="top" wrapText="1"/>
    </xf>
    <xf numFmtId="0" fontId="4" fillId="4" borderId="65" xfId="0" applyFont="1" applyFill="1" applyBorder="1" applyAlignment="1">
      <alignment vertical="top" wrapText="1"/>
    </xf>
    <xf numFmtId="0" fontId="4" fillId="4" borderId="36" xfId="0" applyFont="1" applyFill="1" applyBorder="1" applyAlignment="1">
      <alignment horizontal="center" vertical="top" wrapText="1"/>
    </xf>
    <xf numFmtId="0" fontId="4" fillId="4" borderId="66" xfId="0" applyFont="1" applyFill="1" applyBorder="1" applyAlignment="1">
      <alignment horizontal="center" vertical="top" wrapText="1"/>
    </xf>
    <xf numFmtId="0" fontId="4" fillId="4" borderId="26" xfId="0" applyFont="1" applyFill="1" applyBorder="1" applyAlignment="1">
      <alignment horizontal="center" vertical="top" wrapText="1"/>
    </xf>
    <xf numFmtId="0" fontId="4" fillId="4" borderId="51" xfId="0" applyFont="1" applyFill="1" applyBorder="1" applyAlignment="1">
      <alignment horizontal="center" vertical="top" wrapText="1"/>
    </xf>
    <xf numFmtId="164" fontId="4" fillId="4" borderId="39" xfId="0" applyNumberFormat="1" applyFont="1" applyFill="1" applyBorder="1" applyAlignment="1">
      <alignment horizontal="center" vertical="top" wrapText="1"/>
    </xf>
    <xf numFmtId="164" fontId="4" fillId="4" borderId="39" xfId="0" applyNumberFormat="1" applyFont="1" applyFill="1" applyBorder="1" applyAlignment="1">
      <alignment horizontal="center" vertical="top"/>
    </xf>
    <xf numFmtId="164" fontId="4" fillId="15" borderId="0" xfId="2" applyNumberFormat="1" applyFont="1" applyFill="1" applyBorder="1" applyAlignment="1">
      <alignment horizontal="center" vertical="top"/>
    </xf>
    <xf numFmtId="164" fontId="4" fillId="4" borderId="71" xfId="0" applyNumberFormat="1" applyFont="1" applyFill="1" applyBorder="1" applyAlignment="1">
      <alignment horizontal="center" vertical="top" wrapText="1"/>
    </xf>
    <xf numFmtId="164" fontId="4" fillId="4" borderId="35" xfId="0" applyNumberFormat="1" applyFont="1" applyFill="1" applyBorder="1" applyAlignment="1">
      <alignment horizontal="center" vertical="top" wrapText="1"/>
    </xf>
    <xf numFmtId="3" fontId="1" fillId="4" borderId="66" xfId="0" applyNumberFormat="1" applyFont="1" applyFill="1" applyBorder="1" applyAlignment="1">
      <alignment horizontal="center" vertical="top"/>
    </xf>
    <xf numFmtId="3" fontId="1" fillId="4" borderId="26" xfId="0" applyNumberFormat="1" applyFont="1" applyFill="1" applyBorder="1" applyAlignment="1">
      <alignment horizontal="center" vertical="top"/>
    </xf>
    <xf numFmtId="3" fontId="1" fillId="4" borderId="7" xfId="0" applyNumberFormat="1" applyFont="1" applyFill="1" applyBorder="1" applyAlignment="1">
      <alignment horizontal="center" vertical="top"/>
    </xf>
    <xf numFmtId="3" fontId="1" fillId="4" borderId="42" xfId="0" applyNumberFormat="1" applyFont="1" applyFill="1" applyBorder="1" applyAlignment="1">
      <alignment horizontal="center" vertical="top"/>
    </xf>
    <xf numFmtId="3" fontId="1" fillId="4" borderId="15" xfId="0" applyNumberFormat="1" applyFont="1" applyFill="1" applyBorder="1" applyAlignment="1">
      <alignment horizontal="center" vertical="top"/>
    </xf>
    <xf numFmtId="3" fontId="1" fillId="4" borderId="28" xfId="0" applyNumberFormat="1" applyFont="1" applyFill="1" applyBorder="1" applyAlignment="1">
      <alignment horizontal="center" vertical="top"/>
    </xf>
    <xf numFmtId="3" fontId="1" fillId="3" borderId="18" xfId="0" applyNumberFormat="1" applyFont="1" applyFill="1" applyBorder="1" applyAlignment="1">
      <alignment horizontal="left" vertical="top" wrapText="1"/>
    </xf>
    <xf numFmtId="164" fontId="1" fillId="4" borderId="52" xfId="0" applyNumberFormat="1" applyFont="1" applyFill="1" applyBorder="1" applyAlignment="1">
      <alignment horizontal="center" vertical="top"/>
    </xf>
    <xf numFmtId="164" fontId="1" fillId="0" borderId="31" xfId="0" applyNumberFormat="1" applyFont="1" applyFill="1" applyBorder="1" applyAlignment="1">
      <alignment horizontal="center" vertical="top"/>
    </xf>
    <xf numFmtId="3" fontId="1" fillId="3" borderId="64" xfId="0" applyNumberFormat="1" applyFont="1" applyFill="1" applyBorder="1" applyAlignment="1">
      <alignment horizontal="center" vertical="top" wrapText="1"/>
    </xf>
    <xf numFmtId="3" fontId="1" fillId="3" borderId="32" xfId="0" applyNumberFormat="1" applyFont="1" applyFill="1" applyBorder="1" applyAlignment="1">
      <alignment horizontal="center" vertical="top" wrapText="1"/>
    </xf>
    <xf numFmtId="3" fontId="4" fillId="4" borderId="7" xfId="0" applyNumberFormat="1" applyFont="1" applyFill="1" applyBorder="1" applyAlignment="1">
      <alignment horizontal="center" vertical="top"/>
    </xf>
    <xf numFmtId="0" fontId="1" fillId="0" borderId="62" xfId="0" applyFont="1" applyFill="1" applyBorder="1" applyAlignment="1">
      <alignment horizontal="center" vertical="top" wrapText="1"/>
    </xf>
    <xf numFmtId="3" fontId="2" fillId="2" borderId="43" xfId="0" applyNumberFormat="1" applyFont="1" applyFill="1" applyBorder="1" applyAlignment="1">
      <alignment horizontal="center" vertical="top" wrapText="1"/>
    </xf>
    <xf numFmtId="3" fontId="2" fillId="2" borderId="69" xfId="0" applyNumberFormat="1" applyFont="1" applyFill="1" applyBorder="1" applyAlignment="1">
      <alignment horizontal="center" vertical="top" wrapText="1"/>
    </xf>
    <xf numFmtId="0" fontId="1" fillId="0" borderId="139" xfId="0" applyFont="1" applyFill="1" applyBorder="1" applyAlignment="1">
      <alignment vertical="top" wrapText="1"/>
    </xf>
    <xf numFmtId="0" fontId="1" fillId="0" borderId="65" xfId="0" applyFont="1" applyFill="1" applyBorder="1" applyAlignment="1">
      <alignment horizontal="center" vertical="top" wrapText="1"/>
    </xf>
    <xf numFmtId="164" fontId="1" fillId="0" borderId="136" xfId="0" applyNumberFormat="1" applyFont="1" applyFill="1" applyBorder="1" applyAlignment="1">
      <alignment vertical="top"/>
    </xf>
    <xf numFmtId="164" fontId="1" fillId="0" borderId="31" xfId="0" applyNumberFormat="1" applyFont="1" applyFill="1" applyBorder="1" applyAlignment="1">
      <alignment vertical="top"/>
    </xf>
    <xf numFmtId="164" fontId="1" fillId="0" borderId="52" xfId="0" applyNumberFormat="1" applyFont="1" applyBorder="1" applyAlignment="1">
      <alignment horizontal="center" vertical="top"/>
    </xf>
    <xf numFmtId="164" fontId="1" fillId="0" borderId="31" xfId="0" applyNumberFormat="1" applyFont="1" applyBorder="1" applyAlignment="1">
      <alignment horizontal="center" vertical="top"/>
    </xf>
    <xf numFmtId="164" fontId="1" fillId="0" borderId="60" xfId="0" applyNumberFormat="1" applyFont="1" applyBorder="1" applyAlignment="1">
      <alignment horizontal="center" vertical="top"/>
    </xf>
    <xf numFmtId="164" fontId="1" fillId="3" borderId="39" xfId="0" applyNumberFormat="1" applyFont="1" applyFill="1" applyBorder="1" applyAlignment="1">
      <alignment horizontal="center" vertical="top"/>
    </xf>
    <xf numFmtId="3" fontId="1" fillId="4" borderId="29" xfId="0" applyNumberFormat="1" applyFont="1" applyFill="1" applyBorder="1" applyAlignment="1">
      <alignment horizontal="center" vertical="top"/>
    </xf>
    <xf numFmtId="3" fontId="1" fillId="4" borderId="4" xfId="0" applyNumberFormat="1" applyFont="1" applyFill="1" applyBorder="1" applyAlignment="1">
      <alignment horizontal="center" vertical="top"/>
    </xf>
    <xf numFmtId="164" fontId="1" fillId="4" borderId="32" xfId="0" applyNumberFormat="1" applyFont="1" applyFill="1" applyBorder="1" applyAlignment="1">
      <alignment horizontal="center" vertical="top" wrapText="1"/>
    </xf>
    <xf numFmtId="164" fontId="1" fillId="4" borderId="51" xfId="0" applyNumberFormat="1" applyFont="1" applyFill="1" applyBorder="1" applyAlignment="1">
      <alignment horizontal="center" vertical="top" wrapText="1"/>
    </xf>
    <xf numFmtId="164" fontId="1" fillId="4" borderId="65" xfId="0" applyNumberFormat="1" applyFont="1" applyFill="1" applyBorder="1" applyAlignment="1">
      <alignment horizontal="center" vertical="top" wrapText="1"/>
    </xf>
    <xf numFmtId="164" fontId="1" fillId="4" borderId="66" xfId="0" applyNumberFormat="1" applyFont="1" applyFill="1" applyBorder="1" applyAlignment="1">
      <alignment horizontal="center" vertical="top" wrapText="1"/>
    </xf>
    <xf numFmtId="164" fontId="1" fillId="4" borderId="52" xfId="0" applyNumberFormat="1" applyFont="1" applyFill="1" applyBorder="1" applyAlignment="1">
      <alignment horizontal="center" vertical="top" wrapText="1"/>
    </xf>
    <xf numFmtId="3" fontId="1" fillId="0" borderId="52" xfId="0" applyNumberFormat="1" applyFont="1" applyBorder="1" applyAlignment="1">
      <alignment horizontal="center" vertical="top" wrapText="1"/>
    </xf>
    <xf numFmtId="164" fontId="1" fillId="4" borderId="26" xfId="0" applyNumberFormat="1" applyFont="1" applyFill="1" applyBorder="1" applyAlignment="1">
      <alignment horizontal="center" vertical="top" wrapText="1"/>
    </xf>
    <xf numFmtId="3" fontId="5" fillId="5" borderId="79" xfId="0" applyNumberFormat="1" applyFont="1" applyFill="1" applyBorder="1" applyAlignment="1">
      <alignment horizontal="center" vertical="top" wrapText="1"/>
    </xf>
    <xf numFmtId="164" fontId="1" fillId="4" borderId="140" xfId="0" applyNumberFormat="1" applyFont="1" applyFill="1" applyBorder="1" applyAlignment="1">
      <alignment horizontal="center" vertical="top"/>
    </xf>
    <xf numFmtId="164" fontId="1" fillId="4" borderId="62" xfId="0" applyNumberFormat="1" applyFont="1" applyFill="1" applyBorder="1" applyAlignment="1">
      <alignment vertical="top"/>
    </xf>
    <xf numFmtId="164" fontId="1" fillId="4" borderId="135" xfId="0" applyNumberFormat="1" applyFont="1" applyFill="1" applyBorder="1" applyAlignment="1">
      <alignment horizontal="center" vertical="top"/>
    </xf>
    <xf numFmtId="164" fontId="1" fillId="4" borderId="42" xfId="0" applyNumberFormat="1" applyFont="1" applyFill="1" applyBorder="1" applyAlignment="1">
      <alignment vertical="top"/>
    </xf>
    <xf numFmtId="164" fontId="1" fillId="4" borderId="18" xfId="0" applyNumberFormat="1" applyFont="1" applyFill="1" applyBorder="1" applyAlignment="1">
      <alignment vertical="top"/>
    </xf>
    <xf numFmtId="49" fontId="4" fillId="15" borderId="99" xfId="2" applyNumberFormat="1" applyFont="1" applyFill="1" applyBorder="1" applyAlignment="1">
      <alignment horizontal="center" vertical="top"/>
    </xf>
    <xf numFmtId="164" fontId="1" fillId="4" borderId="0" xfId="0" applyNumberFormat="1" applyFont="1" applyFill="1" applyBorder="1" applyAlignment="1">
      <alignment vertical="top" wrapText="1"/>
    </xf>
    <xf numFmtId="164" fontId="4" fillId="15" borderId="34" xfId="2" applyNumberFormat="1" applyFont="1" applyFill="1" applyBorder="1" applyAlignment="1">
      <alignment horizontal="center" vertical="top"/>
    </xf>
    <xf numFmtId="164" fontId="4" fillId="4" borderId="51" xfId="0" applyNumberFormat="1" applyFont="1" applyFill="1" applyBorder="1" applyAlignment="1">
      <alignment horizontal="center" vertical="top"/>
    </xf>
    <xf numFmtId="16" fontId="1" fillId="4" borderId="0" xfId="0" applyNumberFormat="1" applyFont="1" applyFill="1" applyBorder="1" applyAlignment="1">
      <alignment horizontal="center" vertical="top" wrapText="1"/>
    </xf>
    <xf numFmtId="3" fontId="2" fillId="0" borderId="39" xfId="0" applyNumberFormat="1" applyFont="1" applyBorder="1" applyAlignment="1">
      <alignment horizontal="center" vertical="top" wrapText="1"/>
    </xf>
    <xf numFmtId="3" fontId="2" fillId="0" borderId="60" xfId="0" applyNumberFormat="1" applyFont="1" applyBorder="1" applyAlignment="1">
      <alignment horizontal="center" vertical="top" wrapText="1"/>
    </xf>
    <xf numFmtId="3" fontId="5" fillId="0" borderId="31" xfId="0" applyNumberFormat="1" applyFont="1" applyBorder="1" applyAlignment="1">
      <alignment horizontal="center" vertical="top" wrapText="1"/>
    </xf>
    <xf numFmtId="165" fontId="2" fillId="7" borderId="74" xfId="0" applyNumberFormat="1" applyFont="1" applyFill="1" applyBorder="1" applyAlignment="1">
      <alignment horizontal="center" vertical="top" wrapText="1"/>
    </xf>
    <xf numFmtId="165" fontId="4" fillId="0" borderId="24" xfId="0" applyNumberFormat="1" applyFont="1" applyBorder="1" applyAlignment="1">
      <alignment horizontal="center" vertical="center" wrapText="1"/>
    </xf>
    <xf numFmtId="165" fontId="2" fillId="7" borderId="73" xfId="0" applyNumberFormat="1" applyFont="1" applyFill="1" applyBorder="1" applyAlignment="1">
      <alignment horizontal="center" vertical="top" wrapText="1"/>
    </xf>
    <xf numFmtId="165" fontId="4" fillId="0" borderId="13" xfId="0" applyNumberFormat="1" applyFont="1" applyBorder="1" applyAlignment="1">
      <alignment horizontal="center" vertical="center" wrapText="1"/>
    </xf>
    <xf numFmtId="165" fontId="2" fillId="7" borderId="29" xfId="0" applyNumberFormat="1" applyFont="1" applyFill="1" applyBorder="1" applyAlignment="1">
      <alignment horizontal="center" vertical="top" wrapText="1"/>
    </xf>
    <xf numFmtId="49" fontId="4" fillId="0" borderId="0" xfId="0" applyNumberFormat="1" applyFont="1" applyAlignment="1">
      <alignment vertical="top" wrapText="1"/>
    </xf>
    <xf numFmtId="49" fontId="4" fillId="3" borderId="64" xfId="0" applyNumberFormat="1" applyFont="1" applyFill="1" applyBorder="1" applyAlignment="1">
      <alignment horizontal="center" vertical="top" wrapText="1"/>
    </xf>
    <xf numFmtId="49" fontId="4" fillId="3" borderId="32" xfId="0" applyNumberFormat="1" applyFont="1" applyFill="1" applyBorder="1" applyAlignment="1">
      <alignment horizontal="center" vertical="top" wrapText="1"/>
    </xf>
    <xf numFmtId="49" fontId="4" fillId="3" borderId="18" xfId="0" applyNumberFormat="1" applyFont="1" applyFill="1" applyBorder="1" applyAlignment="1">
      <alignment vertical="top" wrapText="1"/>
    </xf>
    <xf numFmtId="49" fontId="4" fillId="3" borderId="68" xfId="0" applyNumberFormat="1" applyFont="1" applyFill="1" applyBorder="1" applyAlignment="1">
      <alignment vertical="top" wrapText="1"/>
    </xf>
    <xf numFmtId="49" fontId="4" fillId="3" borderId="68" xfId="0" applyNumberFormat="1" applyFont="1" applyFill="1" applyBorder="1" applyAlignment="1">
      <alignment horizontal="center" vertical="top" wrapText="1"/>
    </xf>
    <xf numFmtId="3" fontId="4" fillId="4" borderId="13" xfId="0" quotePrefix="1" applyNumberFormat="1" applyFont="1" applyFill="1" applyBorder="1" applyAlignment="1">
      <alignment horizontal="center" vertical="top" wrapText="1"/>
    </xf>
    <xf numFmtId="3" fontId="4" fillId="4" borderId="19" xfId="0" quotePrefix="1" applyNumberFormat="1" applyFont="1" applyFill="1" applyBorder="1" applyAlignment="1">
      <alignment horizontal="center" vertical="top" wrapText="1"/>
    </xf>
    <xf numFmtId="49" fontId="4" fillId="3" borderId="13" xfId="0" applyNumberFormat="1" applyFont="1" applyFill="1" applyBorder="1" applyAlignment="1">
      <alignment horizontal="center" vertical="top" wrapText="1"/>
    </xf>
    <xf numFmtId="49" fontId="4" fillId="3" borderId="18" xfId="0" applyNumberFormat="1" applyFont="1" applyFill="1" applyBorder="1" applyAlignment="1">
      <alignment horizontal="center" vertical="top" wrapText="1"/>
    </xf>
    <xf numFmtId="49" fontId="4" fillId="0" borderId="0" xfId="0" applyNumberFormat="1" applyFont="1" applyBorder="1" applyAlignment="1">
      <alignment vertical="top" wrapText="1"/>
    </xf>
    <xf numFmtId="49" fontId="4" fillId="3" borderId="32" xfId="0" applyNumberFormat="1" applyFont="1" applyFill="1" applyBorder="1" applyAlignment="1">
      <alignment horizontal="center" vertical="top"/>
    </xf>
    <xf numFmtId="49" fontId="4" fillId="3" borderId="13" xfId="0" applyNumberFormat="1" applyFont="1" applyFill="1" applyBorder="1" applyAlignment="1">
      <alignment vertical="top" wrapText="1"/>
    </xf>
    <xf numFmtId="49" fontId="4" fillId="3" borderId="32" xfId="0" applyNumberFormat="1" applyFont="1" applyFill="1" applyBorder="1" applyAlignment="1">
      <alignment vertical="top"/>
    </xf>
    <xf numFmtId="49" fontId="4" fillId="3" borderId="18" xfId="0" applyNumberFormat="1" applyFont="1" applyFill="1" applyBorder="1" applyAlignment="1">
      <alignment vertical="top"/>
    </xf>
    <xf numFmtId="49" fontId="4" fillId="3" borderId="19" xfId="0" applyNumberFormat="1" applyFont="1" applyFill="1" applyBorder="1" applyAlignment="1">
      <alignment vertical="top"/>
    </xf>
    <xf numFmtId="49" fontId="4" fillId="3" borderId="19" xfId="0" applyNumberFormat="1" applyFont="1" applyFill="1" applyBorder="1" applyAlignment="1">
      <alignment vertical="top" wrapText="1"/>
    </xf>
    <xf numFmtId="49" fontId="4" fillId="0" borderId="18" xfId="0" applyNumberFormat="1" applyFont="1" applyBorder="1" applyAlignment="1">
      <alignment horizontal="center" vertical="top" wrapText="1"/>
    </xf>
    <xf numFmtId="49" fontId="4" fillId="0" borderId="32" xfId="0" applyNumberFormat="1" applyFont="1" applyBorder="1" applyAlignment="1">
      <alignment horizontal="center" vertical="top" wrapText="1"/>
    </xf>
    <xf numFmtId="49" fontId="4" fillId="3" borderId="19" xfId="0" applyNumberFormat="1" applyFont="1" applyFill="1" applyBorder="1" applyAlignment="1">
      <alignment horizontal="center" vertical="top" wrapText="1"/>
    </xf>
    <xf numFmtId="49" fontId="4" fillId="0" borderId="18" xfId="0" applyNumberFormat="1" applyFont="1" applyBorder="1" applyAlignment="1">
      <alignment vertical="top" wrapText="1"/>
    </xf>
    <xf numFmtId="49" fontId="4" fillId="4" borderId="18" xfId="0" applyNumberFormat="1" applyFont="1" applyFill="1" applyBorder="1" applyAlignment="1">
      <alignment horizontal="center" vertical="top" wrapText="1"/>
    </xf>
    <xf numFmtId="49" fontId="4" fillId="4" borderId="18" xfId="0" applyNumberFormat="1" applyFont="1" applyFill="1" applyBorder="1" applyAlignment="1">
      <alignment horizontal="center" vertical="top"/>
    </xf>
    <xf numFmtId="49" fontId="4" fillId="3" borderId="18" xfId="0" applyNumberFormat="1" applyFont="1" applyFill="1" applyBorder="1" applyAlignment="1">
      <alignment horizontal="center" vertical="top"/>
    </xf>
    <xf numFmtId="49" fontId="4" fillId="3" borderId="42" xfId="0" applyNumberFormat="1" applyFont="1" applyFill="1" applyBorder="1" applyAlignment="1">
      <alignment vertical="top" wrapText="1"/>
    </xf>
    <xf numFmtId="49" fontId="4" fillId="3" borderId="59" xfId="0" applyNumberFormat="1" applyFont="1" applyFill="1" applyBorder="1" applyAlignment="1">
      <alignment vertical="top" wrapText="1"/>
    </xf>
    <xf numFmtId="49" fontId="4" fillId="3" borderId="59" xfId="0" applyNumberFormat="1" applyFont="1" applyFill="1" applyBorder="1" applyAlignment="1">
      <alignment horizontal="center" vertical="top" wrapText="1"/>
    </xf>
    <xf numFmtId="49" fontId="4" fillId="3" borderId="42" xfId="0" applyNumberFormat="1" applyFont="1" applyFill="1" applyBorder="1" applyAlignment="1">
      <alignment horizontal="center" vertical="top" wrapText="1"/>
    </xf>
    <xf numFmtId="49" fontId="4" fillId="3" borderId="66" xfId="0" applyNumberFormat="1" applyFont="1" applyFill="1" applyBorder="1" applyAlignment="1">
      <alignment horizontal="center" vertical="top" wrapText="1"/>
    </xf>
    <xf numFmtId="49" fontId="4" fillId="0" borderId="0" xfId="0" applyNumberFormat="1" applyFont="1" applyAlignment="1">
      <alignment horizontal="center" vertical="top" wrapText="1"/>
    </xf>
    <xf numFmtId="49" fontId="4" fillId="3" borderId="33" xfId="0" applyNumberFormat="1" applyFont="1" applyFill="1" applyBorder="1" applyAlignment="1">
      <alignment horizontal="center" vertical="top" wrapText="1"/>
    </xf>
    <xf numFmtId="49" fontId="4" fillId="3" borderId="53" xfId="0" applyNumberFormat="1" applyFont="1" applyFill="1" applyBorder="1" applyAlignment="1">
      <alignment horizontal="center" vertical="top" wrapText="1"/>
    </xf>
    <xf numFmtId="49" fontId="4" fillId="3" borderId="19" xfId="0" applyNumberFormat="1" applyFont="1" applyFill="1" applyBorder="1" applyAlignment="1">
      <alignment horizontal="center" vertical="top"/>
    </xf>
    <xf numFmtId="49" fontId="4" fillId="0" borderId="0" xfId="0" applyNumberFormat="1" applyFont="1" applyBorder="1" applyAlignment="1">
      <alignment horizontal="center" vertical="top" wrapText="1"/>
    </xf>
    <xf numFmtId="49" fontId="4" fillId="4" borderId="42" xfId="0" applyNumberFormat="1" applyFont="1" applyFill="1" applyBorder="1" applyAlignment="1">
      <alignment horizontal="center" vertical="top" wrapText="1"/>
    </xf>
    <xf numFmtId="49" fontId="4" fillId="3" borderId="66" xfId="0" applyNumberFormat="1" applyFont="1" applyFill="1" applyBorder="1" applyAlignment="1">
      <alignment horizontal="center" vertical="top"/>
    </xf>
    <xf numFmtId="49" fontId="4" fillId="3" borderId="59" xfId="0" applyNumberFormat="1" applyFont="1" applyFill="1" applyBorder="1" applyAlignment="1">
      <alignment horizontal="center" vertical="top"/>
    </xf>
    <xf numFmtId="49" fontId="2" fillId="3" borderId="64" xfId="0" applyNumberFormat="1" applyFont="1" applyFill="1" applyBorder="1" applyAlignment="1">
      <alignment vertical="top" wrapText="1"/>
    </xf>
    <xf numFmtId="49" fontId="4" fillId="3" borderId="51" xfId="0" applyNumberFormat="1" applyFont="1" applyFill="1" applyBorder="1" applyAlignment="1">
      <alignment horizontal="center" vertical="top" wrapText="1"/>
    </xf>
    <xf numFmtId="49" fontId="4" fillId="0" borderId="66" xfId="0" applyNumberFormat="1" applyFont="1" applyBorder="1" applyAlignment="1">
      <alignment horizontal="center" vertical="top" wrapText="1"/>
    </xf>
    <xf numFmtId="49" fontId="4" fillId="0" borderId="59" xfId="0" applyNumberFormat="1" applyFont="1" applyBorder="1" applyAlignment="1">
      <alignment horizontal="center" vertical="top" wrapText="1"/>
    </xf>
    <xf numFmtId="3" fontId="5" fillId="4" borderId="80" xfId="0" applyNumberFormat="1" applyFont="1" applyFill="1" applyBorder="1" applyAlignment="1">
      <alignment horizontal="center" vertical="top" wrapText="1"/>
    </xf>
    <xf numFmtId="3" fontId="5" fillId="4" borderId="71" xfId="0" applyNumberFormat="1" applyFont="1" applyFill="1" applyBorder="1" applyAlignment="1">
      <alignment horizontal="center" vertical="top" wrapText="1"/>
    </xf>
    <xf numFmtId="3" fontId="4" fillId="4" borderId="9" xfId="0" applyNumberFormat="1" applyFont="1" applyFill="1" applyBorder="1" applyAlignment="1">
      <alignment horizontal="center" vertical="top" wrapText="1"/>
    </xf>
    <xf numFmtId="49" fontId="1" fillId="4" borderId="33" xfId="0" applyNumberFormat="1" applyFont="1" applyFill="1" applyBorder="1" applyAlignment="1">
      <alignment horizontal="center" vertical="top"/>
    </xf>
    <xf numFmtId="49" fontId="1" fillId="4" borderId="61" xfId="0" applyNumberFormat="1" applyFont="1" applyFill="1" applyBorder="1" applyAlignment="1">
      <alignment horizontal="center" vertical="top"/>
    </xf>
    <xf numFmtId="3" fontId="2" fillId="3" borderId="0" xfId="0" applyNumberFormat="1" applyFont="1" applyFill="1" applyBorder="1" applyAlignment="1">
      <alignment horizontal="center" vertical="top" wrapText="1"/>
    </xf>
    <xf numFmtId="3" fontId="1" fillId="0" borderId="59" xfId="0" applyNumberFormat="1" applyFont="1" applyBorder="1" applyAlignment="1">
      <alignment horizontal="center" vertical="top" wrapText="1"/>
    </xf>
    <xf numFmtId="3" fontId="1" fillId="0" borderId="28" xfId="0" applyNumberFormat="1" applyFont="1" applyBorder="1" applyAlignment="1">
      <alignment horizontal="center" vertical="top" wrapText="1"/>
    </xf>
    <xf numFmtId="3" fontId="1" fillId="0" borderId="33" xfId="0" applyNumberFormat="1" applyFont="1" applyBorder="1" applyAlignment="1">
      <alignment horizontal="center" vertical="top" wrapText="1"/>
    </xf>
    <xf numFmtId="3" fontId="2" fillId="4" borderId="38" xfId="0" applyNumberFormat="1" applyFont="1" applyFill="1" applyBorder="1" applyAlignment="1">
      <alignment horizontal="center" vertical="top" wrapText="1"/>
    </xf>
    <xf numFmtId="3" fontId="1" fillId="4" borderId="10" xfId="0" applyNumberFormat="1" applyFont="1" applyFill="1" applyBorder="1" applyAlignment="1">
      <alignment vertical="top" wrapText="1"/>
    </xf>
    <xf numFmtId="0" fontId="1" fillId="4" borderId="64" xfId="0" applyFont="1" applyFill="1" applyBorder="1" applyAlignment="1">
      <alignment horizontal="center" vertical="top" wrapText="1"/>
    </xf>
    <xf numFmtId="3" fontId="2" fillId="3" borderId="52" xfId="0" applyNumberFormat="1" applyFont="1" applyFill="1" applyBorder="1" applyAlignment="1">
      <alignment horizontal="center" vertical="top" wrapText="1"/>
    </xf>
    <xf numFmtId="3" fontId="1" fillId="3" borderId="2" xfId="0" applyNumberFormat="1" applyFont="1" applyFill="1" applyBorder="1" applyAlignment="1">
      <alignment horizontal="center" vertical="top" wrapText="1"/>
    </xf>
    <xf numFmtId="3" fontId="4" fillId="0" borderId="33" xfId="0" applyNumberFormat="1" applyFont="1" applyFill="1" applyBorder="1" applyAlignment="1">
      <alignment horizontal="center" vertical="top" wrapText="1"/>
    </xf>
    <xf numFmtId="164" fontId="4" fillId="12" borderId="91" xfId="2" applyNumberFormat="1" applyFont="1" applyFill="1" applyBorder="1" applyAlignment="1">
      <alignment horizontal="center" vertical="top"/>
    </xf>
    <xf numFmtId="164" fontId="4" fillId="4" borderId="29" xfId="0" applyNumberFormat="1" applyFont="1" applyFill="1" applyBorder="1" applyAlignment="1">
      <alignment horizontal="center" vertical="top"/>
    </xf>
    <xf numFmtId="164" fontId="4" fillId="4" borderId="58" xfId="0" applyNumberFormat="1" applyFont="1" applyFill="1" applyBorder="1" applyAlignment="1">
      <alignment horizontal="center" vertical="top"/>
    </xf>
    <xf numFmtId="164" fontId="5" fillId="5" borderId="47" xfId="0" applyNumberFormat="1" applyFont="1" applyFill="1" applyBorder="1" applyAlignment="1">
      <alignment horizontal="center" vertical="top" wrapText="1"/>
    </xf>
    <xf numFmtId="3" fontId="4" fillId="4" borderId="64" xfId="0" applyNumberFormat="1" applyFont="1" applyFill="1" applyBorder="1" applyAlignment="1">
      <alignment vertical="top" wrapText="1"/>
    </xf>
    <xf numFmtId="164" fontId="4" fillId="11" borderId="141" xfId="2" applyNumberFormat="1" applyFont="1" applyFill="1" applyBorder="1" applyAlignment="1">
      <alignment horizontal="center" vertical="top"/>
    </xf>
    <xf numFmtId="164" fontId="4" fillId="12" borderId="143" xfId="2" applyNumberFormat="1" applyFont="1" applyFill="1" applyBorder="1" applyAlignment="1">
      <alignment horizontal="center" vertical="top"/>
    </xf>
    <xf numFmtId="164" fontId="4" fillId="11" borderId="128" xfId="2" applyNumberFormat="1" applyFont="1" applyFill="1" applyBorder="1" applyAlignment="1">
      <alignment horizontal="center" vertical="top"/>
    </xf>
    <xf numFmtId="164" fontId="4" fillId="14" borderId="34" xfId="2" applyNumberFormat="1" applyFont="1" applyFill="1" applyBorder="1" applyAlignment="1">
      <alignment horizontal="center" vertical="top"/>
    </xf>
    <xf numFmtId="164" fontId="4" fillId="12" borderId="84" xfId="2" applyNumberFormat="1" applyFont="1" applyFill="1" applyBorder="1" applyAlignment="1">
      <alignment horizontal="center" vertical="top"/>
    </xf>
    <xf numFmtId="164" fontId="4" fillId="12" borderId="125" xfId="2" applyNumberFormat="1" applyFont="1" applyFill="1" applyBorder="1" applyAlignment="1">
      <alignment horizontal="center" vertical="top"/>
    </xf>
    <xf numFmtId="164" fontId="4" fillId="12" borderId="94" xfId="2" applyNumberFormat="1" applyFont="1" applyFill="1" applyBorder="1" applyAlignment="1">
      <alignment horizontal="center" vertical="top"/>
    </xf>
    <xf numFmtId="164" fontId="4" fillId="0" borderId="57" xfId="2" applyNumberFormat="1" applyFont="1" applyFill="1" applyBorder="1" applyAlignment="1">
      <alignment horizontal="center" vertical="top"/>
    </xf>
    <xf numFmtId="3" fontId="1" fillId="0" borderId="3" xfId="0" applyNumberFormat="1" applyFont="1" applyFill="1" applyBorder="1" applyAlignment="1">
      <alignment horizontal="center" vertical="top" wrapText="1"/>
    </xf>
    <xf numFmtId="0" fontId="8" fillId="0" borderId="69" xfId="0" applyFont="1" applyBorder="1" applyAlignment="1">
      <alignment vertical="center" wrapText="1"/>
    </xf>
    <xf numFmtId="0" fontId="8" fillId="0" borderId="23"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xf numFmtId="0" fontId="8" fillId="0" borderId="69" xfId="0" applyFont="1" applyBorder="1" applyAlignment="1">
      <alignment horizontal="center" vertical="center" wrapText="1"/>
    </xf>
    <xf numFmtId="0" fontId="8" fillId="0" borderId="69" xfId="0" applyFont="1" applyBorder="1" applyAlignment="1">
      <alignment horizontal="justify" vertical="center" wrapText="1"/>
    </xf>
    <xf numFmtId="0" fontId="8" fillId="0" borderId="49" xfId="0" applyFont="1" applyBorder="1" applyAlignment="1">
      <alignment horizontal="center" vertical="center" wrapText="1"/>
    </xf>
    <xf numFmtId="0" fontId="8" fillId="0" borderId="69"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left" vertical="center" wrapText="1"/>
    </xf>
    <xf numFmtId="0" fontId="8" fillId="0" borderId="72" xfId="0" applyFont="1" applyBorder="1" applyAlignment="1">
      <alignment horizontal="justify" vertical="center" wrapText="1"/>
    </xf>
    <xf numFmtId="0" fontId="11" fillId="0" borderId="0" xfId="0" applyFont="1" applyAlignment="1">
      <alignment horizontal="center"/>
    </xf>
    <xf numFmtId="0" fontId="11" fillId="0" borderId="0" xfId="0" applyFont="1" applyAlignment="1"/>
    <xf numFmtId="0" fontId="8" fillId="0" borderId="0" xfId="0" applyFont="1" applyAlignment="1">
      <alignment horizontal="center"/>
    </xf>
    <xf numFmtId="0" fontId="8" fillId="0" borderId="23" xfId="0" applyFont="1" applyBorder="1" applyAlignment="1">
      <alignment horizontal="justify" vertical="center" wrapText="1"/>
    </xf>
    <xf numFmtId="0" fontId="11" fillId="0" borderId="12" xfId="0" applyFont="1" applyBorder="1" applyAlignment="1">
      <alignment horizontal="right"/>
    </xf>
    <xf numFmtId="165" fontId="8" fillId="0" borderId="10" xfId="0" applyNumberFormat="1" applyFont="1" applyBorder="1" applyAlignment="1">
      <alignment horizontal="center" vertical="center" wrapText="1"/>
    </xf>
    <xf numFmtId="165" fontId="8" fillId="0" borderId="72" xfId="0" applyNumberFormat="1" applyFont="1" applyBorder="1" applyAlignment="1">
      <alignment horizontal="center" vertical="center" wrapText="1"/>
    </xf>
    <xf numFmtId="165" fontId="8" fillId="0" borderId="23" xfId="0" applyNumberFormat="1" applyFont="1" applyBorder="1" applyAlignment="1">
      <alignment horizontal="center" vertical="center" wrapText="1"/>
    </xf>
    <xf numFmtId="165" fontId="11" fillId="0" borderId="23" xfId="0" applyNumberFormat="1" applyFont="1" applyBorder="1" applyAlignment="1">
      <alignment horizontal="center"/>
    </xf>
    <xf numFmtId="0" fontId="8" fillId="0" borderId="72" xfId="0" applyFont="1" applyBorder="1" applyAlignment="1">
      <alignment horizontal="left" vertical="center" wrapText="1"/>
    </xf>
    <xf numFmtId="165" fontId="8" fillId="0" borderId="69" xfId="0" applyNumberFormat="1" applyFont="1" applyBorder="1" applyAlignment="1">
      <alignment horizontal="center" vertical="center" wrapText="1"/>
    </xf>
    <xf numFmtId="165" fontId="8" fillId="0" borderId="0" xfId="0" applyNumberFormat="1" applyFont="1"/>
    <xf numFmtId="165" fontId="8" fillId="0" borderId="0" xfId="0" applyNumberFormat="1" applyFont="1" applyAlignment="1">
      <alignment horizontal="center"/>
    </xf>
    <xf numFmtId="165" fontId="11" fillId="0" borderId="0" xfId="0" applyNumberFormat="1" applyFont="1" applyAlignment="1">
      <alignment horizontal="center"/>
    </xf>
    <xf numFmtId="0" fontId="11" fillId="0" borderId="54" xfId="0" applyFont="1" applyBorder="1" applyAlignment="1"/>
    <xf numFmtId="0" fontId="11" fillId="0" borderId="43" xfId="0" applyFont="1" applyBorder="1" applyAlignment="1"/>
    <xf numFmtId="0" fontId="22" fillId="0" borderId="0" xfId="0" applyFont="1" applyAlignment="1"/>
    <xf numFmtId="165" fontId="8" fillId="0" borderId="72" xfId="0" applyNumberFormat="1" applyFont="1" applyBorder="1" applyAlignment="1">
      <alignment horizontal="justify" vertical="center" wrapText="1"/>
    </xf>
    <xf numFmtId="165" fontId="11" fillId="0" borderId="54" xfId="0" applyNumberFormat="1" applyFont="1" applyBorder="1" applyAlignment="1"/>
    <xf numFmtId="165" fontId="11" fillId="0" borderId="43" xfId="0" applyNumberFormat="1" applyFont="1" applyBorder="1" applyAlignment="1"/>
    <xf numFmtId="165" fontId="22" fillId="0" borderId="0" xfId="0" applyNumberFormat="1" applyFont="1" applyAlignment="1"/>
    <xf numFmtId="165" fontId="11" fillId="0" borderId="0" xfId="0" applyNumberFormat="1" applyFont="1" applyAlignment="1"/>
    <xf numFmtId="0" fontId="11" fillId="0" borderId="56" xfId="0" applyFont="1" applyBorder="1" applyAlignment="1">
      <alignment horizontal="right"/>
    </xf>
    <xf numFmtId="0" fontId="11" fillId="0" borderId="54" xfId="0" applyFont="1" applyBorder="1" applyAlignment="1">
      <alignment horizontal="center"/>
    </xf>
    <xf numFmtId="0" fontId="11" fillId="0" borderId="43" xfId="0" applyFont="1" applyBorder="1" applyAlignment="1">
      <alignment horizontal="center"/>
    </xf>
    <xf numFmtId="0" fontId="22" fillId="0" borderId="0" xfId="0" applyFont="1" applyAlignment="1">
      <alignment horizontal="center"/>
    </xf>
    <xf numFmtId="0" fontId="22" fillId="0" borderId="0" xfId="0" applyFont="1"/>
    <xf numFmtId="165" fontId="11" fillId="4" borderId="23" xfId="0" applyNumberFormat="1" applyFont="1" applyFill="1" applyBorder="1" applyAlignment="1">
      <alignment horizontal="center"/>
    </xf>
    <xf numFmtId="164" fontId="4" fillId="4" borderId="51" xfId="0" applyNumberFormat="1" applyFont="1" applyFill="1" applyBorder="1" applyAlignment="1">
      <alignment horizontal="center" vertical="top" wrapText="1"/>
    </xf>
    <xf numFmtId="164" fontId="4" fillId="4" borderId="16" xfId="0" applyNumberFormat="1" applyFont="1" applyFill="1" applyBorder="1" applyAlignment="1">
      <alignment horizontal="center" vertical="top" wrapText="1"/>
    </xf>
    <xf numFmtId="164" fontId="4" fillId="4" borderId="13" xfId="0" applyNumberFormat="1" applyFont="1" applyFill="1" applyBorder="1" applyAlignment="1">
      <alignment horizontal="center" vertical="top" wrapText="1"/>
    </xf>
    <xf numFmtId="164" fontId="4" fillId="4" borderId="24" xfId="0" applyNumberFormat="1" applyFont="1" applyFill="1" applyBorder="1" applyAlignment="1">
      <alignment horizontal="center" vertical="top" wrapText="1"/>
    </xf>
    <xf numFmtId="164" fontId="4" fillId="4" borderId="53" xfId="0" applyNumberFormat="1" applyFont="1" applyFill="1" applyBorder="1" applyAlignment="1">
      <alignment horizontal="center" vertical="top" wrapText="1"/>
    </xf>
    <xf numFmtId="164" fontId="4" fillId="4" borderId="26" xfId="0" applyNumberFormat="1" applyFont="1" applyFill="1" applyBorder="1" applyAlignment="1">
      <alignment horizontal="center" vertical="top" wrapText="1"/>
    </xf>
    <xf numFmtId="164" fontId="4" fillId="4" borderId="68" xfId="0" applyNumberFormat="1" applyFont="1" applyFill="1" applyBorder="1" applyAlignment="1">
      <alignment horizontal="center" vertical="top" wrapText="1"/>
    </xf>
    <xf numFmtId="164" fontId="4" fillId="4" borderId="56" xfId="0" applyNumberFormat="1" applyFont="1" applyFill="1" applyBorder="1" applyAlignment="1">
      <alignment horizontal="center" vertical="top" wrapText="1"/>
    </xf>
    <xf numFmtId="164" fontId="4" fillId="4" borderId="19" xfId="0" applyNumberFormat="1" applyFont="1" applyFill="1" applyBorder="1" applyAlignment="1">
      <alignment horizontal="center" vertical="top" wrapText="1"/>
    </xf>
    <xf numFmtId="164" fontId="4" fillId="4" borderId="69" xfId="0" applyNumberFormat="1" applyFont="1" applyFill="1" applyBorder="1" applyAlignment="1">
      <alignment horizontal="center" vertical="top" wrapText="1"/>
    </xf>
    <xf numFmtId="164" fontId="4" fillId="4" borderId="64" xfId="0" applyNumberFormat="1" applyFont="1" applyFill="1" applyBorder="1" applyAlignment="1">
      <alignment horizontal="center" vertical="top" wrapText="1"/>
    </xf>
    <xf numFmtId="164" fontId="4" fillId="4" borderId="32" xfId="0" applyNumberFormat="1" applyFont="1" applyFill="1" applyBorder="1" applyAlignment="1">
      <alignment horizontal="center" vertical="top" wrapText="1"/>
    </xf>
    <xf numFmtId="164" fontId="5" fillId="4" borderId="17" xfId="0" applyNumberFormat="1" applyFont="1" applyFill="1" applyBorder="1" applyAlignment="1">
      <alignment horizontal="center" vertical="top" wrapText="1"/>
    </xf>
    <xf numFmtId="164" fontId="5" fillId="4" borderId="18" xfId="0" applyNumberFormat="1" applyFont="1" applyFill="1" applyBorder="1" applyAlignment="1">
      <alignment horizontal="center" vertical="top" wrapText="1"/>
    </xf>
    <xf numFmtId="164" fontId="5" fillId="4" borderId="7" xfId="0" applyNumberFormat="1" applyFont="1" applyFill="1" applyBorder="1" applyAlignment="1">
      <alignment horizontal="center" vertical="top" wrapText="1"/>
    </xf>
    <xf numFmtId="164" fontId="4" fillId="4" borderId="62" xfId="0" applyNumberFormat="1" applyFont="1" applyFill="1" applyBorder="1" applyAlignment="1">
      <alignment horizontal="center" vertical="top" wrapText="1"/>
    </xf>
    <xf numFmtId="164" fontId="4" fillId="4" borderId="42" xfId="0" applyNumberFormat="1" applyFont="1" applyFill="1" applyBorder="1" applyAlignment="1">
      <alignment horizontal="center" vertical="top" wrapText="1"/>
    </xf>
    <xf numFmtId="164" fontId="4" fillId="4" borderId="15" xfId="0" applyNumberFormat="1" applyFont="1" applyFill="1" applyBorder="1" applyAlignment="1">
      <alignment horizontal="center" vertical="top" wrapText="1"/>
    </xf>
    <xf numFmtId="164" fontId="4" fillId="4" borderId="73" xfId="0" applyNumberFormat="1" applyFont="1" applyFill="1" applyBorder="1" applyAlignment="1">
      <alignment horizontal="center" vertical="top" wrapText="1"/>
    </xf>
    <xf numFmtId="164" fontId="4" fillId="4" borderId="33" xfId="0" applyNumberFormat="1" applyFont="1" applyFill="1" applyBorder="1" applyAlignment="1">
      <alignment horizontal="center" vertical="top" wrapText="1"/>
    </xf>
    <xf numFmtId="164" fontId="4" fillId="4" borderId="17" xfId="0" applyNumberFormat="1" applyFont="1" applyFill="1" applyBorder="1" applyAlignment="1">
      <alignment horizontal="center" vertical="top" wrapText="1"/>
    </xf>
    <xf numFmtId="164" fontId="4" fillId="4" borderId="62" xfId="0" applyNumberFormat="1" applyFont="1" applyFill="1" applyBorder="1" applyAlignment="1">
      <alignment horizontal="center" vertical="center" wrapText="1"/>
    </xf>
    <xf numFmtId="164" fontId="4" fillId="4" borderId="61" xfId="0" applyNumberFormat="1" applyFont="1" applyFill="1" applyBorder="1" applyAlignment="1">
      <alignment horizontal="center" vertical="top" wrapText="1"/>
    </xf>
    <xf numFmtId="164" fontId="4" fillId="4" borderId="59" xfId="0" applyNumberFormat="1" applyFont="1" applyFill="1" applyBorder="1" applyAlignment="1">
      <alignment horizontal="center" vertical="top" wrapText="1"/>
    </xf>
    <xf numFmtId="164" fontId="4" fillId="4" borderId="28" xfId="0" applyNumberFormat="1" applyFont="1" applyFill="1" applyBorder="1" applyAlignment="1">
      <alignment horizontal="center" vertical="top" wrapText="1"/>
    </xf>
    <xf numFmtId="164" fontId="1" fillId="4" borderId="68" xfId="0" applyNumberFormat="1" applyFont="1" applyFill="1" applyBorder="1" applyAlignment="1">
      <alignment horizontal="center" vertical="top" wrapText="1"/>
    </xf>
    <xf numFmtId="164" fontId="4" fillId="4" borderId="74" xfId="0" applyNumberFormat="1" applyFont="1" applyFill="1" applyBorder="1" applyAlignment="1">
      <alignment horizontal="center" vertical="top" wrapText="1"/>
    </xf>
    <xf numFmtId="164" fontId="4" fillId="4" borderId="46" xfId="0" applyNumberFormat="1" applyFont="1" applyFill="1" applyBorder="1" applyAlignment="1">
      <alignment horizontal="center" vertical="top" wrapText="1"/>
    </xf>
    <xf numFmtId="164" fontId="4" fillId="4" borderId="47" xfId="0" applyNumberFormat="1" applyFont="1" applyFill="1" applyBorder="1" applyAlignment="1">
      <alignment horizontal="center" vertical="top" wrapText="1"/>
    </xf>
    <xf numFmtId="164" fontId="4" fillId="4" borderId="4" xfId="0" applyNumberFormat="1" applyFont="1" applyFill="1" applyBorder="1" applyAlignment="1">
      <alignment horizontal="center" vertical="top" wrapText="1"/>
    </xf>
    <xf numFmtId="164" fontId="4" fillId="4" borderId="50" xfId="0" applyNumberFormat="1" applyFont="1" applyFill="1" applyBorder="1" applyAlignment="1">
      <alignment horizontal="center" vertical="top" wrapText="1"/>
    </xf>
    <xf numFmtId="164" fontId="1" fillId="4" borderId="64" xfId="0" applyNumberFormat="1" applyFont="1" applyFill="1" applyBorder="1" applyAlignment="1">
      <alignment horizontal="center" vertical="top" wrapText="1"/>
    </xf>
    <xf numFmtId="164" fontId="1" fillId="4" borderId="13" xfId="0" applyNumberFormat="1" applyFont="1" applyFill="1" applyBorder="1" applyAlignment="1">
      <alignment horizontal="center" vertical="top" wrapText="1"/>
    </xf>
    <xf numFmtId="164" fontId="1" fillId="4" borderId="24" xfId="0" applyNumberFormat="1" applyFont="1" applyFill="1" applyBorder="1" applyAlignment="1">
      <alignment horizontal="center" vertical="top" wrapText="1"/>
    </xf>
    <xf numFmtId="164" fontId="1" fillId="4" borderId="20" xfId="0" applyNumberFormat="1" applyFont="1" applyFill="1" applyBorder="1" applyAlignment="1">
      <alignment horizontal="center" vertical="top" wrapText="1"/>
    </xf>
    <xf numFmtId="164" fontId="1" fillId="4" borderId="16" xfId="0" applyNumberFormat="1" applyFont="1" applyFill="1" applyBorder="1" applyAlignment="1">
      <alignment horizontal="center" vertical="top" wrapText="1"/>
    </xf>
    <xf numFmtId="164" fontId="1" fillId="4" borderId="56" xfId="0" applyNumberFormat="1" applyFont="1" applyFill="1" applyBorder="1" applyAlignment="1">
      <alignment horizontal="center" vertical="top" wrapText="1"/>
    </xf>
    <xf numFmtId="164" fontId="5" fillId="4" borderId="33" xfId="0" applyNumberFormat="1" applyFont="1" applyFill="1" applyBorder="1" applyAlignment="1">
      <alignment horizontal="center" vertical="top" wrapText="1"/>
    </xf>
    <xf numFmtId="164" fontId="5" fillId="4" borderId="61" xfId="0" applyNumberFormat="1" applyFont="1" applyFill="1" applyBorder="1" applyAlignment="1">
      <alignment horizontal="center" vertical="top" wrapText="1"/>
    </xf>
    <xf numFmtId="164" fontId="5" fillId="4" borderId="59" xfId="0" applyNumberFormat="1" applyFont="1" applyFill="1" applyBorder="1" applyAlignment="1">
      <alignment horizontal="center" vertical="top" wrapText="1"/>
    </xf>
    <xf numFmtId="164" fontId="5" fillId="4" borderId="28" xfId="0" applyNumberFormat="1" applyFont="1" applyFill="1" applyBorder="1" applyAlignment="1">
      <alignment horizontal="center" vertical="top" wrapText="1"/>
    </xf>
    <xf numFmtId="164" fontId="1" fillId="4" borderId="46" xfId="0" applyNumberFormat="1" applyFont="1" applyFill="1" applyBorder="1" applyAlignment="1">
      <alignment horizontal="center" vertical="top" wrapText="1"/>
    </xf>
    <xf numFmtId="164" fontId="1" fillId="4" borderId="14" xfId="0" applyNumberFormat="1" applyFont="1" applyFill="1" applyBorder="1" applyAlignment="1">
      <alignment horizontal="center" vertical="top" wrapText="1"/>
    </xf>
    <xf numFmtId="164" fontId="1" fillId="4" borderId="12" xfId="0" applyNumberFormat="1" applyFont="1" applyFill="1" applyBorder="1" applyAlignment="1">
      <alignment horizontal="center" vertical="top" wrapText="1"/>
    </xf>
    <xf numFmtId="164" fontId="1" fillId="4" borderId="11" xfId="0" applyNumberFormat="1" applyFont="1" applyFill="1" applyBorder="1" applyAlignment="1">
      <alignment horizontal="center" vertical="top" wrapText="1"/>
    </xf>
    <xf numFmtId="164" fontId="1" fillId="4" borderId="72" xfId="0" applyNumberFormat="1" applyFont="1" applyFill="1" applyBorder="1" applyAlignment="1">
      <alignment horizontal="center" vertical="top" wrapText="1"/>
    </xf>
    <xf numFmtId="164" fontId="1" fillId="4" borderId="19" xfId="0" applyNumberFormat="1" applyFont="1" applyFill="1" applyBorder="1" applyAlignment="1">
      <alignment horizontal="center" vertical="top" wrapText="1"/>
    </xf>
    <xf numFmtId="164" fontId="1" fillId="4" borderId="69" xfId="0" applyNumberFormat="1" applyFont="1" applyFill="1" applyBorder="1" applyAlignment="1">
      <alignment horizontal="center" vertical="top" wrapText="1"/>
    </xf>
    <xf numFmtId="164" fontId="1" fillId="0" borderId="61" xfId="0" applyNumberFormat="1" applyFont="1" applyBorder="1" applyAlignment="1">
      <alignment horizontal="center" vertical="top" wrapText="1"/>
    </xf>
    <xf numFmtId="164" fontId="1" fillId="4" borderId="62" xfId="0" applyNumberFormat="1" applyFont="1" applyFill="1" applyBorder="1" applyAlignment="1">
      <alignment horizontal="center" vertical="top" wrapText="1"/>
    </xf>
    <xf numFmtId="164" fontId="2" fillId="2" borderId="14" xfId="0" applyNumberFormat="1" applyFont="1" applyFill="1" applyBorder="1" applyAlignment="1">
      <alignment horizontal="center" vertical="top" wrapText="1"/>
    </xf>
    <xf numFmtId="164" fontId="2" fillId="2" borderId="12"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164" fontId="2" fillId="2" borderId="54" xfId="0" applyNumberFormat="1" applyFont="1" applyFill="1" applyBorder="1" applyAlignment="1">
      <alignment horizontal="center" vertical="top" wrapText="1"/>
    </xf>
    <xf numFmtId="164" fontId="2" fillId="8" borderId="14" xfId="0" applyNumberFormat="1" applyFont="1" applyFill="1" applyBorder="1" applyAlignment="1">
      <alignment horizontal="center" vertical="top" wrapText="1"/>
    </xf>
    <xf numFmtId="164" fontId="2" fillId="8" borderId="12" xfId="0" applyNumberFormat="1" applyFont="1" applyFill="1" applyBorder="1" applyAlignment="1">
      <alignment horizontal="center" vertical="top" wrapText="1"/>
    </xf>
    <xf numFmtId="164" fontId="2" fillId="8" borderId="11" xfId="0" applyNumberFormat="1" applyFont="1" applyFill="1" applyBorder="1" applyAlignment="1">
      <alignment horizontal="center" vertical="top" wrapText="1"/>
    </xf>
    <xf numFmtId="164" fontId="1" fillId="4" borderId="22" xfId="0" applyNumberFormat="1" applyFont="1" applyFill="1" applyBorder="1" applyAlignment="1">
      <alignment horizontal="center" vertical="top" wrapText="1"/>
    </xf>
    <xf numFmtId="164" fontId="1" fillId="4" borderId="3" xfId="0" applyNumberFormat="1" applyFont="1" applyFill="1" applyBorder="1" applyAlignment="1">
      <alignment horizontal="center" vertical="top" wrapText="1"/>
    </xf>
    <xf numFmtId="164" fontId="1" fillId="4" borderId="31" xfId="0" applyNumberFormat="1" applyFont="1" applyFill="1" applyBorder="1" applyAlignment="1">
      <alignment horizontal="center" vertical="top" wrapText="1"/>
    </xf>
    <xf numFmtId="164" fontId="1" fillId="0" borderId="53" xfId="0" applyNumberFormat="1" applyFont="1" applyFill="1" applyBorder="1" applyAlignment="1">
      <alignment horizontal="center" vertical="top" wrapText="1"/>
    </xf>
    <xf numFmtId="164" fontId="1" fillId="0" borderId="41" xfId="0" applyNumberFormat="1" applyFont="1" applyFill="1" applyBorder="1" applyAlignment="1">
      <alignment horizontal="center" vertical="top" wrapText="1"/>
    </xf>
    <xf numFmtId="164" fontId="1" fillId="0" borderId="57" xfId="0" applyNumberFormat="1" applyFont="1" applyFill="1" applyBorder="1" applyAlignment="1">
      <alignment horizontal="center" vertical="top" wrapText="1"/>
    </xf>
    <xf numFmtId="164" fontId="1" fillId="4" borderId="27" xfId="0" applyNumberFormat="1" applyFont="1" applyFill="1" applyBorder="1" applyAlignment="1">
      <alignment horizontal="center" vertical="top" wrapText="1"/>
    </xf>
    <xf numFmtId="164" fontId="1" fillId="4" borderId="39" xfId="0" applyNumberFormat="1" applyFont="1" applyFill="1" applyBorder="1" applyAlignment="1">
      <alignment horizontal="center" vertical="top" wrapText="1"/>
    </xf>
    <xf numFmtId="164" fontId="4" fillId="4" borderId="31" xfId="0" applyNumberFormat="1" applyFont="1" applyFill="1" applyBorder="1" applyAlignment="1">
      <alignment horizontal="center" vertical="top" wrapText="1"/>
    </xf>
    <xf numFmtId="164" fontId="1" fillId="4" borderId="36" xfId="0" applyNumberFormat="1" applyFont="1" applyFill="1" applyBorder="1" applyAlignment="1">
      <alignment horizontal="center" vertical="top" wrapText="1"/>
    </xf>
    <xf numFmtId="164" fontId="1" fillId="4" borderId="34" xfId="0" applyNumberFormat="1" applyFont="1" applyFill="1" applyBorder="1" applyAlignment="1">
      <alignment horizontal="center" vertical="top" wrapText="1"/>
    </xf>
    <xf numFmtId="164" fontId="5" fillId="4" borderId="57" xfId="0" applyNumberFormat="1" applyFont="1" applyFill="1" applyBorder="1" applyAlignment="1">
      <alignment horizontal="center" vertical="top" wrapText="1"/>
    </xf>
    <xf numFmtId="164" fontId="4" fillId="4" borderId="60" xfId="0" applyNumberFormat="1" applyFont="1" applyFill="1" applyBorder="1" applyAlignment="1">
      <alignment horizontal="center" vertical="top" wrapText="1"/>
    </xf>
    <xf numFmtId="164" fontId="4" fillId="0" borderId="64" xfId="0" applyNumberFormat="1" applyFont="1" applyFill="1" applyBorder="1" applyAlignment="1">
      <alignment horizontal="center" vertical="top" wrapText="1"/>
    </xf>
    <xf numFmtId="164" fontId="4" fillId="0" borderId="22" xfId="0" applyNumberFormat="1" applyFont="1" applyFill="1" applyBorder="1" applyAlignment="1">
      <alignment horizontal="center" vertical="top" wrapText="1"/>
    </xf>
    <xf numFmtId="164" fontId="4" fillId="0" borderId="3" xfId="0" applyNumberFormat="1" applyFont="1" applyFill="1" applyBorder="1" applyAlignment="1">
      <alignment horizontal="center" vertical="top" wrapText="1"/>
    </xf>
    <xf numFmtId="164" fontId="4" fillId="0" borderId="38" xfId="0" applyNumberFormat="1" applyFont="1" applyFill="1" applyBorder="1" applyAlignment="1">
      <alignment horizontal="center" vertical="top" wrapText="1"/>
    </xf>
    <xf numFmtId="164" fontId="4" fillId="0" borderId="32" xfId="0" applyNumberFormat="1" applyFont="1" applyFill="1" applyBorder="1" applyAlignment="1">
      <alignment horizontal="center" vertical="top" wrapText="1"/>
    </xf>
    <xf numFmtId="164" fontId="4" fillId="0" borderId="40" xfId="0" applyNumberFormat="1" applyFont="1" applyFill="1" applyBorder="1" applyAlignment="1">
      <alignment horizontal="center" vertical="top" wrapText="1"/>
    </xf>
    <xf numFmtId="164" fontId="4" fillId="0" borderId="31" xfId="0" applyNumberFormat="1" applyFont="1" applyFill="1" applyBorder="1" applyAlignment="1">
      <alignment horizontal="center" vertical="top" wrapText="1"/>
    </xf>
    <xf numFmtId="164" fontId="1" fillId="0" borderId="64" xfId="0" applyNumberFormat="1" applyFont="1" applyFill="1" applyBorder="1" applyAlignment="1">
      <alignment horizontal="center" vertical="top" wrapText="1"/>
    </xf>
    <xf numFmtId="164" fontId="1" fillId="0" borderId="22"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4" fontId="1" fillId="0" borderId="38" xfId="0" applyNumberFormat="1" applyFont="1" applyFill="1" applyBorder="1" applyAlignment="1">
      <alignment horizontal="center" vertical="top" wrapText="1"/>
    </xf>
    <xf numFmtId="164" fontId="1" fillId="0" borderId="32" xfId="0" applyNumberFormat="1" applyFont="1" applyFill="1" applyBorder="1" applyAlignment="1">
      <alignment horizontal="center" vertical="top" wrapText="1"/>
    </xf>
    <xf numFmtId="164" fontId="1" fillId="0" borderId="40"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31" xfId="0" applyNumberFormat="1" applyFont="1" applyFill="1" applyBorder="1" applyAlignment="1">
      <alignment horizontal="center" vertical="top" wrapText="1"/>
    </xf>
    <xf numFmtId="164" fontId="1" fillId="4" borderId="57" xfId="0" applyNumberFormat="1" applyFont="1" applyFill="1" applyBorder="1" applyAlignment="1">
      <alignment horizontal="center" vertical="top" wrapText="1"/>
    </xf>
    <xf numFmtId="164" fontId="1" fillId="4" borderId="60" xfId="0" applyNumberFormat="1" applyFont="1" applyFill="1" applyBorder="1" applyAlignment="1">
      <alignment horizontal="center" vertical="top" wrapText="1"/>
    </xf>
    <xf numFmtId="164" fontId="1" fillId="4" borderId="38" xfId="0" applyNumberFormat="1" applyFont="1" applyFill="1" applyBorder="1" applyAlignment="1">
      <alignment horizontal="center" vertical="top" wrapText="1"/>
    </xf>
    <xf numFmtId="164" fontId="2" fillId="2" borderId="72" xfId="0" applyNumberFormat="1" applyFont="1" applyFill="1" applyBorder="1" applyAlignment="1">
      <alignment horizontal="center" vertical="top" wrapText="1"/>
    </xf>
    <xf numFmtId="164" fontId="1" fillId="0" borderId="64" xfId="0" applyNumberFormat="1" applyFont="1" applyBorder="1" applyAlignment="1">
      <alignment horizontal="center" vertical="top" wrapText="1"/>
    </xf>
    <xf numFmtId="164" fontId="1" fillId="0" borderId="22" xfId="0" applyNumberFormat="1" applyFont="1" applyBorder="1" applyAlignment="1">
      <alignment horizontal="center" vertical="top" wrapText="1"/>
    </xf>
    <xf numFmtId="164" fontId="1" fillId="0" borderId="38" xfId="0" applyNumberFormat="1" applyFont="1" applyBorder="1" applyAlignment="1">
      <alignment horizontal="center" vertical="top" wrapText="1"/>
    </xf>
    <xf numFmtId="164" fontId="2" fillId="2" borderId="68" xfId="0" applyNumberFormat="1" applyFont="1" applyFill="1" applyBorder="1" applyAlignment="1">
      <alignment horizontal="center" vertical="top" wrapText="1"/>
    </xf>
    <xf numFmtId="164" fontId="1" fillId="3" borderId="38" xfId="0" applyNumberFormat="1" applyFont="1" applyFill="1" applyBorder="1" applyAlignment="1">
      <alignment horizontal="center" vertical="top" wrapText="1"/>
    </xf>
    <xf numFmtId="164" fontId="1" fillId="3" borderId="16" xfId="0" applyNumberFormat="1" applyFont="1" applyFill="1" applyBorder="1" applyAlignment="1">
      <alignment horizontal="center" vertical="top" wrapText="1"/>
    </xf>
    <xf numFmtId="164" fontId="1" fillId="3" borderId="13" xfId="0" applyNumberFormat="1" applyFont="1" applyFill="1" applyBorder="1" applyAlignment="1">
      <alignment horizontal="center" vertical="top" wrapText="1"/>
    </xf>
    <xf numFmtId="164" fontId="1" fillId="3" borderId="24" xfId="0" applyNumberFormat="1" applyFont="1" applyFill="1" applyBorder="1" applyAlignment="1">
      <alignment horizontal="center" vertical="top" wrapText="1"/>
    </xf>
    <xf numFmtId="164" fontId="1" fillId="3" borderId="60" xfId="0" applyNumberFormat="1" applyFont="1" applyFill="1" applyBorder="1" applyAlignment="1">
      <alignment horizontal="center" vertical="top" wrapText="1"/>
    </xf>
    <xf numFmtId="164" fontId="1" fillId="3" borderId="57" xfId="0" applyNumberFormat="1" applyFont="1" applyFill="1" applyBorder="1" applyAlignment="1">
      <alignment horizontal="center" vertical="top" wrapText="1"/>
    </xf>
    <xf numFmtId="164" fontId="1" fillId="3" borderId="42" xfId="0" applyNumberFormat="1" applyFont="1" applyFill="1" applyBorder="1" applyAlignment="1">
      <alignment horizontal="center" vertical="top" wrapText="1"/>
    </xf>
    <xf numFmtId="164" fontId="1" fillId="0" borderId="78" xfId="0" applyNumberFormat="1" applyFont="1" applyFill="1" applyBorder="1" applyAlignment="1">
      <alignment horizontal="center" vertical="top" wrapText="1"/>
    </xf>
    <xf numFmtId="164" fontId="5" fillId="5" borderId="45" xfId="0" applyNumberFormat="1" applyFont="1" applyFill="1" applyBorder="1" applyAlignment="1">
      <alignment horizontal="center" vertical="top" wrapText="1"/>
    </xf>
    <xf numFmtId="164" fontId="4" fillId="4" borderId="38" xfId="0" applyNumberFormat="1" applyFont="1" applyFill="1" applyBorder="1" applyAlignment="1">
      <alignment horizontal="center" vertical="top" wrapText="1"/>
    </xf>
    <xf numFmtId="164" fontId="4" fillId="4" borderId="22" xfId="0" applyNumberFormat="1" applyFont="1" applyFill="1" applyBorder="1" applyAlignment="1">
      <alignment horizontal="center" vertical="top" wrapText="1"/>
    </xf>
    <xf numFmtId="164" fontId="4" fillId="4" borderId="3" xfId="0" applyNumberFormat="1" applyFont="1" applyFill="1" applyBorder="1" applyAlignment="1">
      <alignment horizontal="center" vertical="top" wrapText="1"/>
    </xf>
    <xf numFmtId="164" fontId="4" fillId="4" borderId="41" xfId="0" applyNumberFormat="1" applyFont="1" applyFill="1" applyBorder="1" applyAlignment="1">
      <alignment horizontal="center" vertical="top" wrapText="1"/>
    </xf>
    <xf numFmtId="164" fontId="4" fillId="4" borderId="57" xfId="0" applyNumberFormat="1" applyFont="1" applyFill="1" applyBorder="1" applyAlignment="1">
      <alignment horizontal="center" vertical="top" wrapText="1"/>
    </xf>
    <xf numFmtId="164" fontId="2" fillId="2" borderId="76" xfId="0" applyNumberFormat="1" applyFont="1" applyFill="1" applyBorder="1" applyAlignment="1">
      <alignment horizontal="center" vertical="top" wrapText="1"/>
    </xf>
    <xf numFmtId="164" fontId="2" fillId="8" borderId="21" xfId="0" applyNumberFormat="1" applyFont="1" applyFill="1" applyBorder="1" applyAlignment="1">
      <alignment horizontal="center" vertical="top" wrapText="1"/>
    </xf>
    <xf numFmtId="164" fontId="2" fillId="8" borderId="43" xfId="0" applyNumberFormat="1" applyFont="1" applyFill="1" applyBorder="1" applyAlignment="1">
      <alignment horizontal="center" vertical="top" wrapText="1"/>
    </xf>
    <xf numFmtId="164" fontId="2" fillId="8" borderId="19" xfId="0" applyNumberFormat="1" applyFont="1" applyFill="1" applyBorder="1" applyAlignment="1">
      <alignment horizontal="center" vertical="top" wrapText="1"/>
    </xf>
    <xf numFmtId="164" fontId="2" fillId="8" borderId="69" xfId="0" applyNumberFormat="1" applyFont="1" applyFill="1" applyBorder="1" applyAlignment="1">
      <alignment horizontal="center" vertical="top" wrapText="1"/>
    </xf>
    <xf numFmtId="164" fontId="2" fillId="7" borderId="21" xfId="0" applyNumberFormat="1" applyFont="1" applyFill="1" applyBorder="1" applyAlignment="1">
      <alignment horizontal="center" vertical="top" wrapText="1"/>
    </xf>
    <xf numFmtId="164" fontId="2" fillId="7" borderId="43" xfId="0" applyNumberFormat="1" applyFont="1" applyFill="1" applyBorder="1" applyAlignment="1">
      <alignment horizontal="center" vertical="top" wrapText="1"/>
    </xf>
    <xf numFmtId="164" fontId="2" fillId="7" borderId="19" xfId="0" applyNumberFormat="1" applyFont="1" applyFill="1" applyBorder="1" applyAlignment="1">
      <alignment horizontal="center" vertical="top" wrapText="1"/>
    </xf>
    <xf numFmtId="164" fontId="2" fillId="7" borderId="69" xfId="0" applyNumberFormat="1" applyFont="1" applyFill="1" applyBorder="1" applyAlignment="1">
      <alignment horizontal="center" vertical="top" wrapText="1"/>
    </xf>
    <xf numFmtId="164" fontId="4" fillId="0" borderId="36" xfId="0" applyNumberFormat="1" applyFont="1" applyFill="1" applyBorder="1" applyAlignment="1">
      <alignment horizontal="center" vertical="top" wrapText="1"/>
    </xf>
    <xf numFmtId="164" fontId="4" fillId="0" borderId="41" xfId="0"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xf numFmtId="164" fontId="4" fillId="0" borderId="55" xfId="0" applyNumberFormat="1" applyFont="1" applyFill="1" applyBorder="1" applyAlignment="1">
      <alignment horizontal="center" vertical="top" wrapText="1"/>
    </xf>
    <xf numFmtId="164" fontId="5" fillId="7" borderId="1" xfId="0" applyNumberFormat="1" applyFont="1" applyFill="1" applyBorder="1" applyAlignment="1">
      <alignment horizontal="center" vertical="top" wrapText="1"/>
    </xf>
    <xf numFmtId="164" fontId="5" fillId="7" borderId="72" xfId="0" applyNumberFormat="1" applyFont="1" applyFill="1" applyBorder="1" applyAlignment="1">
      <alignment horizontal="center" vertical="top" wrapText="1"/>
    </xf>
    <xf numFmtId="164" fontId="5" fillId="5" borderId="1" xfId="0" applyNumberFormat="1" applyFont="1" applyFill="1" applyBorder="1" applyAlignment="1">
      <alignment horizontal="center" vertical="top" wrapText="1"/>
    </xf>
    <xf numFmtId="49" fontId="4" fillId="4" borderId="113" xfId="2" applyNumberFormat="1" applyFont="1" applyFill="1" applyBorder="1" applyAlignment="1">
      <alignment horizontal="center" vertical="top" wrapText="1"/>
    </xf>
    <xf numFmtId="164" fontId="4" fillId="12" borderId="0" xfId="2" applyNumberFormat="1" applyFont="1" applyFill="1" applyBorder="1" applyAlignment="1">
      <alignment horizontal="center" vertical="top"/>
    </xf>
    <xf numFmtId="3" fontId="2" fillId="4" borderId="31" xfId="0" applyNumberFormat="1" applyFont="1" applyFill="1" applyBorder="1" applyAlignment="1">
      <alignment horizontal="center" vertical="top" wrapText="1"/>
    </xf>
    <xf numFmtId="3" fontId="2" fillId="4" borderId="33" xfId="0" applyNumberFormat="1" applyFont="1" applyFill="1" applyBorder="1" applyAlignment="1">
      <alignment horizontal="center" vertical="top" wrapText="1"/>
    </xf>
    <xf numFmtId="164" fontId="4" fillId="4" borderId="19" xfId="0" applyNumberFormat="1" applyFont="1" applyFill="1" applyBorder="1" applyAlignment="1">
      <alignment horizontal="center" vertical="top"/>
    </xf>
    <xf numFmtId="164" fontId="4" fillId="4" borderId="56" xfId="0" applyNumberFormat="1" applyFont="1" applyFill="1" applyBorder="1" applyAlignment="1">
      <alignment horizontal="center" vertical="top"/>
    </xf>
    <xf numFmtId="164" fontId="4" fillId="4" borderId="69" xfId="0" applyNumberFormat="1" applyFont="1" applyFill="1" applyBorder="1" applyAlignment="1">
      <alignment horizontal="center" vertical="top"/>
    </xf>
    <xf numFmtId="3" fontId="4" fillId="4" borderId="47" xfId="0" applyNumberFormat="1" applyFont="1" applyFill="1" applyBorder="1" applyAlignment="1">
      <alignment horizontal="left" vertical="top" wrapText="1"/>
    </xf>
    <xf numFmtId="164" fontId="4" fillId="4" borderId="52" xfId="0" applyNumberFormat="1" applyFont="1" applyFill="1" applyBorder="1" applyAlignment="1">
      <alignment horizontal="center" vertical="top" wrapText="1"/>
    </xf>
    <xf numFmtId="3" fontId="1" fillId="4" borderId="35" xfId="0" applyNumberFormat="1" applyFont="1" applyFill="1" applyBorder="1" applyAlignment="1">
      <alignment horizontal="center" vertical="top"/>
    </xf>
    <xf numFmtId="3" fontId="1" fillId="4" borderId="48" xfId="0" applyNumberFormat="1" applyFont="1" applyFill="1" applyBorder="1" applyAlignment="1">
      <alignment horizontal="center" vertical="top"/>
    </xf>
    <xf numFmtId="3" fontId="5" fillId="4" borderId="59" xfId="0" applyNumberFormat="1" applyFont="1" applyFill="1" applyBorder="1" applyAlignment="1">
      <alignment vertical="top" wrapText="1"/>
    </xf>
    <xf numFmtId="164" fontId="4" fillId="4" borderId="73" xfId="0" applyNumberFormat="1" applyFont="1" applyFill="1" applyBorder="1" applyAlignment="1">
      <alignment horizontal="center" vertical="top"/>
    </xf>
    <xf numFmtId="3" fontId="2" fillId="0" borderId="64" xfId="0" applyNumberFormat="1" applyFont="1" applyFill="1" applyBorder="1" applyAlignment="1">
      <alignment horizontal="center" vertical="top" textRotation="90" wrapText="1"/>
    </xf>
    <xf numFmtId="3" fontId="2" fillId="4" borderId="32" xfId="0" applyNumberFormat="1" applyFont="1" applyFill="1" applyBorder="1" applyAlignment="1">
      <alignment horizontal="center" vertical="top" textRotation="90" wrapText="1"/>
    </xf>
    <xf numFmtId="164" fontId="4" fillId="12" borderId="146" xfId="2" applyNumberFormat="1" applyFont="1" applyFill="1" applyBorder="1" applyAlignment="1">
      <alignment horizontal="center" vertical="top"/>
    </xf>
    <xf numFmtId="49" fontId="4" fillId="3" borderId="33" xfId="0" applyNumberFormat="1" applyFont="1" applyFill="1" applyBorder="1" applyAlignment="1">
      <alignment horizontal="center" vertical="top"/>
    </xf>
    <xf numFmtId="164" fontId="4" fillId="4" borderId="33" xfId="0" applyNumberFormat="1" applyFont="1" applyFill="1" applyBorder="1" applyAlignment="1">
      <alignment horizontal="center" vertical="top"/>
    </xf>
    <xf numFmtId="164" fontId="2" fillId="4" borderId="37" xfId="0" applyNumberFormat="1" applyFont="1" applyFill="1" applyBorder="1" applyAlignment="1">
      <alignment horizontal="center" vertical="top"/>
    </xf>
    <xf numFmtId="164" fontId="2" fillId="4" borderId="53" xfId="0" applyNumberFormat="1" applyFont="1" applyFill="1" applyBorder="1" applyAlignment="1">
      <alignment vertical="top"/>
    </xf>
    <xf numFmtId="3" fontId="1" fillId="0" borderId="16" xfId="0" applyNumberFormat="1" applyFont="1" applyBorder="1" applyAlignment="1">
      <alignment horizontal="center" vertical="top"/>
    </xf>
    <xf numFmtId="164" fontId="1" fillId="4" borderId="30" xfId="0" applyNumberFormat="1" applyFont="1" applyFill="1" applyBorder="1" applyAlignment="1">
      <alignment horizontal="center" vertical="top"/>
    </xf>
    <xf numFmtId="3" fontId="1" fillId="4" borderId="29" xfId="0" applyNumberFormat="1" applyFont="1" applyFill="1" applyBorder="1" applyAlignment="1">
      <alignment horizontal="left" vertical="top" wrapText="1"/>
    </xf>
    <xf numFmtId="3" fontId="2" fillId="0" borderId="31" xfId="0" applyNumberFormat="1" applyFont="1" applyFill="1" applyBorder="1" applyAlignment="1">
      <alignment horizontal="center" vertical="top" wrapText="1"/>
    </xf>
    <xf numFmtId="165" fontId="4" fillId="4" borderId="0" xfId="0" applyNumberFormat="1" applyFont="1" applyFill="1" applyBorder="1" applyAlignment="1">
      <alignment horizontal="center" vertical="top" wrapText="1"/>
    </xf>
    <xf numFmtId="3" fontId="2" fillId="4" borderId="0" xfId="0" applyNumberFormat="1" applyFont="1" applyFill="1" applyBorder="1" applyAlignment="1">
      <alignment horizontal="center" vertical="top" wrapText="1"/>
    </xf>
    <xf numFmtId="3" fontId="1" fillId="4" borderId="13" xfId="0" applyNumberFormat="1" applyFont="1" applyFill="1" applyBorder="1" applyAlignment="1">
      <alignment horizontal="center" vertical="top" wrapText="1"/>
    </xf>
    <xf numFmtId="3" fontId="5" fillId="4" borderId="31" xfId="0" applyNumberFormat="1" applyFont="1" applyFill="1" applyBorder="1" applyAlignment="1">
      <alignment horizontal="center" vertical="top" wrapText="1"/>
    </xf>
    <xf numFmtId="164" fontId="4" fillId="12" borderId="83" xfId="2" applyNumberFormat="1" applyFont="1" applyFill="1" applyBorder="1" applyAlignment="1">
      <alignment horizontal="center" vertical="top"/>
    </xf>
    <xf numFmtId="164" fontId="4" fillId="12" borderId="78" xfId="2" applyNumberFormat="1" applyFont="1" applyFill="1" applyBorder="1" applyAlignment="1">
      <alignment horizontal="center" vertical="top"/>
    </xf>
    <xf numFmtId="164" fontId="4" fillId="12" borderId="3" xfId="2" applyNumberFormat="1" applyFont="1" applyFill="1" applyBorder="1" applyAlignment="1">
      <alignment horizontal="center" vertical="top"/>
    </xf>
    <xf numFmtId="164" fontId="4" fillId="12" borderId="79" xfId="2" applyNumberFormat="1" applyFont="1" applyFill="1" applyBorder="1" applyAlignment="1">
      <alignment horizontal="center" vertical="top"/>
    </xf>
    <xf numFmtId="164" fontId="4" fillId="12" borderId="50" xfId="2" applyNumberFormat="1" applyFont="1" applyFill="1" applyBorder="1" applyAlignment="1">
      <alignment horizontal="center" vertical="top"/>
    </xf>
    <xf numFmtId="3" fontId="5" fillId="0" borderId="67" xfId="0" applyNumberFormat="1" applyFont="1" applyBorder="1" applyAlignment="1">
      <alignment horizontal="center" vertical="top" wrapText="1"/>
    </xf>
    <xf numFmtId="49" fontId="4" fillId="4" borderId="64" xfId="0" applyNumberFormat="1" applyFont="1" applyFill="1" applyBorder="1" applyAlignment="1">
      <alignment horizontal="center" vertical="top" wrapText="1"/>
    </xf>
    <xf numFmtId="3" fontId="2" fillId="4" borderId="3" xfId="0" applyNumberFormat="1" applyFont="1" applyFill="1" applyBorder="1" applyAlignment="1">
      <alignment horizontal="center" vertical="top" wrapText="1"/>
    </xf>
    <xf numFmtId="3" fontId="1" fillId="4" borderId="35" xfId="0" applyNumberFormat="1" applyFont="1" applyFill="1" applyBorder="1" applyAlignment="1">
      <alignment horizontal="left" vertical="top" wrapText="1"/>
    </xf>
    <xf numFmtId="49" fontId="4" fillId="15" borderId="101" xfId="2" applyNumberFormat="1" applyFont="1" applyFill="1" applyBorder="1" applyAlignment="1">
      <alignment horizontal="center" vertical="top"/>
    </xf>
    <xf numFmtId="164" fontId="4" fillId="15" borderId="27" xfId="2" applyNumberFormat="1" applyFont="1" applyFill="1" applyBorder="1" applyAlignment="1">
      <alignment horizontal="center" vertical="top" wrapText="1"/>
    </xf>
    <xf numFmtId="49" fontId="4" fillId="4" borderId="13" xfId="0" applyNumberFormat="1" applyFont="1" applyFill="1" applyBorder="1" applyAlignment="1">
      <alignment horizontal="center" vertical="top" wrapText="1"/>
    </xf>
    <xf numFmtId="3" fontId="1" fillId="4" borderId="137" xfId="0" applyNumberFormat="1" applyFont="1" applyFill="1" applyBorder="1" applyAlignment="1">
      <alignment horizontal="center" vertical="top"/>
    </xf>
    <xf numFmtId="3" fontId="1" fillId="4" borderId="138" xfId="0" applyNumberFormat="1" applyFont="1" applyFill="1" applyBorder="1" applyAlignment="1">
      <alignment horizontal="center" vertical="top"/>
    </xf>
    <xf numFmtId="3" fontId="4" fillId="4" borderId="33" xfId="0" applyNumberFormat="1" applyFont="1" applyFill="1" applyBorder="1" applyAlignment="1">
      <alignment horizontal="center" vertical="top" wrapText="1"/>
    </xf>
    <xf numFmtId="3" fontId="4" fillId="4" borderId="70" xfId="0" applyNumberFormat="1" applyFont="1" applyFill="1" applyBorder="1" applyAlignment="1">
      <alignment horizontal="center" vertical="top" wrapText="1"/>
    </xf>
    <xf numFmtId="164" fontId="1" fillId="4" borderId="142" xfId="0" applyNumberFormat="1" applyFont="1" applyFill="1" applyBorder="1" applyAlignment="1">
      <alignment vertical="top"/>
    </xf>
    <xf numFmtId="164" fontId="1" fillId="4" borderId="0" xfId="0" applyNumberFormat="1" applyFont="1" applyFill="1" applyBorder="1" applyAlignment="1">
      <alignment vertical="top"/>
    </xf>
    <xf numFmtId="3" fontId="1" fillId="4" borderId="147" xfId="0" applyNumberFormat="1" applyFont="1" applyFill="1" applyBorder="1" applyAlignment="1">
      <alignment horizontal="center" vertical="top"/>
    </xf>
    <xf numFmtId="3" fontId="1" fillId="0" borderId="21" xfId="0" applyNumberFormat="1" applyFont="1" applyFill="1" applyBorder="1" applyAlignment="1">
      <alignment horizontal="center" vertical="top" wrapText="1"/>
    </xf>
    <xf numFmtId="165" fontId="4" fillId="4" borderId="61" xfId="0" applyNumberFormat="1" applyFont="1" applyFill="1" applyBorder="1" applyAlignment="1">
      <alignment horizontal="center" vertical="top" wrapText="1"/>
    </xf>
    <xf numFmtId="165" fontId="4" fillId="4" borderId="17" xfId="0" applyNumberFormat="1" applyFont="1" applyFill="1" applyBorder="1" applyAlignment="1">
      <alignment horizontal="center" vertical="top" wrapText="1"/>
    </xf>
    <xf numFmtId="49" fontId="4" fillId="13" borderId="149" xfId="2" applyNumberFormat="1" applyFont="1" applyFill="1" applyBorder="1" applyAlignment="1">
      <alignment horizontal="center" vertical="top" wrapText="1"/>
    </xf>
    <xf numFmtId="164" fontId="4" fillId="4" borderId="150" xfId="2" applyNumberFormat="1" applyFont="1" applyFill="1" applyBorder="1" applyAlignment="1">
      <alignment horizontal="center" vertical="top"/>
    </xf>
    <xf numFmtId="164" fontId="4" fillId="13" borderId="20" xfId="2" applyNumberFormat="1" applyFont="1" applyFill="1" applyBorder="1" applyAlignment="1">
      <alignment horizontal="center" vertical="top"/>
    </xf>
    <xf numFmtId="164" fontId="4" fillId="13" borderId="75" xfId="2" applyNumberFormat="1" applyFont="1" applyFill="1" applyBorder="1" applyAlignment="1">
      <alignment horizontal="center" vertical="top"/>
    </xf>
    <xf numFmtId="164" fontId="4" fillId="13" borderId="43" xfId="2" applyNumberFormat="1" applyFont="1" applyFill="1" applyBorder="1" applyAlignment="1">
      <alignment horizontal="center" vertical="top"/>
    </xf>
    <xf numFmtId="3" fontId="4" fillId="4" borderId="26" xfId="0" applyNumberFormat="1" applyFont="1" applyFill="1" applyBorder="1" applyAlignment="1">
      <alignment horizontal="center" vertical="top" wrapText="1"/>
    </xf>
    <xf numFmtId="49" fontId="1" fillId="4" borderId="59" xfId="0" applyNumberFormat="1" applyFont="1" applyFill="1" applyBorder="1" applyAlignment="1">
      <alignment horizontal="center" vertical="top" wrapText="1"/>
    </xf>
    <xf numFmtId="49" fontId="1" fillId="4" borderId="28" xfId="0" applyNumberFormat="1" applyFont="1" applyFill="1" applyBorder="1" applyAlignment="1">
      <alignment horizontal="center" vertical="top" wrapText="1"/>
    </xf>
    <xf numFmtId="164" fontId="1" fillId="4" borderId="66" xfId="0" applyNumberFormat="1" applyFont="1" applyFill="1" applyBorder="1" applyAlignment="1">
      <alignment horizontal="center" vertical="top"/>
    </xf>
    <xf numFmtId="164" fontId="1" fillId="4" borderId="33" xfId="0" applyNumberFormat="1" applyFont="1" applyFill="1" applyBorder="1" applyAlignment="1">
      <alignment horizontal="center" vertical="top"/>
    </xf>
    <xf numFmtId="0" fontId="1" fillId="0" borderId="61" xfId="0" applyFont="1" applyFill="1" applyBorder="1" applyAlignment="1">
      <alignment horizontal="center" vertical="top" wrapText="1"/>
    </xf>
    <xf numFmtId="164" fontId="1" fillId="4" borderId="61" xfId="0" applyNumberFormat="1" applyFont="1" applyFill="1" applyBorder="1" applyAlignment="1">
      <alignment horizontal="center" vertical="top"/>
    </xf>
    <xf numFmtId="164" fontId="1" fillId="3" borderId="52" xfId="0" applyNumberFormat="1" applyFont="1" applyFill="1" applyBorder="1" applyAlignment="1">
      <alignment horizontal="center" vertical="top"/>
    </xf>
    <xf numFmtId="164" fontId="4" fillId="12" borderId="77" xfId="2" applyNumberFormat="1" applyFont="1" applyFill="1" applyBorder="1" applyAlignment="1">
      <alignment horizontal="center" vertical="top"/>
    </xf>
    <xf numFmtId="164" fontId="4" fillId="12" borderId="26" xfId="2" applyNumberFormat="1" applyFont="1" applyFill="1" applyBorder="1" applyAlignment="1">
      <alignment horizontal="center" vertical="top"/>
    </xf>
    <xf numFmtId="164" fontId="2" fillId="4" borderId="51" xfId="0" applyNumberFormat="1" applyFont="1" applyFill="1" applyBorder="1" applyAlignment="1">
      <alignment vertical="top"/>
    </xf>
    <xf numFmtId="49" fontId="4" fillId="16" borderId="90" xfId="2" applyNumberFormat="1" applyFont="1" applyFill="1" applyBorder="1" applyAlignment="1">
      <alignment horizontal="center" vertical="top"/>
    </xf>
    <xf numFmtId="49" fontId="4" fillId="15" borderId="90" xfId="2" applyNumberFormat="1" applyFont="1" applyFill="1" applyBorder="1" applyAlignment="1">
      <alignment horizontal="center" vertical="top"/>
    </xf>
    <xf numFmtId="49" fontId="4" fillId="0" borderId="99" xfId="2" applyNumberFormat="1" applyFont="1" applyFill="1" applyBorder="1" applyAlignment="1">
      <alignment horizontal="center" vertical="top"/>
    </xf>
    <xf numFmtId="49" fontId="4" fillId="0" borderId="90" xfId="2" applyNumberFormat="1" applyFont="1" applyFill="1" applyBorder="1" applyAlignment="1">
      <alignment horizontal="center" vertical="top"/>
    </xf>
    <xf numFmtId="3" fontId="4" fillId="4" borderId="31" xfId="0" applyNumberFormat="1" applyFont="1" applyFill="1" applyBorder="1" applyAlignment="1">
      <alignment horizontal="center" vertical="top" wrapText="1"/>
    </xf>
    <xf numFmtId="3" fontId="4" fillId="4" borderId="18" xfId="0" quotePrefix="1" applyNumberFormat="1" applyFont="1" applyFill="1" applyBorder="1" applyAlignment="1">
      <alignment horizontal="center" vertical="top" wrapText="1"/>
    </xf>
    <xf numFmtId="3" fontId="4" fillId="4" borderId="32" xfId="0" applyNumberFormat="1" applyFont="1" applyFill="1" applyBorder="1" applyAlignment="1">
      <alignment vertical="top" wrapText="1"/>
    </xf>
    <xf numFmtId="3" fontId="5" fillId="4" borderId="68" xfId="0" applyNumberFormat="1" applyFont="1" applyFill="1" applyBorder="1" applyAlignment="1">
      <alignment vertical="top" wrapText="1"/>
    </xf>
    <xf numFmtId="3" fontId="5" fillId="4" borderId="33" xfId="0" applyNumberFormat="1" applyFont="1" applyFill="1" applyBorder="1" applyAlignment="1">
      <alignment horizontal="center" vertical="top" wrapText="1"/>
    </xf>
    <xf numFmtId="3" fontId="4" fillId="4" borderId="6" xfId="0" applyNumberFormat="1" applyFont="1" applyFill="1" applyBorder="1" applyAlignment="1">
      <alignment vertical="top" wrapText="1"/>
    </xf>
    <xf numFmtId="164" fontId="4" fillId="4" borderId="36" xfId="0" applyNumberFormat="1" applyFont="1" applyFill="1" applyBorder="1" applyAlignment="1">
      <alignment horizontal="center" vertical="top" wrapText="1"/>
    </xf>
    <xf numFmtId="3" fontId="4" fillId="0" borderId="26" xfId="0" applyNumberFormat="1" applyFont="1" applyFill="1" applyBorder="1" applyAlignment="1">
      <alignment horizontal="center" vertical="top"/>
    </xf>
    <xf numFmtId="3" fontId="1" fillId="4" borderId="37" xfId="0" applyNumberFormat="1" applyFont="1" applyFill="1" applyBorder="1" applyAlignment="1">
      <alignment horizontal="left" vertical="top" wrapText="1"/>
    </xf>
    <xf numFmtId="167" fontId="4" fillId="9" borderId="116" xfId="2" applyNumberFormat="1" applyFont="1" applyFill="1" applyBorder="1" applyAlignment="1">
      <alignment horizontal="center" vertical="top" wrapText="1"/>
    </xf>
    <xf numFmtId="167" fontId="4" fillId="9" borderId="16" xfId="2" applyNumberFormat="1" applyFont="1" applyFill="1" applyBorder="1" applyAlignment="1">
      <alignment horizontal="center" vertical="top" wrapText="1"/>
    </xf>
    <xf numFmtId="167" fontId="4" fillId="9" borderId="117" xfId="2" applyNumberFormat="1" applyFont="1" applyFill="1" applyBorder="1" applyAlignment="1">
      <alignment horizontal="center" vertical="top" wrapText="1"/>
    </xf>
    <xf numFmtId="167" fontId="4" fillId="9" borderId="96" xfId="2" applyNumberFormat="1" applyFont="1" applyFill="1" applyBorder="1" applyAlignment="1">
      <alignment horizontal="center" vertical="top" wrapText="1"/>
    </xf>
    <xf numFmtId="167" fontId="4" fillId="9" borderId="62" xfId="2" applyNumberFormat="1" applyFont="1" applyFill="1" applyBorder="1" applyAlignment="1">
      <alignment horizontal="center" vertical="top" wrapText="1"/>
    </xf>
    <xf numFmtId="167" fontId="4" fillId="9" borderId="108" xfId="2" applyNumberFormat="1" applyFont="1" applyFill="1" applyBorder="1" applyAlignment="1">
      <alignment horizontal="center" vertical="top" wrapText="1"/>
    </xf>
    <xf numFmtId="167" fontId="4" fillId="9" borderId="91" xfId="2" applyNumberFormat="1" applyFont="1" applyFill="1" applyBorder="1" applyAlignment="1">
      <alignment horizontal="center" vertical="top" wrapText="1"/>
    </xf>
    <xf numFmtId="167" fontId="4" fillId="9" borderId="17" xfId="2" applyNumberFormat="1" applyFont="1" applyFill="1" applyBorder="1" applyAlignment="1">
      <alignment horizontal="center" vertical="top" wrapText="1"/>
    </xf>
    <xf numFmtId="167" fontId="4" fillId="9" borderId="89" xfId="2" applyNumberFormat="1" applyFont="1" applyFill="1" applyBorder="1" applyAlignment="1">
      <alignment horizontal="center" vertical="top" wrapText="1"/>
    </xf>
    <xf numFmtId="167" fontId="4" fillId="9" borderId="91" xfId="2" applyNumberFormat="1" applyFont="1" applyFill="1" applyBorder="1" applyAlignment="1">
      <alignment horizontal="center" vertical="top"/>
    </xf>
    <xf numFmtId="167" fontId="4" fillId="9" borderId="113" xfId="2" applyNumberFormat="1" applyFont="1" applyFill="1" applyBorder="1" applyAlignment="1">
      <alignment horizontal="center" vertical="top"/>
    </xf>
    <xf numFmtId="167" fontId="4" fillId="9" borderId="89" xfId="2" applyNumberFormat="1" applyFont="1" applyFill="1" applyBorder="1" applyAlignment="1">
      <alignment horizontal="center" vertical="top"/>
    </xf>
    <xf numFmtId="164" fontId="4" fillId="4" borderId="7" xfId="2" applyNumberFormat="1" applyFont="1" applyFill="1" applyBorder="1" applyAlignment="1">
      <alignment horizontal="center"/>
    </xf>
    <xf numFmtId="167" fontId="4" fillId="9" borderId="94" xfId="2" applyNumberFormat="1" applyFont="1" applyFill="1" applyBorder="1" applyAlignment="1">
      <alignment horizontal="center" vertical="top"/>
    </xf>
    <xf numFmtId="167" fontId="4" fillId="9" borderId="105" xfId="2" applyNumberFormat="1" applyFont="1" applyFill="1" applyBorder="1" applyAlignment="1">
      <alignment horizontal="center" vertical="top"/>
    </xf>
    <xf numFmtId="167" fontId="4" fillId="9" borderId="92" xfId="2" applyNumberFormat="1" applyFont="1" applyFill="1" applyBorder="1" applyAlignment="1">
      <alignment horizontal="center" vertical="top"/>
    </xf>
    <xf numFmtId="164" fontId="4" fillId="4" borderId="93" xfId="2" applyNumberFormat="1" applyFont="1" applyFill="1" applyBorder="1" applyAlignment="1">
      <alignment horizontal="center"/>
    </xf>
    <xf numFmtId="166" fontId="4" fillId="9" borderId="120" xfId="2" applyFont="1" applyFill="1" applyBorder="1" applyAlignment="1">
      <alignment vertical="center" wrapText="1"/>
    </xf>
    <xf numFmtId="167" fontId="4" fillId="9" borderId="145" xfId="2" applyNumberFormat="1" applyFont="1" applyFill="1" applyBorder="1" applyAlignment="1">
      <alignment horizontal="center" vertical="top" wrapText="1"/>
    </xf>
    <xf numFmtId="167" fontId="4" fillId="9" borderId="16" xfId="2" applyNumberFormat="1" applyFont="1" applyFill="1" applyBorder="1" applyAlignment="1">
      <alignment horizontal="center" vertical="top"/>
    </xf>
    <xf numFmtId="167" fontId="4" fillId="9" borderId="117" xfId="2" applyNumberFormat="1" applyFont="1" applyFill="1" applyBorder="1" applyAlignment="1">
      <alignment horizontal="center" vertical="top"/>
    </xf>
    <xf numFmtId="164" fontId="4" fillId="4" borderId="121" xfId="2" applyNumberFormat="1" applyFont="1" applyFill="1" applyBorder="1" applyAlignment="1">
      <alignment horizontal="center"/>
    </xf>
    <xf numFmtId="168" fontId="4" fillId="9" borderId="126" xfId="2" applyNumberFormat="1" applyFont="1" applyFill="1" applyBorder="1" applyAlignment="1">
      <alignment vertical="top" wrapText="1"/>
    </xf>
    <xf numFmtId="166" fontId="16" fillId="9" borderId="84" xfId="2" applyFont="1" applyFill="1" applyBorder="1" applyAlignment="1">
      <alignment horizontal="center" vertical="top"/>
    </xf>
    <xf numFmtId="167" fontId="4" fillId="9" borderId="126" xfId="2" applyNumberFormat="1" applyFont="1" applyFill="1" applyBorder="1" applyAlignment="1">
      <alignment horizontal="center" vertical="top"/>
    </xf>
    <xf numFmtId="167" fontId="4" fillId="9" borderId="86" xfId="2" applyNumberFormat="1" applyFont="1" applyFill="1" applyBorder="1" applyAlignment="1">
      <alignment horizontal="center" vertical="top"/>
    </xf>
    <xf numFmtId="3" fontId="4" fillId="4" borderId="127" xfId="2" applyNumberFormat="1" applyFont="1" applyFill="1" applyBorder="1" applyAlignment="1">
      <alignment horizontal="center" vertical="top"/>
    </xf>
    <xf numFmtId="164" fontId="4" fillId="4" borderId="149" xfId="2" applyNumberFormat="1" applyFont="1" applyFill="1" applyBorder="1" applyAlignment="1"/>
    <xf numFmtId="164" fontId="4" fillId="4" borderId="151" xfId="2" applyNumberFormat="1" applyFont="1" applyFill="1" applyBorder="1" applyAlignment="1"/>
    <xf numFmtId="164" fontId="4" fillId="4" borderId="149" xfId="2" applyNumberFormat="1" applyFont="1" applyFill="1" applyBorder="1" applyAlignment="1">
      <alignment horizontal="center"/>
    </xf>
    <xf numFmtId="164" fontId="4" fillId="4" borderId="152" xfId="2" applyNumberFormat="1" applyFont="1" applyFill="1" applyBorder="1" applyAlignment="1">
      <alignment horizontal="center"/>
    </xf>
    <xf numFmtId="164" fontId="4" fillId="4" borderId="151" xfId="2" applyNumberFormat="1" applyFont="1" applyFill="1" applyBorder="1" applyAlignment="1">
      <alignment horizontal="center"/>
    </xf>
    <xf numFmtId="168" fontId="4" fillId="9" borderId="109" xfId="2" applyNumberFormat="1" applyFont="1" applyFill="1" applyBorder="1" applyAlignment="1">
      <alignment vertical="top" wrapText="1"/>
    </xf>
    <xf numFmtId="166" fontId="4" fillId="9" borderId="94" xfId="2" applyFont="1" applyFill="1" applyBorder="1" applyAlignment="1">
      <alignment horizontal="center" vertical="top"/>
    </xf>
    <xf numFmtId="167" fontId="4" fillId="9" borderId="109" xfId="2" applyNumberFormat="1" applyFont="1" applyFill="1" applyBorder="1" applyAlignment="1">
      <alignment horizontal="center" vertical="top"/>
    </xf>
    <xf numFmtId="167" fontId="4" fillId="9" borderId="81" xfId="2" applyNumberFormat="1" applyFont="1" applyFill="1" applyBorder="1" applyAlignment="1">
      <alignment vertical="top" wrapText="1"/>
    </xf>
    <xf numFmtId="167" fontId="4" fillId="9" borderId="82" xfId="2" applyNumberFormat="1" applyFont="1" applyFill="1" applyBorder="1" applyAlignment="1">
      <alignment horizontal="center" vertical="top" wrapText="1"/>
    </xf>
    <xf numFmtId="167" fontId="4" fillId="9" borderId="81" xfId="2" applyNumberFormat="1" applyFont="1" applyFill="1" applyBorder="1" applyAlignment="1">
      <alignment horizontal="center" vertical="top" wrapText="1"/>
    </xf>
    <xf numFmtId="167" fontId="4" fillId="9" borderId="88" xfId="2" applyNumberFormat="1" applyFont="1" applyFill="1" applyBorder="1" applyAlignment="1">
      <alignment horizontal="center" vertical="top" wrapText="1"/>
    </xf>
    <xf numFmtId="164" fontId="4" fillId="4" borderId="85" xfId="2" applyNumberFormat="1" applyFont="1" applyFill="1" applyBorder="1" applyAlignment="1">
      <alignment horizontal="center"/>
    </xf>
    <xf numFmtId="167" fontId="4" fillId="9" borderId="110" xfId="2" applyNumberFormat="1" applyFont="1" applyFill="1" applyBorder="1" applyAlignment="1">
      <alignment vertical="top" wrapText="1"/>
    </xf>
    <xf numFmtId="167" fontId="4" fillId="9" borderId="84" xfId="2" applyNumberFormat="1" applyFont="1" applyFill="1" applyBorder="1" applyAlignment="1">
      <alignment horizontal="center" vertical="top" wrapText="1"/>
    </xf>
    <xf numFmtId="167" fontId="4" fillId="9" borderId="126" xfId="2" applyNumberFormat="1" applyFont="1" applyFill="1" applyBorder="1" applyAlignment="1">
      <alignment horizontal="center" vertical="top" wrapText="1"/>
    </xf>
    <xf numFmtId="167" fontId="4" fillId="9" borderId="86" xfId="2" applyNumberFormat="1" applyFont="1" applyFill="1" applyBorder="1" applyAlignment="1">
      <alignment horizontal="center" vertical="top" wrapText="1"/>
    </xf>
    <xf numFmtId="164" fontId="4" fillId="9" borderId="116" xfId="2" applyNumberFormat="1" applyFont="1" applyFill="1" applyBorder="1" applyAlignment="1"/>
    <xf numFmtId="167" fontId="4" fillId="9" borderId="114" xfId="2" applyNumberFormat="1" applyFont="1" applyFill="1" applyBorder="1" applyAlignment="1">
      <alignment horizontal="center" vertical="top" wrapText="1"/>
    </xf>
    <xf numFmtId="164" fontId="4" fillId="9" borderId="91" xfId="2" applyNumberFormat="1" applyFont="1" applyFill="1" applyBorder="1" applyAlignment="1"/>
    <xf numFmtId="167" fontId="4" fillId="9" borderId="113" xfId="2" applyNumberFormat="1" applyFont="1" applyFill="1" applyBorder="1" applyAlignment="1">
      <alignment horizontal="center" vertical="top" wrapText="1"/>
    </xf>
    <xf numFmtId="164" fontId="4" fillId="9" borderId="111" xfId="2" applyNumberFormat="1" applyFont="1" applyFill="1" applyBorder="1" applyAlignment="1">
      <alignment wrapText="1"/>
    </xf>
    <xf numFmtId="164" fontId="4" fillId="9" borderId="107" xfId="2" applyNumberFormat="1" applyFont="1" applyFill="1" applyBorder="1" applyAlignment="1"/>
    <xf numFmtId="167" fontId="4" fillId="9" borderId="111" xfId="2" applyNumberFormat="1" applyFont="1" applyFill="1" applyBorder="1" applyAlignment="1">
      <alignment horizontal="center" vertical="top" wrapText="1"/>
    </xf>
    <xf numFmtId="167" fontId="4" fillId="9" borderId="106" xfId="2" applyNumberFormat="1" applyFont="1" applyFill="1" applyBorder="1" applyAlignment="1">
      <alignment horizontal="center" vertical="top" wrapText="1"/>
    </xf>
    <xf numFmtId="167" fontId="4" fillId="9" borderId="107" xfId="2" applyNumberFormat="1" applyFont="1" applyFill="1" applyBorder="1" applyAlignment="1">
      <alignment horizontal="center" vertical="top" wrapText="1"/>
    </xf>
    <xf numFmtId="164" fontId="4" fillId="4" borderId="37" xfId="0" applyNumberFormat="1" applyFont="1" applyFill="1" applyBorder="1" applyAlignment="1">
      <alignment horizontal="center" vertical="top" wrapText="1"/>
    </xf>
    <xf numFmtId="164" fontId="4" fillId="4" borderId="27" xfId="0" applyNumberFormat="1" applyFont="1" applyFill="1" applyBorder="1" applyAlignment="1">
      <alignment horizontal="center" vertical="top" wrapText="1"/>
    </xf>
    <xf numFmtId="164" fontId="1" fillId="0" borderId="36" xfId="0" applyNumberFormat="1" applyFont="1" applyBorder="1" applyAlignment="1">
      <alignment vertical="top" wrapText="1"/>
    </xf>
    <xf numFmtId="49" fontId="1" fillId="4" borderId="17" xfId="0" applyNumberFormat="1" applyFont="1" applyFill="1" applyBorder="1" applyAlignment="1">
      <alignment horizontal="center" vertical="top" wrapText="1"/>
    </xf>
    <xf numFmtId="49" fontId="1" fillId="4" borderId="18" xfId="0" applyNumberFormat="1" applyFont="1" applyFill="1" applyBorder="1" applyAlignment="1">
      <alignment horizontal="center" vertical="top" wrapText="1"/>
    </xf>
    <xf numFmtId="49" fontId="1" fillId="4" borderId="7" xfId="0" applyNumberFormat="1" applyFont="1" applyFill="1" applyBorder="1" applyAlignment="1">
      <alignment horizontal="center" vertical="top" wrapText="1"/>
    </xf>
    <xf numFmtId="3" fontId="1" fillId="4" borderId="5" xfId="0" applyNumberFormat="1" applyFont="1" applyFill="1" applyBorder="1" applyAlignment="1">
      <alignment horizontal="center" vertical="top" wrapText="1"/>
    </xf>
    <xf numFmtId="167" fontId="4" fillId="11" borderId="62" xfId="2" applyNumberFormat="1" applyFont="1" applyFill="1" applyBorder="1" applyAlignment="1">
      <alignment horizontal="center" vertical="top"/>
    </xf>
    <xf numFmtId="167" fontId="4" fillId="11" borderId="108" xfId="2" applyNumberFormat="1" applyFont="1" applyFill="1" applyBorder="1" applyAlignment="1">
      <alignment horizontal="center" vertical="top"/>
    </xf>
    <xf numFmtId="167" fontId="4" fillId="11" borderId="0" xfId="2" applyNumberFormat="1" applyFont="1" applyFill="1" applyBorder="1" applyAlignment="1">
      <alignment horizontal="left" vertical="top" wrapText="1"/>
    </xf>
    <xf numFmtId="167" fontId="4" fillId="11" borderId="104" xfId="2" applyNumberFormat="1" applyFont="1" applyFill="1" applyBorder="1" applyAlignment="1">
      <alignment horizontal="center" vertical="top"/>
    </xf>
    <xf numFmtId="167" fontId="4" fillId="11" borderId="17" xfId="2" applyNumberFormat="1" applyFont="1" applyFill="1" applyBorder="1" applyAlignment="1">
      <alignment horizontal="center" vertical="top"/>
    </xf>
    <xf numFmtId="167" fontId="4" fillId="11" borderId="89" xfId="2" applyNumberFormat="1" applyFont="1" applyFill="1" applyBorder="1" applyAlignment="1">
      <alignment horizontal="center" vertical="top"/>
    </xf>
    <xf numFmtId="164" fontId="4" fillId="4" borderId="131" xfId="2" applyNumberFormat="1" applyFont="1" applyFill="1" applyBorder="1" applyAlignment="1"/>
    <xf numFmtId="164" fontId="4" fillId="4" borderId="132" xfId="2" applyNumberFormat="1" applyFont="1" applyFill="1" applyBorder="1" applyAlignment="1"/>
    <xf numFmtId="164" fontId="4" fillId="4" borderId="95" xfId="2" applyNumberFormat="1" applyFont="1" applyFill="1" applyBorder="1" applyAlignment="1"/>
    <xf numFmtId="164" fontId="4" fillId="4" borderId="108" xfId="2" applyNumberFormat="1" applyFont="1" applyFill="1" applyBorder="1" applyAlignment="1"/>
    <xf numFmtId="167" fontId="4" fillId="9" borderId="0" xfId="2" applyNumberFormat="1" applyFont="1" applyFill="1" applyBorder="1" applyAlignment="1">
      <alignment vertical="top" wrapText="1"/>
    </xf>
    <xf numFmtId="167" fontId="4" fillId="9" borderId="104" xfId="2" applyNumberFormat="1" applyFont="1" applyFill="1" applyBorder="1" applyAlignment="1">
      <alignment horizontal="center" vertical="top"/>
    </xf>
    <xf numFmtId="167" fontId="4" fillId="9" borderId="34" xfId="2" applyNumberFormat="1" applyFont="1" applyFill="1" applyBorder="1" applyAlignment="1">
      <alignment horizontal="left" vertical="top" wrapText="1"/>
    </xf>
    <xf numFmtId="167" fontId="4" fillId="9" borderId="129" xfId="2" applyNumberFormat="1" applyFont="1" applyFill="1" applyBorder="1" applyAlignment="1">
      <alignment horizontal="center" vertical="top"/>
    </xf>
    <xf numFmtId="167" fontId="4" fillId="9" borderId="65" xfId="2" applyNumberFormat="1" applyFont="1" applyFill="1" applyBorder="1" applyAlignment="1">
      <alignment horizontal="center" vertical="top"/>
    </xf>
    <xf numFmtId="167" fontId="4" fillId="9" borderId="130" xfId="2" applyNumberFormat="1" applyFont="1" applyFill="1" applyBorder="1" applyAlignment="1">
      <alignment horizontal="center" vertical="top"/>
    </xf>
    <xf numFmtId="164" fontId="4" fillId="4" borderId="26" xfId="2" applyNumberFormat="1" applyFont="1" applyFill="1" applyBorder="1" applyAlignment="1"/>
    <xf numFmtId="167" fontId="4" fillId="9" borderId="125" xfId="2" applyNumberFormat="1" applyFont="1" applyFill="1" applyBorder="1" applyAlignment="1">
      <alignment horizontal="left" vertical="top" wrapText="1"/>
    </xf>
    <xf numFmtId="167" fontId="4" fillId="9" borderId="124" xfId="2" applyNumberFormat="1" applyFont="1" applyFill="1" applyBorder="1" applyAlignment="1">
      <alignment horizontal="center" vertical="top"/>
    </xf>
    <xf numFmtId="3" fontId="4" fillId="11" borderId="93" xfId="2" applyNumberFormat="1" applyFont="1" applyFill="1" applyBorder="1" applyAlignment="1">
      <alignment horizontal="center" vertical="top"/>
    </xf>
    <xf numFmtId="167" fontId="4" fillId="9" borderId="83" xfId="2" applyNumberFormat="1" applyFont="1" applyFill="1" applyBorder="1" applyAlignment="1">
      <alignment horizontal="center" vertical="top"/>
    </xf>
    <xf numFmtId="167" fontId="4" fillId="9" borderId="110" xfId="2" applyNumberFormat="1" applyFont="1" applyFill="1" applyBorder="1" applyAlignment="1">
      <alignment horizontal="center" vertical="top"/>
    </xf>
    <xf numFmtId="164" fontId="4" fillId="4" borderId="127" xfId="2" applyNumberFormat="1" applyFont="1" applyFill="1" applyBorder="1" applyAlignment="1"/>
    <xf numFmtId="167" fontId="4" fillId="9" borderId="17" xfId="2" applyNumberFormat="1" applyFont="1" applyFill="1" applyBorder="1" applyAlignment="1">
      <alignment horizontal="center" vertical="top"/>
    </xf>
    <xf numFmtId="164" fontId="4" fillId="4" borderId="7" xfId="2" applyNumberFormat="1" applyFont="1" applyFill="1" applyBorder="1" applyAlignment="1"/>
    <xf numFmtId="49" fontId="4" fillId="0" borderId="99" xfId="2" applyNumberFormat="1" applyFont="1" applyFill="1" applyBorder="1" applyAlignment="1">
      <alignment horizontal="center" vertical="top" wrapText="1"/>
    </xf>
    <xf numFmtId="167" fontId="4" fillId="9" borderId="122" xfId="2" applyNumberFormat="1" applyFont="1" applyFill="1" applyBorder="1" applyAlignment="1">
      <alignment vertical="top" wrapText="1"/>
    </xf>
    <xf numFmtId="167" fontId="4" fillId="9" borderId="83" xfId="2" applyNumberFormat="1" applyFont="1" applyFill="1" applyBorder="1" applyAlignment="1">
      <alignment horizontal="center" vertical="top" wrapText="1"/>
    </xf>
    <xf numFmtId="49" fontId="4" fillId="0" borderId="90" xfId="2" applyNumberFormat="1" applyFont="1" applyFill="1" applyBorder="1" applyAlignment="1">
      <alignment horizontal="center" vertical="top" wrapText="1"/>
    </xf>
    <xf numFmtId="167" fontId="4" fillId="9" borderId="134" xfId="2" applyNumberFormat="1" applyFont="1" applyFill="1" applyBorder="1" applyAlignment="1">
      <alignment vertical="top" wrapText="1"/>
    </xf>
    <xf numFmtId="167" fontId="4" fillId="9" borderId="123" xfId="2" applyNumberFormat="1" applyFont="1" applyFill="1" applyBorder="1" applyAlignment="1">
      <alignment horizontal="center" vertical="top"/>
    </xf>
    <xf numFmtId="167" fontId="4" fillId="9" borderId="81" xfId="2" applyNumberFormat="1" applyFont="1" applyFill="1" applyBorder="1" applyAlignment="1">
      <alignment horizontal="center" vertical="top"/>
    </xf>
    <xf numFmtId="164" fontId="4" fillId="4" borderId="85" xfId="2" applyNumberFormat="1" applyFont="1" applyFill="1" applyBorder="1" applyAlignment="1"/>
    <xf numFmtId="3" fontId="4" fillId="11" borderId="127" xfId="2" applyNumberFormat="1" applyFont="1" applyFill="1" applyBorder="1" applyAlignment="1">
      <alignment horizontal="center" vertical="top"/>
    </xf>
    <xf numFmtId="167" fontId="4" fillId="9" borderId="31" xfId="2" applyNumberFormat="1" applyFont="1" applyFill="1" applyBorder="1" applyAlignment="1">
      <alignment horizontal="center" vertical="top"/>
    </xf>
    <xf numFmtId="167" fontId="4" fillId="9" borderId="18" xfId="2" applyNumberFormat="1" applyFont="1" applyFill="1" applyBorder="1" applyAlignment="1">
      <alignment horizontal="center" vertical="top" wrapText="1"/>
    </xf>
    <xf numFmtId="3" fontId="4" fillId="11" borderId="7" xfId="2"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164" fontId="1" fillId="4" borderId="4" xfId="0" applyNumberFormat="1" applyFont="1" applyFill="1" applyBorder="1" applyAlignment="1">
      <alignment horizontal="center" vertical="top"/>
    </xf>
    <xf numFmtId="164" fontId="4" fillId="4" borderId="50" xfId="0" applyNumberFormat="1" applyFont="1" applyFill="1" applyBorder="1" applyAlignment="1">
      <alignment horizontal="center" vertical="top"/>
    </xf>
    <xf numFmtId="164" fontId="10" fillId="4" borderId="62" xfId="0" applyNumberFormat="1" applyFont="1" applyFill="1" applyBorder="1" applyAlignment="1">
      <alignment horizontal="center" vertical="top" wrapText="1"/>
    </xf>
    <xf numFmtId="3" fontId="1" fillId="0" borderId="36" xfId="0" applyNumberFormat="1" applyFont="1" applyFill="1" applyBorder="1" applyAlignment="1">
      <alignment horizontal="center" vertical="top" wrapText="1"/>
    </xf>
    <xf numFmtId="164" fontId="4" fillId="4" borderId="41" xfId="0" applyNumberFormat="1" applyFont="1" applyFill="1" applyBorder="1" applyAlignment="1">
      <alignment horizontal="center" vertical="top"/>
    </xf>
    <xf numFmtId="164" fontId="1" fillId="4" borderId="64" xfId="0" applyNumberFormat="1" applyFont="1" applyFill="1" applyBorder="1" applyAlignment="1">
      <alignment horizontal="center" vertical="top"/>
    </xf>
    <xf numFmtId="3" fontId="4" fillId="4" borderId="65" xfId="0" applyNumberFormat="1" applyFont="1" applyFill="1" applyBorder="1" applyAlignment="1">
      <alignment horizontal="left" vertical="top" wrapText="1"/>
    </xf>
    <xf numFmtId="164" fontId="4" fillId="4" borderId="74" xfId="0" applyNumberFormat="1" applyFont="1" applyFill="1" applyBorder="1" applyAlignment="1">
      <alignment horizontal="center" vertical="center"/>
    </xf>
    <xf numFmtId="164" fontId="4" fillId="4" borderId="74" xfId="0" applyNumberFormat="1" applyFont="1" applyFill="1" applyBorder="1" applyAlignment="1">
      <alignment horizontal="center" vertical="top"/>
    </xf>
    <xf numFmtId="3" fontId="4" fillId="4" borderId="10" xfId="0" applyNumberFormat="1" applyFont="1" applyFill="1" applyBorder="1" applyAlignment="1">
      <alignment horizontal="center" vertical="top" wrapText="1"/>
    </xf>
    <xf numFmtId="3" fontId="4" fillId="4" borderId="2" xfId="0" applyNumberFormat="1" applyFont="1" applyFill="1" applyBorder="1" applyAlignment="1">
      <alignment horizontal="center" vertical="top" wrapText="1"/>
    </xf>
    <xf numFmtId="3" fontId="5" fillId="5" borderId="55" xfId="0" applyNumberFormat="1" applyFont="1" applyFill="1" applyBorder="1" applyAlignment="1">
      <alignment horizontal="center" vertical="top" wrapText="1"/>
    </xf>
    <xf numFmtId="3" fontId="1" fillId="3" borderId="8" xfId="0" applyNumberFormat="1" applyFont="1" applyFill="1" applyBorder="1" applyAlignment="1">
      <alignment horizontal="center" vertical="top" wrapText="1"/>
    </xf>
    <xf numFmtId="3" fontId="1" fillId="3" borderId="5" xfId="0" applyNumberFormat="1" applyFont="1" applyFill="1" applyBorder="1" applyAlignment="1">
      <alignment horizontal="center" vertical="top" wrapText="1"/>
    </xf>
    <xf numFmtId="49" fontId="4" fillId="4" borderId="8" xfId="2" applyNumberFormat="1" applyFont="1" applyFill="1" applyBorder="1" applyAlignment="1">
      <alignment horizontal="center" vertical="top"/>
    </xf>
    <xf numFmtId="164" fontId="4" fillId="12" borderId="67" xfId="2" applyNumberFormat="1" applyFont="1" applyFill="1" applyBorder="1" applyAlignment="1">
      <alignment horizontal="center" vertical="top"/>
    </xf>
    <xf numFmtId="164" fontId="4" fillId="12" borderId="7" xfId="2" applyNumberFormat="1" applyFont="1" applyFill="1" applyBorder="1" applyAlignment="1">
      <alignment horizontal="center" vertical="top"/>
    </xf>
    <xf numFmtId="49" fontId="4" fillId="0" borderId="2" xfId="2" applyNumberFormat="1" applyFont="1" applyFill="1" applyBorder="1" applyAlignment="1">
      <alignment horizontal="center" vertical="top"/>
    </xf>
    <xf numFmtId="49" fontId="4" fillId="0" borderId="8" xfId="2" applyNumberFormat="1" applyFont="1" applyFill="1" applyBorder="1" applyAlignment="1">
      <alignment horizontal="center" vertical="top"/>
    </xf>
    <xf numFmtId="0" fontId="4" fillId="4" borderId="59" xfId="0" applyFont="1" applyFill="1" applyBorder="1" applyAlignment="1">
      <alignment horizontal="center" vertical="top" wrapText="1"/>
    </xf>
    <xf numFmtId="0" fontId="4" fillId="4" borderId="28" xfId="0" applyFont="1" applyFill="1" applyBorder="1" applyAlignment="1">
      <alignment horizontal="center" vertical="top" wrapText="1"/>
    </xf>
    <xf numFmtId="167" fontId="4" fillId="11" borderId="34" xfId="2" applyNumberFormat="1" applyFont="1" applyFill="1" applyBorder="1" applyAlignment="1">
      <alignment horizontal="left" vertical="top" wrapText="1"/>
    </xf>
    <xf numFmtId="167" fontId="4" fillId="11" borderId="65" xfId="2" applyNumberFormat="1" applyFont="1" applyFill="1" applyBorder="1" applyAlignment="1">
      <alignment horizontal="center" vertical="top"/>
    </xf>
    <xf numFmtId="167" fontId="4" fillId="11" borderId="130" xfId="2" applyNumberFormat="1" applyFont="1" applyFill="1" applyBorder="1" applyAlignment="1">
      <alignment horizontal="center" vertical="top"/>
    </xf>
    <xf numFmtId="49" fontId="4" fillId="0" borderId="2" xfId="2" applyNumberFormat="1" applyFont="1" applyFill="1" applyBorder="1" applyAlignment="1">
      <alignment horizontal="center" vertical="top" wrapText="1"/>
    </xf>
    <xf numFmtId="49" fontId="4" fillId="0" borderId="8" xfId="2" applyNumberFormat="1" applyFont="1" applyFill="1" applyBorder="1" applyAlignment="1">
      <alignment horizontal="center" vertical="top" wrapText="1"/>
    </xf>
    <xf numFmtId="164" fontId="4" fillId="12" borderId="154" xfId="2" applyNumberFormat="1" applyFont="1" applyFill="1" applyBorder="1" applyAlignment="1">
      <alignment horizontal="center" vertical="top"/>
    </xf>
    <xf numFmtId="164" fontId="2" fillId="2" borderId="56" xfId="0" applyNumberFormat="1" applyFont="1" applyFill="1" applyBorder="1" applyAlignment="1">
      <alignment horizontal="center" vertical="top" wrapText="1"/>
    </xf>
    <xf numFmtId="164" fontId="2" fillId="2" borderId="21" xfId="0" applyNumberFormat="1" applyFont="1" applyFill="1" applyBorder="1" applyAlignment="1">
      <alignment horizontal="center" vertical="top" wrapText="1"/>
    </xf>
    <xf numFmtId="3" fontId="2" fillId="5" borderId="61" xfId="0" applyNumberFormat="1" applyFont="1" applyFill="1" applyBorder="1" applyAlignment="1">
      <alignment horizontal="center" vertical="top" wrapText="1"/>
    </xf>
    <xf numFmtId="164" fontId="1" fillId="4" borderId="7" xfId="0" applyNumberFormat="1" applyFont="1" applyFill="1" applyBorder="1" applyAlignment="1">
      <alignment vertical="top"/>
    </xf>
    <xf numFmtId="164" fontId="2" fillId="8" borderId="56" xfId="0" applyNumberFormat="1" applyFont="1" applyFill="1" applyBorder="1" applyAlignment="1">
      <alignment horizontal="center" vertical="top" wrapText="1"/>
    </xf>
    <xf numFmtId="164" fontId="2" fillId="7" borderId="56" xfId="0" applyNumberFormat="1" applyFont="1" applyFill="1" applyBorder="1" applyAlignment="1">
      <alignment horizontal="center" vertical="top" wrapText="1"/>
    </xf>
    <xf numFmtId="49" fontId="4" fillId="3" borderId="66" xfId="0" applyNumberFormat="1" applyFont="1" applyFill="1" applyBorder="1" applyAlignment="1">
      <alignment vertical="top" wrapText="1"/>
    </xf>
    <xf numFmtId="0" fontId="4" fillId="4" borderId="18" xfId="0" applyFont="1" applyFill="1" applyBorder="1" applyAlignment="1">
      <alignment horizontal="center" vertical="top" wrapText="1"/>
    </xf>
    <xf numFmtId="0" fontId="4" fillId="4" borderId="7" xfId="0" applyFont="1" applyFill="1" applyBorder="1" applyAlignment="1">
      <alignment horizontal="center" vertical="top" wrapText="1"/>
    </xf>
    <xf numFmtId="167" fontId="4" fillId="9" borderId="61" xfId="2" applyNumberFormat="1" applyFont="1" applyFill="1" applyBorder="1" applyAlignment="1">
      <alignment horizontal="center" vertical="top"/>
    </xf>
    <xf numFmtId="167" fontId="4" fillId="9" borderId="133" xfId="2" applyNumberFormat="1" applyFont="1" applyFill="1" applyBorder="1" applyAlignment="1">
      <alignment horizontal="center" vertical="top"/>
    </xf>
    <xf numFmtId="3" fontId="4" fillId="11" borderId="28" xfId="2" applyNumberFormat="1" applyFont="1" applyFill="1" applyBorder="1" applyAlignment="1">
      <alignment horizontal="center" vertical="top"/>
    </xf>
    <xf numFmtId="3" fontId="1" fillId="0" borderId="18" xfId="0" applyNumberFormat="1" applyFont="1" applyBorder="1" applyAlignment="1">
      <alignment vertical="top"/>
    </xf>
    <xf numFmtId="3" fontId="1" fillId="0" borderId="62" xfId="0" applyNumberFormat="1" applyFont="1" applyBorder="1" applyAlignment="1">
      <alignment horizontal="center" vertical="top"/>
    </xf>
    <xf numFmtId="49" fontId="4" fillId="3" borderId="64" xfId="0" applyNumberFormat="1" applyFont="1" applyFill="1" applyBorder="1" applyAlignment="1">
      <alignment vertical="top"/>
    </xf>
    <xf numFmtId="49" fontId="4" fillId="3" borderId="13" xfId="0" applyNumberFormat="1" applyFont="1" applyFill="1" applyBorder="1" applyAlignment="1">
      <alignment horizontal="center" vertical="top"/>
    </xf>
    <xf numFmtId="164" fontId="4" fillId="4" borderId="17" xfId="0" applyNumberFormat="1" applyFont="1" applyFill="1" applyBorder="1" applyAlignment="1">
      <alignment horizontal="center" vertical="center" wrapText="1"/>
    </xf>
    <xf numFmtId="164" fontId="4" fillId="4" borderId="18"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top" wrapText="1"/>
    </xf>
    <xf numFmtId="164" fontId="1" fillId="4" borderId="67" xfId="0" applyNumberFormat="1" applyFont="1" applyFill="1" applyBorder="1" applyAlignment="1">
      <alignment horizontal="center" vertical="top" wrapText="1"/>
    </xf>
    <xf numFmtId="3" fontId="1" fillId="3" borderId="6" xfId="0" applyNumberFormat="1" applyFont="1" applyFill="1" applyBorder="1" applyAlignment="1">
      <alignment horizontal="center" vertical="top" wrapText="1"/>
    </xf>
    <xf numFmtId="164" fontId="1" fillId="4" borderId="61" xfId="0" applyNumberFormat="1" applyFont="1" applyFill="1" applyBorder="1" applyAlignment="1">
      <alignment horizontal="center" vertical="top" wrapText="1"/>
    </xf>
    <xf numFmtId="164" fontId="4" fillId="11" borderId="41" xfId="2" applyNumberFormat="1" applyFont="1" applyFill="1" applyBorder="1" applyAlignment="1">
      <alignment horizontal="center" vertical="top"/>
    </xf>
    <xf numFmtId="164" fontId="4" fillId="12" borderId="131" xfId="2" applyNumberFormat="1" applyFont="1" applyFill="1" applyBorder="1" applyAlignment="1">
      <alignment horizontal="center" vertical="top"/>
    </xf>
    <xf numFmtId="164" fontId="4" fillId="4" borderId="31" xfId="0" applyNumberFormat="1" applyFont="1" applyFill="1" applyBorder="1" applyAlignment="1">
      <alignment horizontal="center" vertical="top"/>
    </xf>
    <xf numFmtId="164" fontId="5" fillId="4" borderId="40" xfId="0" applyNumberFormat="1" applyFont="1" applyFill="1" applyBorder="1" applyAlignment="1">
      <alignment horizontal="center" vertical="top" wrapText="1"/>
    </xf>
    <xf numFmtId="164" fontId="5" fillId="4" borderId="0" xfId="0" applyNumberFormat="1" applyFont="1" applyFill="1" applyBorder="1" applyAlignment="1">
      <alignment horizontal="center" vertical="top" wrapText="1"/>
    </xf>
    <xf numFmtId="164" fontId="5" fillId="4" borderId="31" xfId="0" applyNumberFormat="1" applyFont="1" applyFill="1" applyBorder="1" applyAlignment="1">
      <alignment horizontal="center" vertical="top" wrapText="1"/>
    </xf>
    <xf numFmtId="3" fontId="1" fillId="4" borderId="9" xfId="0" applyNumberFormat="1" applyFont="1" applyFill="1" applyBorder="1" applyAlignment="1">
      <alignment horizontal="center" vertical="top" wrapText="1"/>
    </xf>
    <xf numFmtId="164" fontId="4" fillId="4" borderId="80" xfId="0" applyNumberFormat="1" applyFont="1" applyFill="1" applyBorder="1" applyAlignment="1">
      <alignment horizontal="center" vertical="top"/>
    </xf>
    <xf numFmtId="164" fontId="4" fillId="0" borderId="16" xfId="0" applyNumberFormat="1" applyFont="1" applyFill="1" applyBorder="1" applyAlignment="1">
      <alignment horizontal="center" vertical="top" wrapText="1"/>
    </xf>
    <xf numFmtId="164" fontId="4" fillId="0" borderId="13" xfId="0" applyNumberFormat="1" applyFont="1" applyFill="1" applyBorder="1" applyAlignment="1">
      <alignment horizontal="center" vertical="top" wrapText="1"/>
    </xf>
    <xf numFmtId="164" fontId="2" fillId="5" borderId="155" xfId="0" applyNumberFormat="1" applyFont="1" applyFill="1" applyBorder="1" applyAlignment="1">
      <alignment horizontal="center" vertical="top" wrapText="1"/>
    </xf>
    <xf numFmtId="167" fontId="4" fillId="9" borderId="27" xfId="2" applyNumberFormat="1" applyFont="1" applyFill="1" applyBorder="1" applyAlignment="1">
      <alignment horizontal="left" vertical="top" wrapText="1"/>
    </xf>
    <xf numFmtId="164" fontId="4" fillId="0" borderId="24" xfId="0" applyNumberFormat="1" applyFont="1" applyFill="1" applyBorder="1" applyAlignment="1">
      <alignment horizontal="center" vertical="top" wrapText="1"/>
    </xf>
    <xf numFmtId="3" fontId="1" fillId="0" borderId="42" xfId="0" applyNumberFormat="1" applyFont="1" applyBorder="1" applyAlignment="1">
      <alignment horizontal="center" vertical="top" wrapText="1"/>
    </xf>
    <xf numFmtId="49" fontId="4" fillId="0" borderId="5" xfId="2" applyNumberFormat="1" applyFont="1" applyFill="1" applyBorder="1" applyAlignment="1">
      <alignment horizontal="center" vertical="top"/>
    </xf>
    <xf numFmtId="49" fontId="4" fillId="0" borderId="6" xfId="2" applyNumberFormat="1" applyFont="1" applyFill="1" applyBorder="1" applyAlignment="1">
      <alignment horizontal="center" vertical="top"/>
    </xf>
    <xf numFmtId="164" fontId="4" fillId="11" borderId="61" xfId="2" applyNumberFormat="1" applyFont="1" applyFill="1" applyBorder="1" applyAlignment="1">
      <alignment horizontal="center" vertical="top"/>
    </xf>
    <xf numFmtId="164" fontId="4" fillId="12" borderId="59" xfId="2" applyNumberFormat="1" applyFont="1" applyFill="1" applyBorder="1" applyAlignment="1">
      <alignment horizontal="center" vertical="top"/>
    </xf>
    <xf numFmtId="164" fontId="4" fillId="12" borderId="96" xfId="2" applyNumberFormat="1" applyFont="1" applyFill="1" applyBorder="1" applyAlignment="1">
      <alignment horizontal="center" vertical="top"/>
    </xf>
    <xf numFmtId="164" fontId="4" fillId="11" borderId="17" xfId="2" applyNumberFormat="1" applyFont="1" applyFill="1" applyBorder="1" applyAlignment="1">
      <alignment horizontal="center" vertical="top"/>
    </xf>
    <xf numFmtId="164" fontId="4" fillId="12" borderId="18" xfId="2" applyNumberFormat="1" applyFont="1" applyFill="1" applyBorder="1" applyAlignment="1">
      <alignment horizontal="center" vertical="top"/>
    </xf>
    <xf numFmtId="164" fontId="4" fillId="12" borderId="156" xfId="2" applyNumberFormat="1" applyFont="1" applyFill="1" applyBorder="1" applyAlignment="1">
      <alignment horizontal="center" vertical="top"/>
    </xf>
    <xf numFmtId="164" fontId="1" fillId="0" borderId="37" xfId="0" applyNumberFormat="1" applyFont="1" applyFill="1" applyBorder="1" applyAlignment="1">
      <alignment horizontal="center" vertical="top" wrapText="1"/>
    </xf>
    <xf numFmtId="164" fontId="1" fillId="0" borderId="100" xfId="0" applyNumberFormat="1" applyFont="1" applyFill="1" applyBorder="1" applyAlignment="1">
      <alignment horizontal="center" vertical="top" wrapText="1"/>
    </xf>
    <xf numFmtId="164" fontId="2" fillId="4" borderId="40" xfId="0" applyNumberFormat="1" applyFont="1" applyFill="1" applyBorder="1" applyAlignment="1">
      <alignment horizontal="center" vertical="top"/>
    </xf>
    <xf numFmtId="164" fontId="1" fillId="3" borderId="17" xfId="0" applyNumberFormat="1" applyFont="1" applyFill="1" applyBorder="1" applyAlignment="1">
      <alignment horizontal="center" vertical="top" wrapText="1"/>
    </xf>
    <xf numFmtId="164" fontId="1" fillId="3" borderId="18" xfId="0" applyNumberFormat="1" applyFont="1" applyFill="1" applyBorder="1" applyAlignment="1">
      <alignment horizontal="center" vertical="top" wrapText="1"/>
    </xf>
    <xf numFmtId="164" fontId="1" fillId="3" borderId="65" xfId="0" applyNumberFormat="1" applyFont="1" applyFill="1" applyBorder="1" applyAlignment="1">
      <alignment horizontal="center" vertical="top" wrapText="1"/>
    </xf>
    <xf numFmtId="164" fontId="1" fillId="3" borderId="3" xfId="0" applyNumberFormat="1" applyFont="1" applyFill="1" applyBorder="1" applyAlignment="1">
      <alignment horizontal="center" vertical="top" wrapText="1"/>
    </xf>
    <xf numFmtId="164" fontId="1" fillId="3" borderId="26" xfId="0" applyNumberFormat="1" applyFont="1" applyFill="1" applyBorder="1" applyAlignment="1">
      <alignment horizontal="center" vertical="top" wrapText="1"/>
    </xf>
    <xf numFmtId="164" fontId="1" fillId="3" borderId="0" xfId="0" applyNumberFormat="1" applyFont="1" applyFill="1" applyBorder="1" applyAlignment="1">
      <alignment horizontal="center" vertical="top" wrapText="1"/>
    </xf>
    <xf numFmtId="164" fontId="1" fillId="3" borderId="66" xfId="0" applyNumberFormat="1" applyFont="1" applyFill="1" applyBorder="1" applyAlignment="1">
      <alignment horizontal="center" vertical="top" wrapText="1"/>
    </xf>
    <xf numFmtId="0" fontId="1" fillId="4" borderId="36" xfId="0" applyFont="1" applyFill="1" applyBorder="1" applyAlignment="1">
      <alignment horizontal="left" vertical="top" wrapText="1"/>
    </xf>
    <xf numFmtId="164" fontId="1" fillId="4" borderId="157" xfId="0" applyNumberFormat="1" applyFont="1" applyFill="1" applyBorder="1" applyAlignment="1">
      <alignment horizontal="center" vertical="top"/>
    </xf>
    <xf numFmtId="164" fontId="1" fillId="4" borderId="138" xfId="0" applyNumberFormat="1" applyFont="1" applyFill="1" applyBorder="1" applyAlignment="1">
      <alignment horizontal="center" vertical="top"/>
    </xf>
    <xf numFmtId="0" fontId="1" fillId="0" borderId="158" xfId="0" applyFont="1" applyFill="1" applyBorder="1" applyAlignment="1">
      <alignment vertical="top" wrapText="1"/>
    </xf>
    <xf numFmtId="164" fontId="1" fillId="4" borderId="158" xfId="0" applyNumberFormat="1" applyFont="1" applyFill="1" applyBorder="1" applyAlignment="1">
      <alignment vertical="top"/>
    </xf>
    <xf numFmtId="164" fontId="1" fillId="4" borderId="159" xfId="0" applyNumberFormat="1" applyFont="1" applyFill="1" applyBorder="1" applyAlignment="1">
      <alignment vertical="top"/>
    </xf>
    <xf numFmtId="164" fontId="1" fillId="4" borderId="160" xfId="0" applyNumberFormat="1" applyFont="1" applyFill="1" applyBorder="1" applyAlignment="1">
      <alignment vertical="top"/>
    </xf>
    <xf numFmtId="3" fontId="2" fillId="0" borderId="3" xfId="0" applyNumberFormat="1" applyFont="1" applyFill="1" applyBorder="1" applyAlignment="1">
      <alignment wrapText="1"/>
    </xf>
    <xf numFmtId="167" fontId="4" fillId="9" borderId="103" xfId="2" applyNumberFormat="1" applyFont="1" applyFill="1" applyBorder="1" applyAlignment="1">
      <alignment horizontal="center" vertical="top"/>
    </xf>
    <xf numFmtId="164" fontId="4" fillId="11" borderId="61" xfId="2" applyNumberFormat="1" applyFont="1" applyFill="1" applyBorder="1" applyAlignment="1"/>
    <xf numFmtId="167" fontId="4" fillId="9" borderId="112" xfId="2" applyNumberFormat="1" applyFont="1" applyFill="1" applyBorder="1" applyAlignment="1">
      <alignment horizontal="center" vertical="top" wrapText="1"/>
    </xf>
    <xf numFmtId="164" fontId="4" fillId="4" borderId="100" xfId="2" applyNumberFormat="1" applyFont="1" applyFill="1" applyBorder="1" applyAlignment="1">
      <alignment horizontal="center" vertical="top"/>
    </xf>
    <xf numFmtId="0" fontId="4" fillId="4" borderId="49" xfId="0" applyFont="1" applyFill="1" applyBorder="1" applyAlignment="1">
      <alignment horizontal="left" vertical="top" wrapText="1"/>
    </xf>
    <xf numFmtId="168" fontId="4" fillId="9" borderId="12" xfId="2" applyNumberFormat="1" applyFont="1" applyFill="1" applyBorder="1" applyAlignment="1">
      <alignment vertical="top" wrapText="1"/>
    </xf>
    <xf numFmtId="167" fontId="4" fillId="9" borderId="12" xfId="2" applyNumberFormat="1" applyFont="1" applyFill="1" applyBorder="1" applyAlignment="1">
      <alignment horizontal="center" vertical="top"/>
    </xf>
    <xf numFmtId="167" fontId="4" fillId="9" borderId="161" xfId="2" applyNumberFormat="1" applyFont="1" applyFill="1" applyBorder="1" applyAlignment="1">
      <alignment horizontal="center" vertical="top"/>
    </xf>
    <xf numFmtId="3" fontId="4" fillId="4" borderId="72" xfId="2" applyNumberFormat="1" applyFont="1" applyFill="1" applyBorder="1" applyAlignment="1">
      <alignment horizontal="center" vertical="top"/>
    </xf>
    <xf numFmtId="164" fontId="4" fillId="4" borderId="162" xfId="2" applyNumberFormat="1" applyFont="1" applyFill="1" applyBorder="1" applyAlignment="1">
      <alignment horizontal="center"/>
    </xf>
    <xf numFmtId="49" fontId="4" fillId="0" borderId="59" xfId="0" applyNumberFormat="1" applyFont="1" applyBorder="1" applyAlignment="1">
      <alignment vertical="top" wrapText="1"/>
    </xf>
    <xf numFmtId="49" fontId="1" fillId="4" borderId="17" xfId="0" applyNumberFormat="1" applyFont="1" applyFill="1" applyBorder="1" applyAlignment="1">
      <alignment vertical="top" wrapText="1"/>
    </xf>
    <xf numFmtId="49" fontId="1" fillId="4" borderId="17" xfId="0" applyNumberFormat="1" applyFont="1" applyFill="1" applyBorder="1" applyAlignment="1">
      <alignment horizontal="center" vertical="top"/>
    </xf>
    <xf numFmtId="0" fontId="1" fillId="4" borderId="53" xfId="0" applyFont="1" applyFill="1" applyBorder="1" applyAlignment="1">
      <alignment horizontal="center" vertical="top" wrapText="1"/>
    </xf>
    <xf numFmtId="49" fontId="4" fillId="0" borderId="19" xfId="0" applyNumberFormat="1" applyFont="1" applyBorder="1" applyAlignment="1">
      <alignment horizontal="center" vertical="top" wrapText="1"/>
    </xf>
    <xf numFmtId="3" fontId="2" fillId="4" borderId="21" xfId="0" applyNumberFormat="1" applyFont="1" applyFill="1" applyBorder="1" applyAlignment="1">
      <alignment horizontal="center" vertical="top" wrapText="1"/>
    </xf>
    <xf numFmtId="3" fontId="1" fillId="4" borderId="43" xfId="0" applyNumberFormat="1" applyFont="1" applyFill="1" applyBorder="1" applyAlignment="1">
      <alignment horizontal="center" vertical="top" wrapText="1"/>
    </xf>
    <xf numFmtId="164" fontId="1" fillId="4" borderId="43" xfId="0" applyNumberFormat="1" applyFont="1" applyFill="1" applyBorder="1" applyAlignment="1">
      <alignment horizontal="center" vertical="top" wrapText="1"/>
    </xf>
    <xf numFmtId="164" fontId="1" fillId="4" borderId="21" xfId="0" applyNumberFormat="1" applyFont="1" applyFill="1" applyBorder="1" applyAlignment="1">
      <alignment horizontal="center" vertical="top" wrapText="1"/>
    </xf>
    <xf numFmtId="49" fontId="1" fillId="4" borderId="47" xfId="0" applyNumberFormat="1" applyFont="1" applyFill="1" applyBorder="1" applyAlignment="1">
      <alignment vertical="top" wrapText="1"/>
    </xf>
    <xf numFmtId="49" fontId="1" fillId="4" borderId="46" xfId="0" applyNumberFormat="1" applyFont="1" applyFill="1" applyBorder="1" applyAlignment="1">
      <alignment horizontal="center" vertical="top"/>
    </xf>
    <xf numFmtId="49" fontId="1" fillId="4" borderId="47" xfId="0" applyNumberFormat="1" applyFont="1" applyFill="1" applyBorder="1" applyAlignment="1">
      <alignment horizontal="center" vertical="top"/>
    </xf>
    <xf numFmtId="49" fontId="1" fillId="4" borderId="4" xfId="0" applyNumberFormat="1" applyFont="1" applyFill="1" applyBorder="1" applyAlignment="1">
      <alignment horizontal="center" vertical="top" wrapText="1"/>
    </xf>
    <xf numFmtId="49" fontId="1" fillId="4" borderId="50" xfId="0" applyNumberFormat="1" applyFont="1" applyFill="1" applyBorder="1" applyAlignment="1">
      <alignment horizontal="center" vertical="top" wrapText="1"/>
    </xf>
    <xf numFmtId="164" fontId="3" fillId="4" borderId="33" xfId="0" applyNumberFormat="1" applyFont="1" applyFill="1" applyBorder="1" applyAlignment="1">
      <alignment horizontal="center" vertical="top" wrapText="1"/>
    </xf>
    <xf numFmtId="0" fontId="4" fillId="4" borderId="61" xfId="0" applyFont="1" applyFill="1" applyBorder="1" applyAlignment="1">
      <alignment horizontal="left" vertical="top" wrapText="1"/>
    </xf>
    <xf numFmtId="0" fontId="4" fillId="4" borderId="33" xfId="0" applyFont="1" applyFill="1" applyBorder="1" applyAlignment="1">
      <alignment horizontal="center" vertical="top" wrapText="1"/>
    </xf>
    <xf numFmtId="49" fontId="4" fillId="0" borderId="19" xfId="0" applyNumberFormat="1" applyFont="1" applyBorder="1" applyAlignment="1">
      <alignment vertical="top" wrapText="1"/>
    </xf>
    <xf numFmtId="164" fontId="5" fillId="4" borderId="34" xfId="0" applyNumberFormat="1" applyFont="1" applyFill="1" applyBorder="1" applyAlignment="1">
      <alignment horizontal="center" vertical="top" wrapText="1"/>
    </xf>
    <xf numFmtId="164" fontId="5" fillId="4" borderId="52" xfId="0" applyNumberFormat="1" applyFont="1" applyFill="1" applyBorder="1" applyAlignment="1">
      <alignment horizontal="center" vertical="top" wrapText="1"/>
    </xf>
    <xf numFmtId="167" fontId="4" fillId="11" borderId="98" xfId="2" applyNumberFormat="1" applyFont="1" applyFill="1" applyBorder="1" applyAlignment="1">
      <alignment horizontal="left" vertical="top" wrapText="1"/>
    </xf>
    <xf numFmtId="167" fontId="4" fillId="11" borderId="129" xfId="2" applyNumberFormat="1" applyFont="1" applyFill="1" applyBorder="1" applyAlignment="1">
      <alignment horizontal="center" vertical="top"/>
    </xf>
    <xf numFmtId="3" fontId="5" fillId="0" borderId="64" xfId="0" applyNumberFormat="1" applyFont="1" applyBorder="1" applyAlignment="1">
      <alignment horizontal="center" vertical="top" wrapText="1"/>
    </xf>
    <xf numFmtId="164" fontId="4" fillId="4" borderId="47" xfId="0" applyNumberFormat="1" applyFont="1" applyFill="1" applyBorder="1" applyAlignment="1">
      <alignment horizontal="center" vertical="top"/>
    </xf>
    <xf numFmtId="164" fontId="4" fillId="4" borderId="4" xfId="0" applyNumberFormat="1" applyFont="1" applyFill="1" applyBorder="1" applyAlignment="1">
      <alignment horizontal="center" vertical="top"/>
    </xf>
    <xf numFmtId="164" fontId="1" fillId="4" borderId="48" xfId="0" applyNumberFormat="1" applyFont="1" applyFill="1" applyBorder="1" applyAlignment="1">
      <alignment horizontal="center" vertical="top"/>
    </xf>
    <xf numFmtId="3" fontId="4" fillId="4" borderId="4" xfId="0" applyNumberFormat="1" applyFont="1" applyFill="1" applyBorder="1" applyAlignment="1">
      <alignment horizontal="left" vertical="top" wrapText="1"/>
    </xf>
    <xf numFmtId="164" fontId="4" fillId="0" borderId="4" xfId="0" applyNumberFormat="1" applyFont="1" applyBorder="1" applyAlignment="1">
      <alignment horizontal="center" vertical="top" wrapText="1"/>
    </xf>
    <xf numFmtId="164" fontId="4" fillId="0" borderId="50" xfId="0" applyNumberFormat="1" applyFont="1" applyBorder="1" applyAlignment="1">
      <alignment horizontal="center" vertical="top" wrapText="1"/>
    </xf>
    <xf numFmtId="49" fontId="4" fillId="3" borderId="4" xfId="0" applyNumberFormat="1" applyFont="1" applyFill="1" applyBorder="1" applyAlignment="1">
      <alignment horizontal="center" vertical="top" wrapText="1"/>
    </xf>
    <xf numFmtId="164" fontId="4" fillId="4" borderId="78" xfId="0" applyNumberFormat="1" applyFont="1" applyFill="1" applyBorder="1" applyAlignment="1">
      <alignment horizontal="center" vertical="top" wrapText="1"/>
    </xf>
    <xf numFmtId="164" fontId="4" fillId="4" borderId="34" xfId="0" applyNumberFormat="1" applyFont="1" applyFill="1" applyBorder="1" applyAlignment="1">
      <alignment horizontal="center" vertical="top" wrapText="1"/>
    </xf>
    <xf numFmtId="3" fontId="1" fillId="3" borderId="59" xfId="0" applyNumberFormat="1" applyFont="1" applyFill="1" applyBorder="1" applyAlignment="1">
      <alignment horizontal="left" vertical="top" wrapText="1"/>
    </xf>
    <xf numFmtId="3" fontId="5" fillId="4" borderId="18"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3" fontId="4" fillId="4" borderId="59" xfId="0" applyNumberFormat="1" applyFont="1" applyFill="1" applyBorder="1" applyAlignment="1">
      <alignment horizontal="left" vertical="top" wrapText="1"/>
    </xf>
    <xf numFmtId="3" fontId="4" fillId="4" borderId="19" xfId="0" applyNumberFormat="1" applyFont="1" applyFill="1" applyBorder="1" applyAlignment="1">
      <alignment horizontal="left" vertical="top" wrapText="1"/>
    </xf>
    <xf numFmtId="3" fontId="1" fillId="4" borderId="13"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 fillId="4" borderId="16" xfId="0" applyNumberFormat="1" applyFont="1" applyFill="1" applyBorder="1" applyAlignment="1">
      <alignment horizontal="left" vertical="top" wrapText="1"/>
    </xf>
    <xf numFmtId="3" fontId="1" fillId="4" borderId="56" xfId="0" applyNumberFormat="1" applyFont="1" applyFill="1" applyBorder="1" applyAlignment="1">
      <alignment horizontal="left" vertical="top" wrapText="1"/>
    </xf>
    <xf numFmtId="3" fontId="1" fillId="4" borderId="61" xfId="0" applyNumberFormat="1" applyFont="1" applyFill="1" applyBorder="1" applyAlignment="1">
      <alignment horizontal="left" vertical="top" wrapText="1"/>
    </xf>
    <xf numFmtId="3" fontId="1" fillId="4" borderId="62" xfId="0" applyNumberFormat="1" applyFont="1" applyFill="1" applyBorder="1" applyAlignment="1">
      <alignment horizontal="left" vertical="top" wrapText="1"/>
    </xf>
    <xf numFmtId="3" fontId="1" fillId="4" borderId="59"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3" fontId="1" fillId="4" borderId="18"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2" fillId="4" borderId="13"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5" fillId="4" borderId="59" xfId="0" applyNumberFormat="1" applyFont="1" applyFill="1" applyBorder="1" applyAlignment="1">
      <alignment horizontal="left" vertical="top" wrapText="1"/>
    </xf>
    <xf numFmtId="3" fontId="4" fillId="4" borderId="13" xfId="0" applyNumberFormat="1" applyFont="1" applyFill="1" applyBorder="1" applyAlignment="1">
      <alignment horizontal="left" vertical="top" wrapText="1"/>
    </xf>
    <xf numFmtId="3" fontId="2" fillId="0" borderId="78" xfId="0" applyNumberFormat="1" applyFont="1" applyFill="1" applyBorder="1" applyAlignment="1">
      <alignment horizontal="center" vertical="top" textRotation="90" wrapText="1"/>
    </xf>
    <xf numFmtId="3" fontId="2" fillId="0" borderId="75" xfId="0" applyNumberFormat="1" applyFont="1" applyFill="1" applyBorder="1" applyAlignment="1">
      <alignment horizontal="center" vertical="top" textRotation="90" wrapText="1"/>
    </xf>
    <xf numFmtId="3" fontId="2" fillId="4" borderId="64" xfId="0" applyNumberFormat="1" applyFont="1" applyFill="1" applyBorder="1" applyAlignment="1">
      <alignment horizontal="center" vertical="top"/>
    </xf>
    <xf numFmtId="3" fontId="2" fillId="0" borderId="67" xfId="0" applyNumberFormat="1" applyFont="1" applyFill="1" applyBorder="1" applyAlignment="1">
      <alignment horizontal="center" vertical="top" textRotation="90" wrapText="1"/>
    </xf>
    <xf numFmtId="164" fontId="1" fillId="4" borderId="18" xfId="0" applyNumberFormat="1" applyFont="1" applyFill="1" applyBorder="1" applyAlignment="1">
      <alignment horizontal="center" vertical="top"/>
    </xf>
    <xf numFmtId="49" fontId="2" fillId="3" borderId="32" xfId="0" applyNumberFormat="1" applyFont="1" applyFill="1" applyBorder="1" applyAlignment="1">
      <alignment horizontal="center" vertical="top"/>
    </xf>
    <xf numFmtId="3" fontId="2" fillId="0" borderId="32" xfId="0" applyNumberFormat="1" applyFont="1" applyFill="1" applyBorder="1" applyAlignment="1">
      <alignment horizontal="center" vertical="top"/>
    </xf>
    <xf numFmtId="3" fontId="4" fillId="4" borderId="31" xfId="0" applyNumberFormat="1" applyFont="1" applyFill="1" applyBorder="1" applyAlignment="1">
      <alignment horizontal="center" vertical="top"/>
    </xf>
    <xf numFmtId="3" fontId="5" fillId="0" borderId="67" xfId="0" applyNumberFormat="1" applyFont="1" applyFill="1" applyBorder="1" applyAlignment="1">
      <alignment horizontal="center" vertical="top" textRotation="90" wrapText="1"/>
    </xf>
    <xf numFmtId="3" fontId="4" fillId="4" borderId="61" xfId="0" applyNumberFormat="1" applyFont="1" applyFill="1" applyBorder="1" applyAlignment="1">
      <alignment horizontal="left" vertical="top" wrapText="1"/>
    </xf>
    <xf numFmtId="3" fontId="4" fillId="4" borderId="17" xfId="0" applyNumberFormat="1" applyFont="1" applyFill="1" applyBorder="1" applyAlignment="1">
      <alignment horizontal="left" vertical="top" wrapText="1"/>
    </xf>
    <xf numFmtId="3" fontId="4" fillId="4" borderId="17" xfId="0" applyNumberFormat="1" applyFont="1" applyFill="1" applyBorder="1" applyAlignment="1">
      <alignment horizontal="center" vertical="top"/>
    </xf>
    <xf numFmtId="3" fontId="5" fillId="4" borderId="42" xfId="0" applyNumberFormat="1" applyFont="1" applyFill="1" applyBorder="1" applyAlignment="1">
      <alignment horizontal="left" vertical="top" wrapText="1"/>
    </xf>
    <xf numFmtId="3" fontId="4" fillId="0" borderId="18" xfId="0" applyNumberFormat="1" applyFont="1" applyFill="1" applyBorder="1" applyAlignment="1">
      <alignment horizontal="center" vertical="top" wrapText="1"/>
    </xf>
    <xf numFmtId="3" fontId="4" fillId="4" borderId="0" xfId="0" applyNumberFormat="1" applyFont="1" applyFill="1" applyBorder="1" applyAlignment="1">
      <alignment horizontal="center" vertical="top" wrapText="1"/>
    </xf>
    <xf numFmtId="3" fontId="5" fillId="0" borderId="70" xfId="0" applyNumberFormat="1" applyFont="1" applyFill="1" applyBorder="1" applyAlignment="1">
      <alignment horizontal="center" vertical="top" wrapText="1"/>
    </xf>
    <xf numFmtId="3" fontId="4" fillId="4" borderId="74" xfId="0" applyNumberFormat="1" applyFont="1" applyFill="1" applyBorder="1" applyAlignment="1">
      <alignment horizontal="left" vertical="top" wrapText="1"/>
    </xf>
    <xf numFmtId="3" fontId="5" fillId="0" borderId="67" xfId="0" applyNumberFormat="1" applyFont="1" applyFill="1" applyBorder="1" applyAlignment="1">
      <alignment horizontal="center" vertical="top" textRotation="180" wrapText="1"/>
    </xf>
    <xf numFmtId="3" fontId="6" fillId="0" borderId="29" xfId="0" applyNumberFormat="1" applyFont="1" applyFill="1" applyBorder="1" applyAlignment="1">
      <alignment horizontal="left" vertical="top" wrapText="1"/>
    </xf>
    <xf numFmtId="3" fontId="5" fillId="0" borderId="80" xfId="0" applyNumberFormat="1" applyFont="1" applyFill="1" applyBorder="1" applyAlignment="1">
      <alignment horizontal="center" vertical="top" wrapText="1"/>
    </xf>
    <xf numFmtId="3" fontId="4" fillId="4" borderId="62" xfId="0" applyNumberFormat="1" applyFont="1" applyFill="1" applyBorder="1" applyAlignment="1">
      <alignment horizontal="left" vertical="top" wrapText="1"/>
    </xf>
    <xf numFmtId="3" fontId="4" fillId="0" borderId="43" xfId="0" applyNumberFormat="1" applyFont="1" applyBorder="1" applyAlignment="1">
      <alignment horizontal="right" wrapText="1"/>
    </xf>
    <xf numFmtId="3" fontId="1" fillId="0" borderId="65" xfId="0" applyNumberFormat="1" applyFont="1" applyBorder="1" applyAlignment="1">
      <alignment horizontal="center" vertical="top" wrapText="1"/>
    </xf>
    <xf numFmtId="3" fontId="4" fillId="4" borderId="16" xfId="0" applyNumberFormat="1" applyFont="1" applyFill="1" applyBorder="1" applyAlignment="1">
      <alignment horizontal="left" vertical="top" wrapText="1"/>
    </xf>
    <xf numFmtId="3" fontId="4" fillId="4" borderId="18" xfId="0" applyNumberFormat="1" applyFont="1" applyFill="1" applyBorder="1" applyAlignment="1">
      <alignment horizontal="center" vertical="top" wrapText="1"/>
    </xf>
    <xf numFmtId="49" fontId="2" fillId="8" borderId="40" xfId="0" applyNumberFormat="1" applyFont="1" applyFill="1" applyBorder="1" applyAlignment="1">
      <alignment horizontal="center" vertical="top"/>
    </xf>
    <xf numFmtId="3" fontId="4" fillId="4" borderId="13" xfId="0" applyNumberFormat="1" applyFont="1" applyFill="1" applyBorder="1" applyAlignment="1">
      <alignment horizontal="center" vertical="top" wrapText="1"/>
    </xf>
    <xf numFmtId="3" fontId="1" fillId="4" borderId="40" xfId="0" applyNumberFormat="1" applyFont="1" applyFill="1" applyBorder="1" applyAlignment="1">
      <alignment horizontal="center" vertical="top" wrapText="1"/>
    </xf>
    <xf numFmtId="164" fontId="1" fillId="4" borderId="40" xfId="0" applyNumberFormat="1" applyFont="1" applyFill="1" applyBorder="1" applyAlignment="1">
      <alignment horizontal="center" vertical="top"/>
    </xf>
    <xf numFmtId="49" fontId="2" fillId="8" borderId="17"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0" fontId="1" fillId="4" borderId="18" xfId="0" applyFont="1" applyFill="1" applyBorder="1" applyAlignment="1">
      <alignment horizontal="left" vertical="top" wrapText="1"/>
    </xf>
    <xf numFmtId="0" fontId="1" fillId="4" borderId="42" xfId="0" applyFont="1" applyFill="1" applyBorder="1" applyAlignment="1">
      <alignment horizontal="left" vertical="top" wrapText="1"/>
    </xf>
    <xf numFmtId="3" fontId="1" fillId="0" borderId="0" xfId="0" applyNumberFormat="1" applyFont="1" applyBorder="1" applyAlignment="1">
      <alignment horizontal="center" vertical="top" wrapText="1"/>
    </xf>
    <xf numFmtId="3" fontId="2" fillId="4" borderId="39" xfId="0" applyNumberFormat="1" applyFont="1" applyFill="1" applyBorder="1" applyAlignment="1">
      <alignment horizontal="center" vertical="top" wrapText="1"/>
    </xf>
    <xf numFmtId="3" fontId="2" fillId="4" borderId="60" xfId="0" applyNumberFormat="1" applyFont="1" applyFill="1" applyBorder="1" applyAlignment="1">
      <alignment horizontal="center" vertical="top" wrapText="1"/>
    </xf>
    <xf numFmtId="3" fontId="4" fillId="4" borderId="5" xfId="0" applyNumberFormat="1" applyFont="1" applyFill="1" applyBorder="1" applyAlignment="1">
      <alignment horizontal="center" vertical="top" wrapText="1"/>
    </xf>
    <xf numFmtId="3" fontId="1" fillId="4" borderId="39" xfId="0" applyNumberFormat="1" applyFont="1" applyFill="1" applyBorder="1" applyAlignment="1">
      <alignment horizontal="center" vertical="top"/>
    </xf>
    <xf numFmtId="3" fontId="1" fillId="4" borderId="60" xfId="0" applyNumberFormat="1" applyFont="1" applyFill="1" applyBorder="1" applyAlignment="1">
      <alignment horizontal="center" vertical="top"/>
    </xf>
    <xf numFmtId="3" fontId="4" fillId="0" borderId="8" xfId="0" applyNumberFormat="1" applyFont="1" applyFill="1" applyBorder="1" applyAlignment="1">
      <alignment horizontal="center" vertical="top" wrapText="1"/>
    </xf>
    <xf numFmtId="164" fontId="1" fillId="4" borderId="59"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3" fontId="1" fillId="4" borderId="17" xfId="0" applyNumberFormat="1" applyFont="1" applyFill="1" applyBorder="1" applyAlignment="1">
      <alignment horizontal="left" vertical="top" wrapText="1"/>
    </xf>
    <xf numFmtId="3" fontId="4" fillId="0" borderId="8" xfId="0" applyNumberFormat="1" applyFont="1" applyBorder="1" applyAlignment="1">
      <alignment horizontal="center" vertical="top" wrapText="1"/>
    </xf>
    <xf numFmtId="165" fontId="4" fillId="0" borderId="8" xfId="0" applyNumberFormat="1" applyFont="1" applyBorder="1" applyAlignment="1">
      <alignment horizontal="center" vertical="top" wrapText="1"/>
    </xf>
    <xf numFmtId="165" fontId="4" fillId="4" borderId="6" xfId="0" applyNumberFormat="1" applyFont="1" applyFill="1" applyBorder="1" applyAlignment="1">
      <alignment horizontal="center" vertical="top" wrapText="1"/>
    </xf>
    <xf numFmtId="3" fontId="1" fillId="4" borderId="8" xfId="0" applyNumberFormat="1" applyFont="1" applyFill="1" applyBorder="1" applyAlignment="1">
      <alignment horizontal="center" vertical="top" wrapText="1"/>
    </xf>
    <xf numFmtId="164" fontId="1" fillId="4" borderId="39" xfId="0" applyNumberFormat="1" applyFont="1" applyFill="1" applyBorder="1" applyAlignment="1">
      <alignment horizontal="center" vertical="top"/>
    </xf>
    <xf numFmtId="164" fontId="1" fillId="4" borderId="60" xfId="0" applyNumberFormat="1" applyFont="1" applyFill="1" applyBorder="1" applyAlignment="1">
      <alignment horizontal="center" vertical="top"/>
    </xf>
    <xf numFmtId="3" fontId="4" fillId="0" borderId="49" xfId="0" applyNumberFormat="1" applyFont="1" applyFill="1" applyBorder="1" applyAlignment="1">
      <alignment horizontal="center" vertical="top" wrapText="1"/>
    </xf>
    <xf numFmtId="3" fontId="2" fillId="4" borderId="33" xfId="0" applyNumberFormat="1" applyFont="1" applyFill="1" applyBorder="1" applyAlignment="1">
      <alignment horizontal="center" vertical="top"/>
    </xf>
    <xf numFmtId="3" fontId="2" fillId="4" borderId="32" xfId="0" applyNumberFormat="1" applyFont="1" applyFill="1" applyBorder="1" applyAlignment="1">
      <alignment horizontal="center" vertical="top"/>
    </xf>
    <xf numFmtId="3" fontId="1" fillId="0" borderId="8" xfId="0" applyNumberFormat="1" applyFont="1" applyFill="1" applyBorder="1" applyAlignment="1">
      <alignment horizontal="center" vertical="top" wrapText="1"/>
    </xf>
    <xf numFmtId="3" fontId="4" fillId="0" borderId="10" xfId="0" applyNumberFormat="1" applyFont="1" applyBorder="1" applyAlignment="1">
      <alignment horizontal="center" vertical="top" wrapText="1"/>
    </xf>
    <xf numFmtId="164" fontId="1" fillId="4" borderId="37" xfId="0" applyNumberFormat="1" applyFont="1" applyFill="1" applyBorder="1" applyAlignment="1">
      <alignment horizontal="center" vertical="top"/>
    </xf>
    <xf numFmtId="164" fontId="1" fillId="4" borderId="41" xfId="0" applyNumberFormat="1" applyFont="1" applyFill="1" applyBorder="1" applyAlignment="1">
      <alignment horizontal="center" vertical="top"/>
    </xf>
    <xf numFmtId="3" fontId="1" fillId="0" borderId="0" xfId="0" applyNumberFormat="1" applyFont="1" applyBorder="1" applyAlignment="1">
      <alignment horizontal="left" vertical="top" wrapText="1"/>
    </xf>
    <xf numFmtId="3" fontId="4" fillId="4" borderId="39" xfId="0" applyNumberFormat="1" applyFont="1" applyFill="1" applyBorder="1" applyAlignment="1">
      <alignment horizontal="center" vertical="top" wrapText="1"/>
    </xf>
    <xf numFmtId="3" fontId="4" fillId="4" borderId="60" xfId="0" applyNumberFormat="1" applyFont="1" applyFill="1" applyBorder="1" applyAlignment="1">
      <alignment horizontal="center" vertical="top" wrapText="1"/>
    </xf>
    <xf numFmtId="3" fontId="4" fillId="4" borderId="59" xfId="0" applyNumberFormat="1" applyFont="1" applyFill="1" applyBorder="1" applyAlignment="1">
      <alignment horizontal="center" vertical="top" wrapText="1"/>
    </xf>
    <xf numFmtId="3" fontId="1" fillId="4" borderId="17" xfId="0" applyNumberFormat="1" applyFont="1" applyFill="1" applyBorder="1" applyAlignment="1">
      <alignment horizontal="center" vertical="top" wrapText="1"/>
    </xf>
    <xf numFmtId="3" fontId="1" fillId="4" borderId="59" xfId="0" applyNumberFormat="1" applyFont="1" applyFill="1" applyBorder="1" applyAlignment="1">
      <alignment horizontal="center" vertical="top" wrapText="1"/>
    </xf>
    <xf numFmtId="3" fontId="1" fillId="4" borderId="42" xfId="0" applyNumberFormat="1" applyFont="1" applyFill="1" applyBorder="1" applyAlignment="1">
      <alignment horizontal="center" vertical="top" wrapText="1"/>
    </xf>
    <xf numFmtId="164" fontId="1" fillId="4" borderId="40" xfId="0" applyNumberFormat="1" applyFont="1" applyFill="1" applyBorder="1" applyAlignment="1">
      <alignment horizontal="center" vertical="top" wrapText="1"/>
    </xf>
    <xf numFmtId="3" fontId="4" fillId="3" borderId="8" xfId="0" applyNumberFormat="1" applyFont="1" applyFill="1" applyBorder="1" applyAlignment="1">
      <alignment horizontal="center" vertical="top" wrapText="1"/>
    </xf>
    <xf numFmtId="3" fontId="1" fillId="0" borderId="31" xfId="0" applyNumberFormat="1" applyFont="1" applyBorder="1" applyAlignment="1">
      <alignment horizontal="center" vertical="top" wrapText="1"/>
    </xf>
    <xf numFmtId="3" fontId="1" fillId="0" borderId="21" xfId="0" applyNumberFormat="1" applyFont="1" applyBorder="1" applyAlignment="1">
      <alignment horizontal="center" vertical="top" wrapText="1"/>
    </xf>
    <xf numFmtId="3" fontId="4" fillId="0" borderId="43" xfId="0" applyNumberFormat="1" applyFont="1" applyBorder="1" applyAlignment="1">
      <alignment horizontal="center" wrapText="1"/>
    </xf>
    <xf numFmtId="3" fontId="1" fillId="4" borderId="7" xfId="0" applyNumberFormat="1" applyFont="1" applyFill="1" applyBorder="1" applyAlignment="1">
      <alignment horizontal="center" vertical="top" wrapText="1"/>
    </xf>
    <xf numFmtId="167" fontId="4" fillId="9" borderId="17" xfId="2" applyNumberFormat="1" applyFont="1" applyFill="1" applyBorder="1" applyAlignment="1">
      <alignment horizontal="left" vertical="top" wrapText="1"/>
    </xf>
    <xf numFmtId="3" fontId="4" fillId="4" borderId="8" xfId="0" applyNumberFormat="1" applyFont="1" applyFill="1" applyBorder="1" applyAlignment="1">
      <alignment horizontal="center" vertical="top" wrapText="1"/>
    </xf>
    <xf numFmtId="3" fontId="1" fillId="4" borderId="37"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3" fontId="4" fillId="3" borderId="49"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3" fontId="4" fillId="4" borderId="75" xfId="0" applyNumberFormat="1" applyFont="1" applyFill="1" applyBorder="1" applyAlignment="1">
      <alignment horizontal="center" vertical="top" wrapText="1"/>
    </xf>
    <xf numFmtId="0" fontId="24" fillId="0" borderId="0" xfId="0" applyFont="1" applyAlignment="1">
      <alignment vertical="center"/>
    </xf>
    <xf numFmtId="0" fontId="8" fillId="0" borderId="163" xfId="0" applyFont="1" applyBorder="1" applyAlignment="1">
      <alignment horizontal="center" vertical="center" wrapText="1"/>
    </xf>
    <xf numFmtId="0" fontId="8" fillId="0" borderId="164" xfId="0" applyFont="1" applyBorder="1" applyAlignment="1">
      <alignment vertical="center" wrapText="1"/>
    </xf>
    <xf numFmtId="0" fontId="8" fillId="0" borderId="168" xfId="0" applyFont="1" applyBorder="1" applyAlignment="1">
      <alignment horizontal="center" vertical="center" wrapText="1"/>
    </xf>
    <xf numFmtId="0" fontId="8" fillId="0" borderId="169" xfId="0" applyFont="1" applyBorder="1" applyAlignment="1">
      <alignment vertical="center" wrapText="1"/>
    </xf>
    <xf numFmtId="0" fontId="8" fillId="0" borderId="169" xfId="0" applyFont="1" applyBorder="1" applyAlignment="1">
      <alignment horizontal="center" vertical="center" wrapText="1"/>
    </xf>
    <xf numFmtId="0" fontId="8" fillId="0" borderId="166" xfId="0" applyFont="1" applyBorder="1" applyAlignment="1">
      <alignment horizontal="center" vertical="center" wrapText="1"/>
    </xf>
    <xf numFmtId="0" fontId="8" fillId="0" borderId="167" xfId="0" applyFont="1" applyBorder="1" applyAlignment="1">
      <alignment vertical="center" wrapText="1"/>
    </xf>
    <xf numFmtId="0" fontId="8" fillId="0" borderId="167" xfId="0" applyFont="1" applyBorder="1" applyAlignment="1">
      <alignment horizontal="center" vertical="center" wrapText="1"/>
    </xf>
    <xf numFmtId="0" fontId="8" fillId="0" borderId="167" xfId="0" applyFont="1" applyBorder="1" applyAlignment="1">
      <alignment horizontal="right" vertical="center" wrapText="1"/>
    </xf>
    <xf numFmtId="0" fontId="11" fillId="0" borderId="167" xfId="0" applyFont="1" applyBorder="1" applyAlignment="1">
      <alignment horizontal="center" vertical="center" wrapText="1"/>
    </xf>
    <xf numFmtId="0" fontId="11" fillId="0" borderId="167" xfId="0" applyFont="1" applyBorder="1" applyAlignment="1">
      <alignment horizontal="right" vertical="center" wrapText="1"/>
    </xf>
    <xf numFmtId="0" fontId="8" fillId="0" borderId="173" xfId="0" applyFont="1" applyBorder="1" applyAlignment="1">
      <alignment horizontal="center" vertical="center" wrapText="1"/>
    </xf>
    <xf numFmtId="0" fontId="8" fillId="0" borderId="174" xfId="0" applyFont="1" applyBorder="1" applyAlignment="1">
      <alignment vertical="center" wrapText="1"/>
    </xf>
    <xf numFmtId="0" fontId="8" fillId="0" borderId="174" xfId="0" applyFont="1" applyBorder="1" applyAlignment="1">
      <alignment horizontal="center" vertical="center" wrapText="1"/>
    </xf>
    <xf numFmtId="0" fontId="8" fillId="0" borderId="175" xfId="0" applyFont="1" applyBorder="1" applyAlignment="1">
      <alignment vertical="center" wrapText="1"/>
    </xf>
    <xf numFmtId="164" fontId="4" fillId="12" borderId="144" xfId="2" applyNumberFormat="1" applyFont="1" applyFill="1" applyBorder="1" applyAlignment="1">
      <alignment horizontal="center" vertical="top"/>
    </xf>
    <xf numFmtId="164" fontId="4" fillId="12" borderId="148" xfId="2" applyNumberFormat="1" applyFont="1" applyFill="1" applyBorder="1" applyAlignment="1">
      <alignment horizontal="center" vertical="top"/>
    </xf>
    <xf numFmtId="49" fontId="2" fillId="8" borderId="41" xfId="0" applyNumberFormat="1" applyFont="1" applyFill="1" applyBorder="1" applyAlignment="1">
      <alignment horizontal="center" vertical="top" wrapText="1"/>
    </xf>
    <xf numFmtId="49" fontId="2" fillId="2" borderId="42" xfId="0" applyNumberFormat="1" applyFont="1" applyFill="1" applyBorder="1" applyAlignment="1">
      <alignment horizontal="center" vertical="top" wrapText="1"/>
    </xf>
    <xf numFmtId="49" fontId="2" fillId="3" borderId="53" xfId="0" applyNumberFormat="1" applyFont="1" applyFill="1" applyBorder="1" applyAlignment="1">
      <alignment horizontal="center" vertical="top" wrapText="1"/>
    </xf>
    <xf numFmtId="3" fontId="2" fillId="0" borderId="42" xfId="0" applyNumberFormat="1" applyFont="1" applyFill="1" applyBorder="1" applyAlignment="1">
      <alignment horizontal="center" vertical="top" textRotation="180" wrapText="1"/>
    </xf>
    <xf numFmtId="3" fontId="2" fillId="0" borderId="57" xfId="0" applyNumberFormat="1" applyFont="1" applyBorder="1" applyAlignment="1">
      <alignment horizontal="center" vertical="top" wrapText="1"/>
    </xf>
    <xf numFmtId="49" fontId="4" fillId="4" borderId="5" xfId="2" applyNumberFormat="1" applyFont="1" applyFill="1" applyBorder="1" applyAlignment="1">
      <alignment horizontal="center" vertical="top"/>
    </xf>
    <xf numFmtId="3" fontId="5" fillId="0" borderId="67" xfId="0" applyNumberFormat="1" applyFont="1" applyFill="1" applyBorder="1" applyAlignment="1">
      <alignment horizontal="center" vertical="top" textRotation="180" wrapText="1"/>
    </xf>
    <xf numFmtId="3" fontId="4" fillId="0" borderId="8" xfId="0" applyNumberFormat="1" applyFont="1" applyBorder="1" applyAlignment="1">
      <alignment horizontal="center" vertical="top" wrapText="1"/>
    </xf>
    <xf numFmtId="3" fontId="4" fillId="4" borderId="39" xfId="0" applyNumberFormat="1" applyFont="1" applyFill="1" applyBorder="1" applyAlignment="1">
      <alignment horizontal="center" vertical="top" wrapText="1"/>
    </xf>
    <xf numFmtId="3" fontId="4" fillId="4" borderId="60" xfId="0" applyNumberFormat="1" applyFont="1" applyFill="1" applyBorder="1" applyAlignment="1">
      <alignment horizontal="center" vertical="top" wrapText="1"/>
    </xf>
    <xf numFmtId="3" fontId="5" fillId="0" borderId="67" xfId="0" applyNumberFormat="1" applyFont="1" applyFill="1" applyBorder="1" applyAlignment="1">
      <alignment horizontal="center" vertical="top" textRotation="90" wrapText="1"/>
    </xf>
    <xf numFmtId="164" fontId="4" fillId="4" borderId="0" xfId="0" applyNumberFormat="1" applyFont="1" applyFill="1" applyBorder="1" applyAlignment="1">
      <alignment horizontal="center" vertical="center" wrapText="1"/>
    </xf>
    <xf numFmtId="164" fontId="1" fillId="4" borderId="80" xfId="0" applyNumberFormat="1" applyFont="1" applyFill="1" applyBorder="1" applyAlignment="1">
      <alignment horizontal="center" vertical="top" wrapText="1"/>
    </xf>
    <xf numFmtId="164" fontId="4" fillId="11" borderId="0" xfId="2" applyNumberFormat="1" applyFont="1" applyFill="1" applyBorder="1" applyAlignment="1">
      <alignment horizontal="center" vertical="top"/>
    </xf>
    <xf numFmtId="164" fontId="4" fillId="0" borderId="34" xfId="0" applyNumberFormat="1" applyFont="1" applyFill="1" applyBorder="1" applyAlignment="1">
      <alignment horizontal="center" vertical="top" wrapText="1"/>
    </xf>
    <xf numFmtId="164" fontId="4" fillId="11" borderId="57" xfId="2" applyNumberFormat="1" applyFont="1" applyFill="1" applyBorder="1" applyAlignment="1">
      <alignment horizontal="center" vertical="top"/>
    </xf>
    <xf numFmtId="164" fontId="1" fillId="0" borderId="27" xfId="0" applyNumberFormat="1" applyFont="1" applyFill="1" applyBorder="1" applyAlignment="1">
      <alignment horizontal="center" vertical="top" wrapText="1"/>
    </xf>
    <xf numFmtId="164" fontId="2" fillId="2" borderId="43" xfId="0" applyNumberFormat="1" applyFont="1" applyFill="1" applyBorder="1" applyAlignment="1">
      <alignment horizontal="center" vertical="top" wrapText="1"/>
    </xf>
    <xf numFmtId="164" fontId="1" fillId="4" borderId="57" xfId="0" applyNumberFormat="1" applyFont="1" applyFill="1" applyBorder="1" applyAlignment="1">
      <alignment horizontal="center" vertical="top"/>
    </xf>
    <xf numFmtId="164" fontId="1" fillId="4" borderId="176" xfId="0" applyNumberFormat="1" applyFont="1" applyFill="1" applyBorder="1" applyAlignment="1">
      <alignment vertical="top"/>
    </xf>
    <xf numFmtId="165" fontId="2" fillId="7" borderId="58" xfId="0" applyNumberFormat="1" applyFont="1" applyFill="1" applyBorder="1" applyAlignment="1">
      <alignment horizontal="center" vertical="top" wrapText="1"/>
    </xf>
    <xf numFmtId="164" fontId="1" fillId="0" borderId="16" xfId="0" applyNumberFormat="1" applyFont="1" applyFill="1" applyBorder="1" applyAlignment="1">
      <alignment horizontal="center" vertical="top" wrapText="1"/>
    </xf>
    <xf numFmtId="164" fontId="4" fillId="4" borderId="18" xfId="0" applyNumberFormat="1" applyFont="1" applyFill="1" applyBorder="1" applyAlignment="1">
      <alignment horizontal="center" vertical="center"/>
    </xf>
    <xf numFmtId="164" fontId="4" fillId="11" borderId="62" xfId="2" applyNumberFormat="1" applyFont="1" applyFill="1" applyBorder="1" applyAlignment="1">
      <alignment horizontal="center" vertical="top"/>
    </xf>
    <xf numFmtId="164" fontId="5" fillId="5" borderId="4" xfId="0" applyNumberFormat="1" applyFont="1" applyFill="1" applyBorder="1" applyAlignment="1">
      <alignment horizontal="center" vertical="top" wrapText="1"/>
    </xf>
    <xf numFmtId="164" fontId="4" fillId="11" borderId="18" xfId="2" applyNumberFormat="1" applyFont="1" applyFill="1" applyBorder="1" applyAlignment="1">
      <alignment horizontal="center" vertical="top"/>
    </xf>
    <xf numFmtId="164" fontId="4" fillId="11" borderId="59" xfId="2" applyNumberFormat="1" applyFont="1" applyFill="1" applyBorder="1" applyAlignment="1">
      <alignment horizontal="center" vertical="top"/>
    </xf>
    <xf numFmtId="164" fontId="4" fillId="11" borderId="42" xfId="2" applyNumberFormat="1" applyFont="1" applyFill="1" applyBorder="1" applyAlignment="1">
      <alignment horizontal="center" vertical="top"/>
    </xf>
    <xf numFmtId="164" fontId="4" fillId="11" borderId="177" xfId="2" applyNumberFormat="1" applyFont="1" applyFill="1" applyBorder="1" applyAlignment="1">
      <alignment horizontal="center" vertical="top"/>
    </xf>
    <xf numFmtId="164" fontId="4" fillId="11" borderId="178" xfId="2"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2" fillId="2" borderId="19" xfId="0" applyNumberFormat="1" applyFont="1" applyFill="1" applyBorder="1" applyAlignment="1">
      <alignment horizontal="center" vertical="top" wrapText="1"/>
    </xf>
    <xf numFmtId="164" fontId="1" fillId="4" borderId="16" xfId="0" applyNumberFormat="1" applyFont="1" applyFill="1" applyBorder="1" applyAlignment="1">
      <alignment horizontal="center" vertical="top"/>
    </xf>
    <xf numFmtId="164" fontId="1" fillId="0" borderId="17" xfId="0" applyNumberFormat="1" applyFont="1" applyFill="1" applyBorder="1" applyAlignment="1">
      <alignment horizontal="center" vertical="top" wrapText="1"/>
    </xf>
    <xf numFmtId="164" fontId="1" fillId="0" borderId="18" xfId="0" applyNumberFormat="1" applyFont="1" applyFill="1" applyBorder="1" applyAlignment="1">
      <alignment horizontal="center" vertical="top" wrapText="1"/>
    </xf>
    <xf numFmtId="164" fontId="5" fillId="7" borderId="14" xfId="0" applyNumberFormat="1" applyFont="1" applyFill="1" applyBorder="1" applyAlignment="1">
      <alignment horizontal="center" vertical="top" wrapText="1"/>
    </xf>
    <xf numFmtId="164" fontId="4" fillId="0" borderId="33" xfId="0" applyNumberFormat="1" applyFont="1" applyBorder="1" applyAlignment="1">
      <alignment horizontal="center" vertical="top" wrapText="1"/>
    </xf>
    <xf numFmtId="164" fontId="5" fillId="5" borderId="14" xfId="0" applyNumberFormat="1" applyFont="1" applyFill="1" applyBorder="1" applyAlignment="1">
      <alignment horizontal="center" vertical="top" wrapText="1"/>
    </xf>
    <xf numFmtId="164" fontId="2" fillId="5" borderId="79" xfId="0" applyNumberFormat="1" applyFont="1" applyFill="1" applyBorder="1" applyAlignment="1">
      <alignment horizontal="center" vertical="top" wrapText="1"/>
    </xf>
    <xf numFmtId="164" fontId="1" fillId="3" borderId="7" xfId="0" applyNumberFormat="1" applyFont="1" applyFill="1" applyBorder="1" applyAlignment="1">
      <alignment horizontal="center" vertical="top" wrapText="1"/>
    </xf>
    <xf numFmtId="164" fontId="2" fillId="5" borderId="50" xfId="0" applyNumberFormat="1" applyFont="1" applyFill="1" applyBorder="1" applyAlignment="1">
      <alignment horizontal="center" vertical="top"/>
    </xf>
    <xf numFmtId="164" fontId="1" fillId="0" borderId="24" xfId="0" applyNumberFormat="1" applyFont="1" applyFill="1" applyBorder="1" applyAlignment="1">
      <alignment horizontal="center" vertical="top" wrapText="1"/>
    </xf>
    <xf numFmtId="164" fontId="1" fillId="0" borderId="7" xfId="0" applyNumberFormat="1" applyFont="1" applyFill="1" applyBorder="1" applyAlignment="1">
      <alignment horizontal="center" vertical="top" wrapText="1"/>
    </xf>
    <xf numFmtId="164" fontId="5" fillId="5" borderId="50" xfId="0" applyNumberFormat="1" applyFont="1" applyFill="1" applyBorder="1" applyAlignment="1">
      <alignment horizontal="center" vertical="top" wrapText="1"/>
    </xf>
    <xf numFmtId="164" fontId="1" fillId="0" borderId="78" xfId="0" applyNumberFormat="1" applyFont="1" applyBorder="1" applyAlignment="1">
      <alignment horizontal="center" vertical="top" wrapText="1"/>
    </xf>
    <xf numFmtId="164" fontId="2" fillId="2" borderId="69" xfId="0" applyNumberFormat="1" applyFont="1" applyFill="1" applyBorder="1" applyAlignment="1">
      <alignment horizontal="center" vertical="top" wrapText="1"/>
    </xf>
    <xf numFmtId="164" fontId="4" fillId="11" borderId="7" xfId="2" applyNumberFormat="1" applyFont="1" applyFill="1" applyBorder="1" applyAlignment="1">
      <alignment horizontal="center" vertical="top"/>
    </xf>
    <xf numFmtId="164" fontId="4" fillId="11" borderId="28" xfId="2" applyNumberFormat="1" applyFont="1" applyFill="1" applyBorder="1" applyAlignment="1">
      <alignment horizontal="center" vertical="top"/>
    </xf>
    <xf numFmtId="164" fontId="4" fillId="11" borderId="93" xfId="2" applyNumberFormat="1" applyFont="1" applyFill="1" applyBorder="1" applyAlignment="1">
      <alignment horizontal="center" vertical="top"/>
    </xf>
    <xf numFmtId="164" fontId="2" fillId="8" borderId="25" xfId="0" applyNumberFormat="1" applyFont="1" applyFill="1" applyBorder="1" applyAlignment="1">
      <alignment horizontal="center" vertical="top" wrapText="1"/>
    </xf>
    <xf numFmtId="165" fontId="2" fillId="5" borderId="62" xfId="0" applyNumberFormat="1" applyFont="1" applyFill="1" applyBorder="1" applyAlignment="1">
      <alignment horizontal="center" vertical="top" wrapText="1"/>
    </xf>
    <xf numFmtId="164" fontId="4" fillId="0" borderId="61" xfId="0" applyNumberFormat="1" applyFont="1" applyFill="1" applyBorder="1" applyAlignment="1">
      <alignment horizontal="center" vertical="top" wrapText="1"/>
    </xf>
    <xf numFmtId="164" fontId="4" fillId="0" borderId="59" xfId="0" applyNumberFormat="1" applyFont="1" applyFill="1" applyBorder="1" applyAlignment="1">
      <alignment horizontal="center" vertical="top" wrapText="1"/>
    </xf>
    <xf numFmtId="164" fontId="4" fillId="5" borderId="61" xfId="0" applyNumberFormat="1" applyFont="1" applyFill="1" applyBorder="1" applyAlignment="1">
      <alignment horizontal="center" vertical="top" wrapText="1"/>
    </xf>
    <xf numFmtId="164" fontId="4" fillId="5" borderId="28" xfId="0" applyNumberFormat="1" applyFont="1" applyFill="1" applyBorder="1" applyAlignment="1">
      <alignment horizontal="center" vertical="top" wrapText="1"/>
    </xf>
    <xf numFmtId="164" fontId="4" fillId="5" borderId="50" xfId="0" applyNumberFormat="1" applyFont="1" applyFill="1" applyBorder="1" applyAlignment="1">
      <alignment horizontal="center" vertical="top" wrapText="1"/>
    </xf>
    <xf numFmtId="3" fontId="1" fillId="4" borderId="2" xfId="0" applyNumberFormat="1" applyFont="1" applyFill="1" applyBorder="1" applyAlignment="1">
      <alignment horizontal="center" vertical="top"/>
    </xf>
    <xf numFmtId="3" fontId="1" fillId="4" borderId="5" xfId="0" applyNumberFormat="1" applyFont="1" applyFill="1" applyBorder="1" applyAlignment="1">
      <alignment horizontal="center" vertical="top"/>
    </xf>
    <xf numFmtId="3" fontId="1" fillId="0" borderId="10" xfId="0" applyNumberFormat="1" applyFont="1" applyBorder="1" applyAlignment="1">
      <alignment horizontal="center" vertical="top"/>
    </xf>
    <xf numFmtId="3" fontId="1" fillId="0" borderId="49" xfId="0" applyNumberFormat="1" applyFont="1" applyBorder="1" applyAlignment="1">
      <alignment horizontal="center" vertical="top"/>
    </xf>
    <xf numFmtId="3" fontId="4" fillId="0" borderId="2" xfId="0" applyNumberFormat="1" applyFont="1" applyFill="1" applyBorder="1" applyAlignment="1">
      <alignment horizontal="center" vertical="top"/>
    </xf>
    <xf numFmtId="164" fontId="1" fillId="0" borderId="112" xfId="0" applyNumberFormat="1" applyFont="1" applyFill="1" applyBorder="1" applyAlignment="1">
      <alignment horizontal="center" vertical="top" wrapText="1"/>
    </xf>
    <xf numFmtId="164" fontId="5" fillId="7" borderId="76" xfId="0" applyNumberFormat="1" applyFont="1" applyFill="1" applyBorder="1" applyAlignment="1">
      <alignment horizontal="center" vertical="top" wrapText="1"/>
    </xf>
    <xf numFmtId="164" fontId="4" fillId="0" borderId="52" xfId="0" applyNumberFormat="1" applyFont="1" applyBorder="1" applyAlignment="1">
      <alignment horizontal="center" vertical="top" wrapText="1"/>
    </xf>
    <xf numFmtId="165" fontId="2" fillId="5" borderId="51" xfId="0" applyNumberFormat="1" applyFont="1" applyFill="1" applyBorder="1" applyAlignment="1">
      <alignment horizontal="center" vertical="top" wrapText="1"/>
    </xf>
    <xf numFmtId="164" fontId="4" fillId="5" borderId="33" xfId="0" applyNumberFormat="1" applyFont="1" applyFill="1" applyBorder="1" applyAlignment="1">
      <alignment horizontal="center" vertical="top" wrapText="1"/>
    </xf>
    <xf numFmtId="164" fontId="4" fillId="5" borderId="46" xfId="0" applyNumberFormat="1" applyFont="1" applyFill="1" applyBorder="1" applyAlignment="1">
      <alignment horizontal="center" vertical="top" wrapText="1"/>
    </xf>
    <xf numFmtId="164" fontId="4" fillId="5" borderId="51" xfId="0" applyNumberFormat="1" applyFont="1" applyFill="1" applyBorder="1" applyAlignment="1">
      <alignment horizontal="center" vertical="top" wrapText="1"/>
    </xf>
    <xf numFmtId="168" fontId="4" fillId="9" borderId="16" xfId="2" applyNumberFormat="1" applyFont="1" applyFill="1" applyBorder="1" applyAlignment="1">
      <alignment vertical="top" wrapText="1"/>
    </xf>
    <xf numFmtId="164" fontId="1" fillId="4" borderId="58" xfId="0" applyNumberFormat="1" applyFont="1" applyFill="1" applyBorder="1" applyAlignment="1">
      <alignment horizontal="center" vertical="top" wrapText="1"/>
    </xf>
    <xf numFmtId="164" fontId="2" fillId="5" borderId="43" xfId="0" applyNumberFormat="1" applyFont="1" applyFill="1" applyBorder="1" applyAlignment="1">
      <alignment horizontal="center" vertical="top" wrapText="1"/>
    </xf>
    <xf numFmtId="164" fontId="4" fillId="12" borderId="27" xfId="2" applyNumberFormat="1" applyFont="1" applyFill="1" applyBorder="1" applyAlignment="1">
      <alignment horizontal="center" vertical="top"/>
    </xf>
    <xf numFmtId="164" fontId="4" fillId="12" borderId="57" xfId="2" applyNumberFormat="1" applyFont="1" applyFill="1" applyBorder="1" applyAlignment="1">
      <alignment horizontal="center" vertical="top"/>
    </xf>
    <xf numFmtId="164" fontId="2" fillId="4" borderId="0" xfId="0" applyNumberFormat="1" applyFont="1" applyFill="1" applyBorder="1" applyAlignment="1">
      <alignment horizontal="center" vertical="top"/>
    </xf>
    <xf numFmtId="164" fontId="1" fillId="3" borderId="34" xfId="0" applyNumberFormat="1" applyFont="1" applyFill="1" applyBorder="1" applyAlignment="1">
      <alignment horizontal="center" vertical="top" wrapText="1"/>
    </xf>
    <xf numFmtId="164" fontId="1" fillId="4" borderId="3" xfId="0" applyNumberFormat="1" applyFont="1" applyFill="1" applyBorder="1" applyAlignment="1">
      <alignment horizontal="center" vertical="top"/>
    </xf>
    <xf numFmtId="165" fontId="4" fillId="0" borderId="3" xfId="0" applyNumberFormat="1" applyFont="1" applyBorder="1" applyAlignment="1">
      <alignment horizontal="center" vertical="center" wrapText="1"/>
    </xf>
    <xf numFmtId="164" fontId="4" fillId="0" borderId="57" xfId="0" applyNumberFormat="1" applyFont="1" applyFill="1" applyBorder="1" applyAlignment="1">
      <alignment horizontal="center" vertical="top" wrapText="1"/>
    </xf>
    <xf numFmtId="164" fontId="4" fillId="0" borderId="27" xfId="0" applyNumberFormat="1" applyFont="1" applyFill="1" applyBorder="1" applyAlignment="1">
      <alignment horizontal="center" vertical="top" wrapText="1"/>
    </xf>
    <xf numFmtId="164" fontId="4" fillId="5" borderId="27" xfId="0" applyNumberFormat="1" applyFont="1" applyFill="1" applyBorder="1" applyAlignment="1">
      <alignment horizontal="center" vertical="top" wrapText="1"/>
    </xf>
    <xf numFmtId="164" fontId="4" fillId="5" borderId="45" xfId="0" applyNumberFormat="1" applyFont="1" applyFill="1" applyBorder="1" applyAlignment="1">
      <alignment horizontal="center" vertical="top" wrapText="1"/>
    </xf>
    <xf numFmtId="164" fontId="5" fillId="7" borderId="54" xfId="0" applyNumberFormat="1" applyFont="1" applyFill="1" applyBorder="1" applyAlignment="1">
      <alignment horizontal="center" vertical="top" wrapText="1"/>
    </xf>
    <xf numFmtId="164" fontId="4" fillId="0" borderId="27" xfId="0" applyNumberFormat="1" applyFont="1" applyBorder="1" applyAlignment="1">
      <alignment horizontal="center" vertical="top" wrapText="1"/>
    </xf>
    <xf numFmtId="164" fontId="4" fillId="0" borderId="45" xfId="0" applyNumberFormat="1" applyFont="1" applyBorder="1" applyAlignment="1">
      <alignment horizontal="center" vertical="top" wrapText="1"/>
    </xf>
    <xf numFmtId="164" fontId="5" fillId="5" borderId="54" xfId="0" applyNumberFormat="1" applyFont="1" applyFill="1" applyBorder="1" applyAlignment="1">
      <alignment horizontal="center" vertical="top" wrapText="1"/>
    </xf>
    <xf numFmtId="164" fontId="2" fillId="8" borderId="54" xfId="0" applyNumberFormat="1" applyFont="1" applyFill="1" applyBorder="1" applyAlignment="1">
      <alignment horizontal="center" vertical="top" wrapText="1"/>
    </xf>
    <xf numFmtId="164" fontId="2" fillId="8" borderId="72" xfId="0" applyNumberFormat="1" applyFont="1" applyFill="1" applyBorder="1" applyAlignment="1">
      <alignment horizontal="center" vertical="top" wrapText="1"/>
    </xf>
    <xf numFmtId="164" fontId="4" fillId="12" borderId="93" xfId="2" applyNumberFormat="1" applyFont="1" applyFill="1" applyBorder="1" applyAlignment="1">
      <alignment horizontal="center" vertical="top"/>
    </xf>
    <xf numFmtId="164" fontId="1" fillId="0" borderId="26" xfId="0" applyNumberFormat="1" applyFont="1" applyFill="1" applyBorder="1" applyAlignment="1">
      <alignment horizontal="center" vertical="top" wrapText="1"/>
    </xf>
    <xf numFmtId="164" fontId="4" fillId="12" borderId="28" xfId="2" applyNumberFormat="1" applyFont="1" applyFill="1" applyBorder="1" applyAlignment="1">
      <alignment horizontal="center" vertical="top"/>
    </xf>
    <xf numFmtId="164" fontId="4" fillId="12" borderId="15" xfId="2" applyNumberFormat="1" applyFont="1" applyFill="1" applyBorder="1" applyAlignment="1">
      <alignment horizontal="center" vertical="top"/>
    </xf>
    <xf numFmtId="164" fontId="4" fillId="12" borderId="17" xfId="2" applyNumberFormat="1" applyFont="1" applyFill="1" applyBorder="1" applyAlignment="1">
      <alignment horizontal="center" vertical="top"/>
    </xf>
    <xf numFmtId="164" fontId="4" fillId="12" borderId="109" xfId="2" applyNumberFormat="1" applyFont="1" applyFill="1" applyBorder="1" applyAlignment="1">
      <alignment horizontal="center" vertical="top"/>
    </xf>
    <xf numFmtId="164" fontId="2" fillId="5" borderId="179" xfId="0" applyNumberFormat="1" applyFont="1" applyFill="1" applyBorder="1" applyAlignment="1">
      <alignment horizontal="center" vertical="top" wrapText="1"/>
    </xf>
    <xf numFmtId="164" fontId="4" fillId="12" borderId="61" xfId="2" applyNumberFormat="1" applyFont="1" applyFill="1" applyBorder="1" applyAlignment="1">
      <alignment horizontal="center" vertical="top"/>
    </xf>
    <xf numFmtId="164" fontId="2" fillId="5" borderId="180" xfId="0" applyNumberFormat="1" applyFont="1" applyFill="1" applyBorder="1" applyAlignment="1">
      <alignment horizontal="center" vertical="top" wrapText="1"/>
    </xf>
    <xf numFmtId="164" fontId="4" fillId="12" borderId="16" xfId="2" applyNumberFormat="1" applyFont="1" applyFill="1" applyBorder="1" applyAlignment="1">
      <alignment horizontal="center" vertical="top"/>
    </xf>
    <xf numFmtId="164" fontId="4" fillId="12" borderId="62" xfId="2" applyNumberFormat="1" applyFont="1" applyFill="1" applyBorder="1" applyAlignment="1">
      <alignment horizontal="center" vertical="top"/>
    </xf>
    <xf numFmtId="164" fontId="4" fillId="12" borderId="24" xfId="2" applyNumberFormat="1" applyFont="1" applyFill="1" applyBorder="1" applyAlignment="1">
      <alignment horizontal="center" vertical="top"/>
    </xf>
    <xf numFmtId="164" fontId="4" fillId="12" borderId="177" xfId="2" applyNumberFormat="1" applyFont="1" applyFill="1" applyBorder="1" applyAlignment="1">
      <alignment horizontal="center" vertical="top"/>
    </xf>
    <xf numFmtId="164" fontId="4" fillId="12" borderId="13" xfId="2" applyNumberFormat="1" applyFont="1" applyFill="1" applyBorder="1" applyAlignment="1">
      <alignment horizontal="center" vertical="top"/>
    </xf>
    <xf numFmtId="164" fontId="4" fillId="12" borderId="42" xfId="2" applyNumberFormat="1" applyFont="1" applyFill="1" applyBorder="1" applyAlignment="1">
      <alignment horizontal="center" vertical="top"/>
    </xf>
    <xf numFmtId="164" fontId="1" fillId="4" borderId="17" xfId="0" applyNumberFormat="1" applyFont="1" applyFill="1" applyBorder="1" applyAlignment="1">
      <alignment vertical="top"/>
    </xf>
    <xf numFmtId="164" fontId="1" fillId="4" borderId="181" xfId="0" applyNumberFormat="1" applyFont="1" applyFill="1" applyBorder="1" applyAlignment="1">
      <alignment horizontal="center" vertical="top"/>
    </xf>
    <xf numFmtId="164" fontId="4" fillId="5" borderId="47" xfId="0" applyNumberFormat="1" applyFont="1" applyFill="1" applyBorder="1" applyAlignment="1">
      <alignment horizontal="center" vertical="top" wrapText="1"/>
    </xf>
    <xf numFmtId="165" fontId="2" fillId="5" borderId="42" xfId="0" applyNumberFormat="1" applyFont="1" applyFill="1" applyBorder="1" applyAlignment="1">
      <alignment horizontal="center" vertical="top" wrapText="1"/>
    </xf>
    <xf numFmtId="164" fontId="4" fillId="5" borderId="59" xfId="0" applyNumberFormat="1" applyFont="1" applyFill="1" applyBorder="1" applyAlignment="1">
      <alignment horizontal="center" vertical="top" wrapText="1"/>
    </xf>
    <xf numFmtId="164" fontId="4" fillId="5" borderId="4" xfId="0" applyNumberFormat="1" applyFont="1" applyFill="1" applyBorder="1" applyAlignment="1">
      <alignment horizontal="center" vertical="top" wrapText="1"/>
    </xf>
    <xf numFmtId="165" fontId="2" fillId="5" borderId="57" xfId="0" applyNumberFormat="1" applyFont="1" applyFill="1" applyBorder="1" applyAlignment="1">
      <alignment horizontal="center" vertical="top" wrapText="1"/>
    </xf>
    <xf numFmtId="164" fontId="4" fillId="0" borderId="47" xfId="0" applyNumberFormat="1" applyFont="1" applyBorder="1" applyAlignment="1">
      <alignment horizontal="center" vertical="top" wrapText="1"/>
    </xf>
    <xf numFmtId="164" fontId="1" fillId="0" borderId="34" xfId="0" applyNumberFormat="1" applyFont="1" applyFill="1" applyBorder="1" applyAlignment="1">
      <alignment horizontal="center" vertical="top" wrapText="1"/>
    </xf>
    <xf numFmtId="164" fontId="1" fillId="0" borderId="66" xfId="0" applyNumberFormat="1" applyFont="1" applyFill="1" applyBorder="1" applyAlignment="1">
      <alignment horizontal="center" vertical="top" wrapText="1"/>
    </xf>
    <xf numFmtId="165" fontId="2" fillId="5" borderId="15" xfId="0" applyNumberFormat="1" applyFont="1" applyFill="1" applyBorder="1" applyAlignment="1">
      <alignment horizontal="center" vertical="top" wrapText="1"/>
    </xf>
    <xf numFmtId="168" fontId="4" fillId="9" borderId="17" xfId="2" applyNumberFormat="1" applyFont="1" applyFill="1" applyBorder="1" applyAlignment="1">
      <alignment vertical="top" wrapText="1"/>
    </xf>
    <xf numFmtId="3" fontId="4" fillId="4" borderId="7" xfId="2" applyNumberFormat="1" applyFont="1" applyFill="1" applyBorder="1" applyAlignment="1">
      <alignment horizontal="center" vertical="top"/>
    </xf>
    <xf numFmtId="49" fontId="10" fillId="4" borderId="8" xfId="2" applyNumberFormat="1" applyFont="1" applyFill="1" applyBorder="1" applyAlignment="1">
      <alignment horizontal="center" vertical="top"/>
    </xf>
    <xf numFmtId="164" fontId="10" fillId="12" borderId="17" xfId="2" applyNumberFormat="1" applyFont="1" applyFill="1" applyBorder="1" applyAlignment="1">
      <alignment horizontal="center" vertical="top"/>
    </xf>
    <xf numFmtId="164" fontId="5" fillId="7" borderId="56" xfId="0" applyNumberFormat="1" applyFont="1" applyFill="1" applyBorder="1" applyAlignment="1">
      <alignment horizontal="center" vertical="top" wrapText="1"/>
    </xf>
    <xf numFmtId="164" fontId="5" fillId="7" borderId="19" xfId="0" applyNumberFormat="1" applyFont="1" applyFill="1" applyBorder="1" applyAlignment="1">
      <alignment horizontal="center" vertical="top" wrapText="1"/>
    </xf>
    <xf numFmtId="164" fontId="5" fillId="7" borderId="69" xfId="0" applyNumberFormat="1" applyFont="1" applyFill="1" applyBorder="1" applyAlignment="1">
      <alignment horizontal="center" vertical="top" wrapText="1"/>
    </xf>
    <xf numFmtId="164" fontId="4" fillId="5" borderId="66" xfId="0" applyNumberFormat="1" applyFont="1" applyFill="1" applyBorder="1" applyAlignment="1">
      <alignment horizontal="center" vertical="top" wrapText="1"/>
    </xf>
    <xf numFmtId="164" fontId="4" fillId="5" borderId="65" xfId="0" applyNumberFormat="1" applyFont="1" applyFill="1" applyBorder="1" applyAlignment="1">
      <alignment horizontal="center" vertical="top" wrapText="1"/>
    </xf>
    <xf numFmtId="164" fontId="4" fillId="5" borderId="26" xfId="0" applyNumberFormat="1" applyFont="1" applyFill="1" applyBorder="1" applyAlignment="1">
      <alignment horizontal="center" vertical="top" wrapText="1"/>
    </xf>
    <xf numFmtId="164" fontId="10" fillId="12" borderId="18" xfId="2" applyNumberFormat="1" applyFont="1" applyFill="1" applyBorder="1" applyAlignment="1">
      <alignment horizontal="center" vertical="top"/>
    </xf>
    <xf numFmtId="164" fontId="10" fillId="12" borderId="0" xfId="2" applyNumberFormat="1" applyFont="1" applyFill="1" applyBorder="1" applyAlignment="1">
      <alignment horizontal="center" vertical="top"/>
    </xf>
    <xf numFmtId="164" fontId="10" fillId="12" borderId="7" xfId="2" applyNumberFormat="1" applyFont="1" applyFill="1" applyBorder="1" applyAlignment="1">
      <alignment horizontal="center" vertical="top"/>
    </xf>
    <xf numFmtId="3" fontId="4" fillId="4" borderId="69" xfId="0" applyNumberFormat="1" applyFont="1" applyFill="1" applyBorder="1" applyAlignment="1">
      <alignment horizontal="center" vertical="top" wrapText="1"/>
    </xf>
    <xf numFmtId="164" fontId="4" fillId="4" borderId="62" xfId="0" applyNumberFormat="1" applyFont="1" applyFill="1" applyBorder="1" applyAlignment="1">
      <alignment horizontal="center" vertical="top"/>
    </xf>
    <xf numFmtId="3" fontId="2" fillId="0" borderId="63" xfId="0" applyNumberFormat="1" applyFont="1" applyFill="1" applyBorder="1" applyAlignment="1">
      <alignment horizontal="center" vertical="top" textRotation="90" wrapText="1"/>
    </xf>
    <xf numFmtId="3" fontId="2" fillId="0" borderId="53" xfId="0" applyNumberFormat="1" applyFont="1" applyFill="1" applyBorder="1" applyAlignment="1">
      <alignment horizontal="center" vertical="top" wrapText="1"/>
    </xf>
    <xf numFmtId="49" fontId="4" fillId="4" borderId="53" xfId="0" applyNumberFormat="1" applyFont="1" applyFill="1" applyBorder="1" applyAlignment="1">
      <alignment horizontal="center" vertical="top" wrapText="1"/>
    </xf>
    <xf numFmtId="3" fontId="2" fillId="4" borderId="57" xfId="0" applyNumberFormat="1" applyFont="1" applyFill="1" applyBorder="1" applyAlignment="1">
      <alignment horizontal="center" vertical="top" wrapText="1"/>
    </xf>
    <xf numFmtId="3" fontId="2" fillId="4" borderId="53" xfId="0" applyNumberFormat="1" applyFont="1" applyFill="1" applyBorder="1" applyAlignment="1">
      <alignment horizontal="center" vertical="top" wrapText="1"/>
    </xf>
    <xf numFmtId="167" fontId="4" fillId="9" borderId="182" xfId="2" applyNumberFormat="1" applyFont="1" applyFill="1" applyBorder="1" applyAlignment="1">
      <alignment vertical="top" wrapText="1"/>
    </xf>
    <xf numFmtId="167" fontId="4" fillId="9" borderId="183" xfId="2" applyNumberFormat="1" applyFont="1" applyFill="1" applyBorder="1" applyAlignment="1">
      <alignment horizontal="center" vertical="top"/>
    </xf>
    <xf numFmtId="3" fontId="4" fillId="0" borderId="43" xfId="0" applyNumberFormat="1" applyFont="1" applyBorder="1" applyAlignment="1">
      <alignment horizontal="right" wrapText="1"/>
    </xf>
    <xf numFmtId="3" fontId="1" fillId="0" borderId="65" xfId="0" applyNumberFormat="1" applyFont="1" applyBorder="1" applyAlignment="1">
      <alignment horizontal="center" vertical="top" wrapText="1"/>
    </xf>
    <xf numFmtId="3" fontId="5" fillId="4" borderId="59" xfId="0" applyNumberFormat="1" applyFont="1" applyFill="1" applyBorder="1" applyAlignment="1">
      <alignment horizontal="left" vertical="top" wrapText="1"/>
    </xf>
    <xf numFmtId="3" fontId="5" fillId="4" borderId="18" xfId="0" applyNumberFormat="1" applyFont="1" applyFill="1" applyBorder="1" applyAlignment="1">
      <alignment horizontal="left" vertical="top" wrapText="1"/>
    </xf>
    <xf numFmtId="3" fontId="5" fillId="4" borderId="42" xfId="0" applyNumberFormat="1" applyFont="1" applyFill="1" applyBorder="1" applyAlignment="1">
      <alignment horizontal="left" vertical="top" wrapText="1"/>
    </xf>
    <xf numFmtId="3" fontId="4" fillId="4" borderId="0" xfId="0" applyNumberFormat="1" applyFont="1" applyFill="1" applyBorder="1" applyAlignment="1">
      <alignment horizontal="center" vertical="top" wrapText="1"/>
    </xf>
    <xf numFmtId="3" fontId="4" fillId="4" borderId="18" xfId="0" applyNumberFormat="1" applyFont="1" applyFill="1" applyBorder="1" applyAlignment="1">
      <alignment horizontal="left" vertical="top" wrapText="1"/>
    </xf>
    <xf numFmtId="3" fontId="4" fillId="4" borderId="16" xfId="0" applyNumberFormat="1" applyFont="1" applyFill="1" applyBorder="1" applyAlignment="1">
      <alignment horizontal="left" vertical="top" wrapText="1"/>
    </xf>
    <xf numFmtId="3" fontId="4" fillId="4" borderId="62" xfId="0" applyNumberFormat="1" applyFont="1" applyFill="1" applyBorder="1" applyAlignment="1">
      <alignment horizontal="left" vertical="top" wrapText="1"/>
    </xf>
    <xf numFmtId="3" fontId="4" fillId="4" borderId="59"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4" fillId="4" borderId="18" xfId="0" applyNumberFormat="1" applyFont="1" applyFill="1" applyBorder="1" applyAlignment="1">
      <alignment horizontal="center" vertical="top" wrapText="1"/>
    </xf>
    <xf numFmtId="3" fontId="4" fillId="4" borderId="42" xfId="0" applyNumberFormat="1" applyFont="1" applyFill="1" applyBorder="1" applyAlignment="1">
      <alignment horizontal="center" vertical="top" wrapText="1"/>
    </xf>
    <xf numFmtId="3" fontId="6" fillId="0" borderId="18" xfId="0" applyNumberFormat="1" applyFont="1" applyFill="1" applyBorder="1" applyAlignment="1">
      <alignment horizontal="left" vertical="top" wrapText="1"/>
    </xf>
    <xf numFmtId="3" fontId="1" fillId="4" borderId="61" xfId="0" applyNumberFormat="1" applyFont="1" applyFill="1" applyBorder="1" applyAlignment="1">
      <alignment horizontal="left" vertical="top" wrapText="1"/>
    </xf>
    <xf numFmtId="3" fontId="1" fillId="4" borderId="56" xfId="0" applyNumberFormat="1" applyFont="1" applyFill="1" applyBorder="1" applyAlignment="1">
      <alignment horizontal="left" vertical="top" wrapText="1"/>
    </xf>
    <xf numFmtId="3" fontId="1" fillId="4" borderId="13"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3" fontId="1" fillId="4" borderId="18" xfId="0" applyNumberFormat="1" applyFont="1" applyFill="1" applyBorder="1" applyAlignment="1">
      <alignment horizontal="left" vertical="top" wrapText="1"/>
    </xf>
    <xf numFmtId="49" fontId="2" fillId="8" borderId="40" xfId="0" applyNumberFormat="1" applyFont="1" applyFill="1" applyBorder="1" applyAlignment="1">
      <alignment horizontal="center" vertical="top"/>
    </xf>
    <xf numFmtId="3" fontId="4" fillId="4" borderId="13" xfId="0" applyNumberFormat="1" applyFont="1" applyFill="1" applyBorder="1" applyAlignment="1">
      <alignment horizontal="center" vertical="top" wrapText="1"/>
    </xf>
    <xf numFmtId="3" fontId="1" fillId="4" borderId="59"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59"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4" borderId="62"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0" fontId="1" fillId="4" borderId="18" xfId="0" applyFont="1" applyFill="1" applyBorder="1" applyAlignment="1">
      <alignment horizontal="left" vertical="top" wrapText="1"/>
    </xf>
    <xf numFmtId="164" fontId="1" fillId="4" borderId="18" xfId="0" applyNumberFormat="1" applyFont="1" applyFill="1" applyBorder="1" applyAlignment="1">
      <alignment horizontal="center" vertical="top"/>
    </xf>
    <xf numFmtId="49" fontId="2" fillId="8" borderId="17"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 fillId="4" borderId="17" xfId="0" applyNumberFormat="1" applyFont="1" applyFill="1" applyBorder="1" applyAlignment="1">
      <alignment horizontal="center" vertical="top" wrapText="1"/>
    </xf>
    <xf numFmtId="3" fontId="1" fillId="4" borderId="0" xfId="0" applyNumberFormat="1" applyFont="1" applyFill="1" applyBorder="1" applyAlignment="1">
      <alignment horizontal="center" vertical="top" wrapText="1"/>
    </xf>
    <xf numFmtId="3" fontId="1" fillId="0" borderId="0" xfId="0" applyNumberFormat="1" applyFont="1" applyBorder="1" applyAlignment="1">
      <alignment horizontal="center" vertical="top" wrapText="1"/>
    </xf>
    <xf numFmtId="3" fontId="2" fillId="0" borderId="13" xfId="0" applyNumberFormat="1" applyFont="1" applyFill="1" applyBorder="1" applyAlignment="1">
      <alignment horizontal="center" vertical="top" textRotation="90" wrapText="1"/>
    </xf>
    <xf numFmtId="164" fontId="1" fillId="4" borderId="17" xfId="0" applyNumberFormat="1" applyFont="1" applyFill="1" applyBorder="1" applyAlignment="1">
      <alignment horizontal="center" vertical="top"/>
    </xf>
    <xf numFmtId="164" fontId="1" fillId="4" borderId="0"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3" fontId="2" fillId="4" borderId="39" xfId="0" applyNumberFormat="1" applyFont="1" applyFill="1" applyBorder="1" applyAlignment="1">
      <alignment horizontal="center" vertical="top" wrapText="1"/>
    </xf>
    <xf numFmtId="3" fontId="4" fillId="4" borderId="5" xfId="0" applyNumberFormat="1" applyFont="1" applyFill="1" applyBorder="1" applyAlignment="1">
      <alignment horizontal="center" vertical="top" wrapText="1"/>
    </xf>
    <xf numFmtId="3" fontId="1" fillId="4" borderId="39" xfId="0" applyNumberFormat="1" applyFont="1" applyFill="1" applyBorder="1" applyAlignment="1">
      <alignment horizontal="center" vertical="top"/>
    </xf>
    <xf numFmtId="3" fontId="1" fillId="4" borderId="60"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164" fontId="1" fillId="4" borderId="59"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3" fontId="1" fillId="4" borderId="17" xfId="0" applyNumberFormat="1" applyFont="1" applyFill="1" applyBorder="1" applyAlignment="1">
      <alignment horizontal="left" vertical="top" wrapText="1"/>
    </xf>
    <xf numFmtId="3" fontId="1" fillId="4" borderId="8" xfId="0" applyNumberFormat="1" applyFont="1" applyFill="1" applyBorder="1" applyAlignment="1">
      <alignment horizontal="center" vertical="top" wrapText="1"/>
    </xf>
    <xf numFmtId="3" fontId="2" fillId="4" borderId="33" xfId="0" applyNumberFormat="1" applyFont="1" applyFill="1" applyBorder="1" applyAlignment="1">
      <alignment horizontal="center" vertical="top"/>
    </xf>
    <xf numFmtId="3" fontId="2" fillId="4" borderId="32" xfId="0" applyNumberFormat="1" applyFont="1" applyFill="1" applyBorder="1" applyAlignment="1">
      <alignment horizontal="center" vertical="top"/>
    </xf>
    <xf numFmtId="164" fontId="1" fillId="4" borderId="17" xfId="0" applyNumberFormat="1" applyFont="1" applyFill="1" applyBorder="1" applyAlignment="1">
      <alignment horizontal="left" vertical="top" wrapText="1"/>
    </xf>
    <xf numFmtId="3" fontId="1" fillId="4" borderId="49" xfId="0" applyNumberFormat="1" applyFont="1" applyFill="1" applyBorder="1" applyAlignment="1">
      <alignment horizontal="center" vertical="top" wrapText="1"/>
    </xf>
    <xf numFmtId="3" fontId="1" fillId="0" borderId="17"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4" fillId="4" borderId="39" xfId="0" applyNumberFormat="1" applyFont="1" applyFill="1" applyBorder="1" applyAlignment="1">
      <alignment horizontal="center" vertical="top" wrapText="1"/>
    </xf>
    <xf numFmtId="3" fontId="4" fillId="4" borderId="60" xfId="0" applyNumberFormat="1" applyFont="1" applyFill="1" applyBorder="1" applyAlignment="1">
      <alignment horizontal="center" vertical="top" wrapText="1"/>
    </xf>
    <xf numFmtId="3" fontId="4" fillId="4" borderId="37" xfId="0" applyNumberFormat="1" applyFont="1" applyFill="1" applyBorder="1" applyAlignment="1">
      <alignment horizontal="center" vertical="top" wrapText="1"/>
    </xf>
    <xf numFmtId="3" fontId="4" fillId="4" borderId="41" xfId="0" applyNumberFormat="1" applyFont="1" applyFill="1" applyBorder="1" applyAlignment="1">
      <alignment horizontal="center" vertical="top" wrapText="1"/>
    </xf>
    <xf numFmtId="3" fontId="4" fillId="4" borderId="59" xfId="0" applyNumberFormat="1" applyFont="1" applyFill="1" applyBorder="1" applyAlignment="1">
      <alignment horizontal="center" vertical="top" wrapText="1"/>
    </xf>
    <xf numFmtId="3" fontId="1" fillId="4" borderId="59" xfId="0" applyNumberFormat="1" applyFont="1" applyFill="1" applyBorder="1" applyAlignment="1">
      <alignment horizontal="center" vertical="top" wrapText="1"/>
    </xf>
    <xf numFmtId="3" fontId="1" fillId="4" borderId="42" xfId="0" applyNumberFormat="1" applyFont="1" applyFill="1" applyBorder="1" applyAlignment="1">
      <alignment horizontal="center" vertical="top" wrapText="1"/>
    </xf>
    <xf numFmtId="3" fontId="1" fillId="0" borderId="21" xfId="0" applyNumberFormat="1" applyFont="1" applyBorder="1" applyAlignment="1">
      <alignment horizontal="center" vertical="top" wrapText="1"/>
    </xf>
    <xf numFmtId="3" fontId="4" fillId="0" borderId="43" xfId="0" applyNumberFormat="1" applyFont="1" applyBorder="1" applyAlignment="1">
      <alignment horizontal="center" wrapText="1"/>
    </xf>
    <xf numFmtId="3" fontId="1" fillId="4" borderId="7" xfId="0" applyNumberFormat="1" applyFont="1" applyFill="1" applyBorder="1" applyAlignment="1">
      <alignment horizontal="center" vertical="top" wrapText="1"/>
    </xf>
    <xf numFmtId="3" fontId="4" fillId="4" borderId="8"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49" fontId="2" fillId="8" borderId="17" xfId="0" applyNumberFormat="1" applyFont="1" applyFill="1" applyBorder="1" applyAlignment="1">
      <alignment horizontal="center" vertical="top"/>
    </xf>
    <xf numFmtId="3" fontId="1" fillId="0" borderId="0" xfId="0" applyNumberFormat="1" applyFont="1" applyFill="1" applyBorder="1" applyAlignment="1">
      <alignment horizontal="center" vertical="top" wrapText="1"/>
    </xf>
    <xf numFmtId="164" fontId="1" fillId="4" borderId="18"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164" fontId="1" fillId="4" borderId="17" xfId="0" applyNumberFormat="1" applyFont="1" applyFill="1" applyBorder="1" applyAlignment="1">
      <alignment horizontal="center" vertical="top"/>
    </xf>
    <xf numFmtId="164" fontId="1" fillId="4" borderId="0" xfId="0" applyNumberFormat="1" applyFont="1" applyFill="1" applyBorder="1" applyAlignment="1">
      <alignment horizontal="center" vertical="top"/>
    </xf>
    <xf numFmtId="3" fontId="1" fillId="0" borderId="10"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1" fillId="4" borderId="8" xfId="0" applyNumberFormat="1" applyFont="1" applyFill="1" applyBorder="1" applyAlignment="1">
      <alignment horizontal="center" vertical="top" wrapText="1"/>
    </xf>
    <xf numFmtId="3" fontId="4" fillId="4" borderId="60" xfId="0" applyNumberFormat="1" applyFont="1" applyFill="1" applyBorder="1" applyAlignment="1">
      <alignment horizontal="center" vertical="top" wrapText="1"/>
    </xf>
    <xf numFmtId="3" fontId="2" fillId="4" borderId="60"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xf>
    <xf numFmtId="164" fontId="1" fillId="4" borderId="78" xfId="0" applyNumberFormat="1" applyFont="1" applyFill="1" applyBorder="1" applyAlignment="1">
      <alignment horizontal="center" vertical="top" wrapText="1"/>
    </xf>
    <xf numFmtId="164" fontId="10" fillId="11" borderId="18" xfId="2" applyNumberFormat="1" applyFont="1" applyFill="1" applyBorder="1" applyAlignment="1">
      <alignment horizontal="center" vertical="top"/>
    </xf>
    <xf numFmtId="3" fontId="4" fillId="4" borderId="24" xfId="2" applyNumberFormat="1" applyFont="1" applyFill="1" applyBorder="1" applyAlignment="1">
      <alignment horizontal="center" vertical="top"/>
    </xf>
    <xf numFmtId="164" fontId="4" fillId="11" borderId="33" xfId="2" applyNumberFormat="1" applyFont="1" applyFill="1" applyBorder="1" applyAlignment="1">
      <alignment horizontal="center" vertical="top"/>
    </xf>
    <xf numFmtId="164" fontId="4" fillId="11" borderId="66" xfId="2" applyNumberFormat="1" applyFont="1" applyFill="1" applyBorder="1" applyAlignment="1">
      <alignment horizontal="center" vertical="top"/>
    </xf>
    <xf numFmtId="164" fontId="1" fillId="4" borderId="40" xfId="0" applyNumberFormat="1" applyFont="1" applyFill="1" applyBorder="1" applyAlignment="1">
      <alignment horizontal="center" vertical="top"/>
    </xf>
    <xf numFmtId="164" fontId="1" fillId="4" borderId="18"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164" fontId="25" fillId="4" borderId="13" xfId="0" applyNumberFormat="1" applyFont="1" applyFill="1" applyBorder="1" applyAlignment="1">
      <alignment horizontal="center" vertical="top" wrapText="1"/>
    </xf>
    <xf numFmtId="3" fontId="25" fillId="4" borderId="62" xfId="0" applyNumberFormat="1" applyFont="1" applyFill="1" applyBorder="1" applyAlignment="1">
      <alignment vertical="top" wrapText="1"/>
    </xf>
    <xf numFmtId="3" fontId="25" fillId="4" borderId="62" xfId="0" applyNumberFormat="1" applyFont="1" applyFill="1" applyBorder="1" applyAlignment="1">
      <alignment horizontal="center" vertical="top" wrapText="1"/>
    </xf>
    <xf numFmtId="3" fontId="25" fillId="4" borderId="53" xfId="0" applyNumberFormat="1" applyFont="1" applyFill="1" applyBorder="1" applyAlignment="1">
      <alignment horizontal="center" vertical="top" wrapText="1"/>
    </xf>
    <xf numFmtId="164" fontId="25" fillId="4" borderId="66" xfId="0" applyNumberFormat="1" applyFont="1" applyFill="1" applyBorder="1" applyAlignment="1">
      <alignment horizontal="center" vertical="top" wrapText="1"/>
    </xf>
    <xf numFmtId="164" fontId="14" fillId="4" borderId="29" xfId="0" applyNumberFormat="1" applyFont="1" applyFill="1" applyBorder="1" applyAlignment="1">
      <alignment horizontal="center" vertical="top" wrapText="1"/>
    </xf>
    <xf numFmtId="49" fontId="2" fillId="3" borderId="0" xfId="0" applyNumberFormat="1" applyFont="1" applyFill="1" applyBorder="1" applyAlignment="1">
      <alignment horizontal="center" vertical="top"/>
    </xf>
    <xf numFmtId="3" fontId="1" fillId="4" borderId="2" xfId="0" applyNumberFormat="1" applyFont="1" applyFill="1" applyBorder="1" applyAlignment="1">
      <alignment vertical="top" wrapText="1"/>
    </xf>
    <xf numFmtId="164" fontId="14" fillId="0" borderId="13" xfId="0" applyNumberFormat="1" applyFont="1" applyFill="1" applyBorder="1" applyAlignment="1">
      <alignment horizontal="center" vertical="top" wrapText="1"/>
    </xf>
    <xf numFmtId="164" fontId="14" fillId="0" borderId="24" xfId="0" applyNumberFormat="1" applyFont="1" applyFill="1" applyBorder="1" applyAlignment="1">
      <alignment horizontal="center" vertical="top" wrapText="1"/>
    </xf>
    <xf numFmtId="164" fontId="1" fillId="4" borderId="40" xfId="0" applyNumberFormat="1" applyFont="1" applyFill="1" applyBorder="1" applyAlignment="1">
      <alignment horizontal="center" vertical="top"/>
    </xf>
    <xf numFmtId="164" fontId="1" fillId="4" borderId="18"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164" fontId="1" fillId="4" borderId="17" xfId="0" applyNumberFormat="1" applyFont="1" applyFill="1" applyBorder="1" applyAlignment="1">
      <alignment horizontal="center" vertical="top"/>
    </xf>
    <xf numFmtId="164" fontId="1" fillId="4" borderId="41" xfId="0" applyNumberFormat="1" applyFont="1" applyFill="1" applyBorder="1" applyAlignment="1">
      <alignment horizontal="center" vertical="top"/>
    </xf>
    <xf numFmtId="164" fontId="1" fillId="4" borderId="59"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164" fontId="25" fillId="4" borderId="24" xfId="0" applyNumberFormat="1" applyFont="1" applyFill="1" applyBorder="1" applyAlignment="1">
      <alignment horizontal="center" vertical="top" wrapText="1"/>
    </xf>
    <xf numFmtId="164" fontId="25" fillId="4" borderId="26" xfId="0" applyNumberFormat="1" applyFont="1" applyFill="1" applyBorder="1" applyAlignment="1">
      <alignment horizontal="center" vertical="top" wrapText="1"/>
    </xf>
    <xf numFmtId="164" fontId="4" fillId="4" borderId="40" xfId="0" applyNumberFormat="1" applyFont="1" applyFill="1" applyBorder="1" applyAlignment="1">
      <alignment horizontal="center" vertical="center"/>
    </xf>
    <xf numFmtId="164" fontId="4" fillId="4" borderId="7" xfId="0" applyNumberFormat="1" applyFont="1" applyFill="1" applyBorder="1" applyAlignment="1">
      <alignment horizontal="center" vertical="center"/>
    </xf>
    <xf numFmtId="164" fontId="4" fillId="4" borderId="40" xfId="0" applyNumberFormat="1" applyFont="1" applyFill="1" applyBorder="1" applyAlignment="1">
      <alignment horizontal="center" vertical="center" wrapText="1"/>
    </xf>
    <xf numFmtId="164" fontId="14" fillId="4" borderId="73" xfId="0" applyNumberFormat="1" applyFont="1" applyFill="1" applyBorder="1" applyAlignment="1">
      <alignment horizontal="center" vertical="top" wrapText="1"/>
    </xf>
    <xf numFmtId="164" fontId="2" fillId="8" borderId="76" xfId="0" applyNumberFormat="1" applyFont="1" applyFill="1" applyBorder="1" applyAlignment="1">
      <alignment horizontal="center" vertical="top" wrapText="1"/>
    </xf>
    <xf numFmtId="164" fontId="1" fillId="4" borderId="59" xfId="0" applyNumberFormat="1" applyFont="1" applyFill="1" applyBorder="1" applyAlignment="1">
      <alignment horizontal="center" vertical="top"/>
    </xf>
    <xf numFmtId="3" fontId="10" fillId="4" borderId="8" xfId="0" applyNumberFormat="1" applyFont="1" applyFill="1" applyBorder="1" applyAlignment="1">
      <alignment horizontal="center" vertical="top" wrapText="1"/>
    </xf>
    <xf numFmtId="164" fontId="26" fillId="4" borderId="18" xfId="0" applyNumberFormat="1" applyFont="1" applyFill="1" applyBorder="1" applyAlignment="1">
      <alignment horizontal="center" vertical="top"/>
    </xf>
    <xf numFmtId="164" fontId="26" fillId="4" borderId="0" xfId="0" applyNumberFormat="1" applyFont="1" applyFill="1" applyBorder="1" applyAlignment="1">
      <alignment horizontal="center" vertical="top"/>
    </xf>
    <xf numFmtId="3" fontId="10" fillId="0" borderId="8" xfId="0" applyNumberFormat="1" applyFont="1" applyFill="1" applyBorder="1" applyAlignment="1">
      <alignment horizontal="center" vertical="top" wrapText="1"/>
    </xf>
    <xf numFmtId="164" fontId="10" fillId="4" borderId="18" xfId="0" applyNumberFormat="1" applyFont="1" applyFill="1" applyBorder="1" applyAlignment="1">
      <alignment horizontal="center" vertical="top" wrapText="1"/>
    </xf>
    <xf numFmtId="164" fontId="10" fillId="4" borderId="0" xfId="0" applyNumberFormat="1" applyFont="1" applyFill="1" applyBorder="1" applyAlignment="1">
      <alignment horizontal="center" vertical="top" wrapText="1"/>
    </xf>
    <xf numFmtId="164" fontId="25" fillId="4" borderId="29" xfId="0" applyNumberFormat="1" applyFont="1" applyFill="1" applyBorder="1" applyAlignment="1">
      <alignment horizontal="center" vertical="top"/>
    </xf>
    <xf numFmtId="164" fontId="25" fillId="4" borderId="58" xfId="0" applyNumberFormat="1" applyFont="1" applyFill="1" applyBorder="1" applyAlignment="1">
      <alignment horizontal="center" vertical="top"/>
    </xf>
    <xf numFmtId="3" fontId="10" fillId="0" borderId="17" xfId="0" applyNumberFormat="1" applyFont="1" applyFill="1" applyBorder="1" applyAlignment="1">
      <alignment horizontal="center" vertical="top" wrapText="1"/>
    </xf>
    <xf numFmtId="164" fontId="14" fillId="3" borderId="13" xfId="0" applyNumberFormat="1" applyFont="1" applyFill="1" applyBorder="1" applyAlignment="1">
      <alignment horizontal="center" vertical="top" wrapText="1"/>
    </xf>
    <xf numFmtId="164" fontId="1" fillId="3" borderId="22" xfId="0" applyNumberFormat="1" applyFont="1" applyFill="1" applyBorder="1" applyAlignment="1">
      <alignment horizontal="center" vertical="top" wrapText="1"/>
    </xf>
    <xf numFmtId="164" fontId="14" fillId="3" borderId="24" xfId="0" applyNumberFormat="1" applyFont="1" applyFill="1" applyBorder="1" applyAlignment="1">
      <alignment horizontal="center" vertical="top" wrapText="1"/>
    </xf>
    <xf numFmtId="164" fontId="1" fillId="3" borderId="36" xfId="0" applyNumberFormat="1" applyFont="1" applyFill="1" applyBorder="1" applyAlignment="1">
      <alignment horizontal="center" vertical="top" wrapText="1"/>
    </xf>
    <xf numFmtId="164" fontId="1" fillId="3" borderId="39" xfId="0" applyNumberFormat="1" applyFont="1" applyFill="1" applyBorder="1" applyAlignment="1">
      <alignment horizontal="center" vertical="top" wrapText="1"/>
    </xf>
    <xf numFmtId="164" fontId="1" fillId="3" borderId="40" xfId="0" applyNumberFormat="1" applyFont="1" applyFill="1" applyBorder="1" applyAlignment="1">
      <alignment horizontal="center" vertical="top" wrapText="1"/>
    </xf>
    <xf numFmtId="164" fontId="26" fillId="4" borderId="40" xfId="0" applyNumberFormat="1" applyFont="1" applyFill="1" applyBorder="1" applyAlignment="1">
      <alignment horizontal="center" vertical="top"/>
    </xf>
    <xf numFmtId="164" fontId="26" fillId="4" borderId="7" xfId="0" applyNumberFormat="1" applyFont="1" applyFill="1" applyBorder="1" applyAlignment="1">
      <alignment horizontal="center" vertical="top"/>
    </xf>
    <xf numFmtId="164" fontId="2" fillId="5" borderId="48" xfId="0" applyNumberFormat="1" applyFont="1" applyFill="1" applyBorder="1" applyAlignment="1">
      <alignment horizontal="center" vertical="top"/>
    </xf>
    <xf numFmtId="3" fontId="1" fillId="0" borderId="10" xfId="0" applyNumberFormat="1" applyFont="1" applyBorder="1" applyAlignment="1">
      <alignment vertical="top" wrapText="1"/>
    </xf>
    <xf numFmtId="3" fontId="1" fillId="0" borderId="8" xfId="0" applyNumberFormat="1" applyFont="1" applyBorder="1" applyAlignment="1">
      <alignment vertical="top" wrapText="1"/>
    </xf>
    <xf numFmtId="164" fontId="1" fillId="4" borderId="59" xfId="0" applyNumberFormat="1" applyFont="1" applyFill="1" applyBorder="1" applyAlignment="1">
      <alignment horizontal="center" vertical="top"/>
    </xf>
    <xf numFmtId="0" fontId="26" fillId="0" borderId="6" xfId="0" applyFont="1" applyFill="1" applyBorder="1" applyAlignment="1">
      <alignment horizontal="center" vertical="top" wrapText="1"/>
    </xf>
    <xf numFmtId="164" fontId="26" fillId="4" borderId="27" xfId="0" applyNumberFormat="1" applyFont="1" applyFill="1" applyBorder="1" applyAlignment="1">
      <alignment horizontal="center" vertical="top"/>
    </xf>
    <xf numFmtId="164" fontId="26" fillId="4" borderId="59" xfId="0" applyNumberFormat="1" applyFont="1" applyFill="1" applyBorder="1" applyAlignment="1">
      <alignment horizontal="center" vertical="top"/>
    </xf>
    <xf numFmtId="164" fontId="26" fillId="4" borderId="37" xfId="0" applyNumberFormat="1" applyFont="1" applyFill="1" applyBorder="1" applyAlignment="1">
      <alignment horizontal="center" vertical="top"/>
    </xf>
    <xf numFmtId="3" fontId="10" fillId="0" borderId="6" xfId="0" applyNumberFormat="1" applyFont="1" applyFill="1" applyBorder="1" applyAlignment="1">
      <alignment horizontal="center" vertical="top" wrapText="1"/>
    </xf>
    <xf numFmtId="164" fontId="26" fillId="4" borderId="70" xfId="0" applyNumberFormat="1" applyFont="1" applyFill="1" applyBorder="1" applyAlignment="1">
      <alignment horizontal="center" vertical="top"/>
    </xf>
    <xf numFmtId="3" fontId="27" fillId="3" borderId="33"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textRotation="90" wrapText="1"/>
    </xf>
    <xf numFmtId="3" fontId="25" fillId="4" borderId="66" xfId="0" applyNumberFormat="1" applyFont="1" applyFill="1" applyBorder="1" applyAlignment="1">
      <alignment horizontal="left" vertical="top" wrapText="1"/>
    </xf>
    <xf numFmtId="164" fontId="1" fillId="4" borderId="59" xfId="0" applyNumberFormat="1" applyFont="1" applyFill="1" applyBorder="1" applyAlignment="1">
      <alignment horizontal="center" vertical="top"/>
    </xf>
    <xf numFmtId="49" fontId="2" fillId="4" borderId="18" xfId="0" applyNumberFormat="1" applyFont="1" applyFill="1" applyBorder="1" applyAlignment="1">
      <alignment horizontal="center" vertical="top" wrapText="1"/>
    </xf>
    <xf numFmtId="164" fontId="14" fillId="4" borderId="18" xfId="0" applyNumberFormat="1" applyFont="1" applyFill="1" applyBorder="1" applyAlignment="1">
      <alignment horizontal="center" vertical="top"/>
    </xf>
    <xf numFmtId="164" fontId="14" fillId="4" borderId="0" xfId="0" applyNumberFormat="1" applyFont="1" applyFill="1" applyBorder="1" applyAlignment="1">
      <alignment horizontal="center" vertical="top"/>
    </xf>
    <xf numFmtId="164" fontId="10" fillId="4" borderId="70" xfId="0" applyNumberFormat="1" applyFont="1" applyFill="1" applyBorder="1" applyAlignment="1">
      <alignment horizontal="center" vertical="top"/>
    </xf>
    <xf numFmtId="49" fontId="27" fillId="8" borderId="40" xfId="0" applyNumberFormat="1" applyFont="1" applyFill="1" applyBorder="1" applyAlignment="1">
      <alignment horizontal="center" vertical="top" wrapText="1"/>
    </xf>
    <xf numFmtId="49" fontId="27" fillId="2" borderId="18" xfId="0" applyNumberFormat="1" applyFont="1" applyFill="1" applyBorder="1" applyAlignment="1">
      <alignment horizontal="center" vertical="top" wrapText="1"/>
    </xf>
    <xf numFmtId="49" fontId="27" fillId="3" borderId="32" xfId="0" applyNumberFormat="1" applyFont="1" applyFill="1" applyBorder="1" applyAlignment="1">
      <alignment horizontal="center" vertical="top" wrapText="1"/>
    </xf>
    <xf numFmtId="49" fontId="14" fillId="3" borderId="33" xfId="0" applyNumberFormat="1" applyFont="1" applyFill="1" applyBorder="1" applyAlignment="1">
      <alignment horizontal="center" vertical="top" wrapText="1"/>
    </xf>
    <xf numFmtId="3" fontId="27" fillId="4" borderId="18" xfId="0" applyNumberFormat="1" applyFont="1" applyFill="1" applyBorder="1" applyAlignment="1">
      <alignment horizontal="center" vertical="center" textRotation="90" wrapText="1"/>
    </xf>
    <xf numFmtId="3" fontId="27" fillId="4" borderId="0" xfId="0" applyNumberFormat="1" applyFont="1" applyFill="1" applyBorder="1" applyAlignment="1">
      <alignment horizontal="center" vertical="top" wrapText="1"/>
    </xf>
    <xf numFmtId="164" fontId="14" fillId="4" borderId="7" xfId="0" applyNumberFormat="1" applyFont="1" applyFill="1" applyBorder="1" applyAlignment="1">
      <alignment horizontal="center" vertical="top"/>
    </xf>
    <xf numFmtId="3" fontId="14" fillId="4" borderId="17" xfId="0" applyNumberFormat="1" applyFont="1" applyFill="1" applyBorder="1" applyAlignment="1">
      <alignment horizontal="left" vertical="top" wrapText="1"/>
    </xf>
    <xf numFmtId="3" fontId="14" fillId="4" borderId="17" xfId="0" applyNumberFormat="1" applyFont="1" applyFill="1" applyBorder="1" applyAlignment="1">
      <alignment horizontal="center" vertical="top"/>
    </xf>
    <xf numFmtId="3" fontId="14" fillId="4" borderId="18" xfId="0" applyNumberFormat="1" applyFont="1" applyFill="1" applyBorder="1" applyAlignment="1">
      <alignment horizontal="center" vertical="top"/>
    </xf>
    <xf numFmtId="3" fontId="14" fillId="4" borderId="7" xfId="0" applyNumberFormat="1" applyFont="1" applyFill="1" applyBorder="1" applyAlignment="1">
      <alignment horizontal="center" vertical="top"/>
    </xf>
    <xf numFmtId="3" fontId="14" fillId="0" borderId="0" xfId="0" applyNumberFormat="1" applyFont="1" applyBorder="1" applyAlignment="1">
      <alignment vertical="top" wrapText="1"/>
    </xf>
    <xf numFmtId="49" fontId="14" fillId="3" borderId="32" xfId="0" applyNumberFormat="1" applyFont="1" applyFill="1" applyBorder="1" applyAlignment="1">
      <alignment horizontal="center" vertical="top" wrapText="1"/>
    </xf>
    <xf numFmtId="164" fontId="14" fillId="4" borderId="66" xfId="0" applyNumberFormat="1" applyFont="1" applyFill="1" applyBorder="1" applyAlignment="1">
      <alignment horizontal="center" vertical="top"/>
    </xf>
    <xf numFmtId="164" fontId="14" fillId="4" borderId="26" xfId="0" applyNumberFormat="1" applyFont="1" applyFill="1" applyBorder="1" applyAlignment="1">
      <alignment horizontal="center" vertical="top"/>
    </xf>
    <xf numFmtId="164" fontId="14" fillId="4" borderId="34" xfId="0" applyNumberFormat="1" applyFont="1" applyFill="1" applyBorder="1" applyAlignment="1">
      <alignment horizontal="center" vertical="top"/>
    </xf>
    <xf numFmtId="3" fontId="14" fillId="4" borderId="61" xfId="0" applyNumberFormat="1" applyFont="1" applyFill="1" applyBorder="1" applyAlignment="1">
      <alignment horizontal="left" vertical="top" wrapText="1"/>
    </xf>
    <xf numFmtId="3" fontId="14" fillId="4" borderId="61" xfId="0" applyNumberFormat="1" applyFont="1" applyFill="1" applyBorder="1" applyAlignment="1">
      <alignment horizontal="center" vertical="top"/>
    </xf>
    <xf numFmtId="3" fontId="14" fillId="4" borderId="59" xfId="0" applyNumberFormat="1" applyFont="1" applyFill="1" applyBorder="1" applyAlignment="1">
      <alignment horizontal="center" vertical="top"/>
    </xf>
    <xf numFmtId="3" fontId="14" fillId="4" borderId="28" xfId="0" applyNumberFormat="1" applyFont="1" applyFill="1" applyBorder="1" applyAlignment="1">
      <alignment horizontal="center" vertical="top"/>
    </xf>
    <xf numFmtId="3" fontId="26" fillId="0" borderId="8" xfId="0" applyNumberFormat="1" applyFont="1" applyFill="1" applyBorder="1" applyAlignment="1">
      <alignment horizontal="center" vertical="top" wrapText="1"/>
    </xf>
    <xf numFmtId="164" fontId="26" fillId="4" borderId="67" xfId="0" applyNumberFormat="1" applyFont="1" applyFill="1" applyBorder="1" applyAlignment="1">
      <alignment horizontal="center" vertical="top"/>
    </xf>
    <xf numFmtId="164" fontId="26" fillId="4" borderId="17" xfId="0" applyNumberFormat="1" applyFont="1" applyFill="1" applyBorder="1" applyAlignment="1">
      <alignment horizontal="center" vertical="top"/>
    </xf>
    <xf numFmtId="3" fontId="26" fillId="0" borderId="2" xfId="0" applyNumberFormat="1" applyFont="1" applyFill="1" applyBorder="1" applyAlignment="1">
      <alignment horizontal="center" vertical="top" wrapText="1"/>
    </xf>
    <xf numFmtId="164" fontId="26" fillId="4" borderId="36" xfId="0" applyNumberFormat="1" applyFont="1" applyFill="1" applyBorder="1" applyAlignment="1">
      <alignment horizontal="center" vertical="top"/>
    </xf>
    <xf numFmtId="164" fontId="26" fillId="4" borderId="66" xfId="0" applyNumberFormat="1" applyFont="1" applyFill="1" applyBorder="1" applyAlignment="1">
      <alignment horizontal="center" vertical="top"/>
    </xf>
    <xf numFmtId="164" fontId="26" fillId="4" borderId="26" xfId="0" applyNumberFormat="1" applyFont="1" applyFill="1" applyBorder="1" applyAlignment="1">
      <alignment horizontal="center" vertical="top"/>
    </xf>
    <xf numFmtId="164" fontId="26" fillId="4" borderId="65" xfId="0" applyNumberFormat="1" applyFont="1" applyFill="1" applyBorder="1" applyAlignment="1">
      <alignment horizontal="center" vertical="top"/>
    </xf>
    <xf numFmtId="164" fontId="14" fillId="3" borderId="18" xfId="0" applyNumberFormat="1" applyFont="1" applyFill="1" applyBorder="1" applyAlignment="1">
      <alignment horizontal="center" vertical="top" wrapText="1"/>
    </xf>
    <xf numFmtId="164" fontId="14" fillId="3" borderId="39" xfId="0" applyNumberFormat="1" applyFont="1" applyFill="1" applyBorder="1" applyAlignment="1">
      <alignment horizontal="center" vertical="top" wrapText="1"/>
    </xf>
    <xf numFmtId="3" fontId="25" fillId="4" borderId="16" xfId="0" applyNumberFormat="1" applyFont="1" applyFill="1" applyBorder="1" applyAlignment="1">
      <alignment horizontal="center" vertical="top" wrapText="1"/>
    </xf>
    <xf numFmtId="3" fontId="1" fillId="0" borderId="0" xfId="0" applyNumberFormat="1" applyFont="1" applyBorder="1" applyAlignment="1">
      <alignment horizontal="center" vertical="top" wrapText="1"/>
    </xf>
    <xf numFmtId="3" fontId="5" fillId="4" borderId="18" xfId="0" applyNumberFormat="1" applyFont="1" applyFill="1" applyBorder="1" applyAlignment="1">
      <alignment horizontal="left" vertical="top" wrapText="1"/>
    </xf>
    <xf numFmtId="3" fontId="4" fillId="4" borderId="10" xfId="2" applyNumberFormat="1" applyFont="1" applyFill="1" applyBorder="1" applyAlignment="1">
      <alignment horizontal="left" vertical="top" wrapText="1"/>
    </xf>
    <xf numFmtId="3" fontId="1" fillId="4" borderId="17" xfId="0" applyNumberFormat="1" applyFont="1" applyFill="1" applyBorder="1" applyAlignment="1">
      <alignment horizontal="left" vertical="top" wrapText="1"/>
    </xf>
    <xf numFmtId="164" fontId="1" fillId="4" borderId="59" xfId="0" applyNumberFormat="1" applyFont="1" applyFill="1" applyBorder="1" applyAlignment="1">
      <alignment horizontal="center" vertical="top"/>
    </xf>
    <xf numFmtId="3" fontId="1" fillId="4" borderId="17" xfId="0" applyNumberFormat="1" applyFont="1" applyFill="1" applyBorder="1" applyAlignment="1">
      <alignment horizontal="center" vertical="top" wrapText="1"/>
    </xf>
    <xf numFmtId="164" fontId="1" fillId="4" borderId="77" xfId="0" applyNumberFormat="1" applyFont="1" applyFill="1" applyBorder="1" applyAlignment="1">
      <alignment horizontal="center" vertical="top" wrapText="1"/>
    </xf>
    <xf numFmtId="164" fontId="1" fillId="4" borderId="70" xfId="0" applyNumberFormat="1" applyFont="1" applyFill="1" applyBorder="1" applyAlignment="1">
      <alignment horizontal="center" vertical="top" wrapText="1"/>
    </xf>
    <xf numFmtId="164" fontId="10" fillId="12" borderId="67" xfId="2" applyNumberFormat="1" applyFont="1" applyFill="1" applyBorder="1" applyAlignment="1">
      <alignment horizontal="center" vertical="top"/>
    </xf>
    <xf numFmtId="164" fontId="4" fillId="12" borderId="40" xfId="2" applyNumberFormat="1" applyFont="1" applyFill="1" applyBorder="1" applyAlignment="1">
      <alignment horizontal="center" vertical="top"/>
    </xf>
    <xf numFmtId="164" fontId="10" fillId="12" borderId="40" xfId="2" applyNumberFormat="1" applyFont="1" applyFill="1" applyBorder="1" applyAlignment="1">
      <alignment horizontal="center" vertical="top"/>
    </xf>
    <xf numFmtId="164" fontId="14" fillId="4" borderId="59" xfId="0" applyNumberFormat="1" applyFont="1" applyFill="1" applyBorder="1" applyAlignment="1">
      <alignment horizontal="center" vertical="top"/>
    </xf>
    <xf numFmtId="164" fontId="14" fillId="4" borderId="52" xfId="0" applyNumberFormat="1" applyFont="1" applyFill="1" applyBorder="1" applyAlignment="1">
      <alignment horizontal="center" vertical="top" wrapText="1"/>
    </xf>
    <xf numFmtId="0" fontId="25" fillId="0" borderId="6" xfId="0" applyFont="1" applyFill="1" applyBorder="1" applyAlignment="1">
      <alignment horizontal="center" vertical="top" wrapText="1"/>
    </xf>
    <xf numFmtId="164" fontId="25" fillId="4" borderId="27" xfId="0" applyNumberFormat="1" applyFont="1" applyFill="1" applyBorder="1" applyAlignment="1">
      <alignment horizontal="center" vertical="top"/>
    </xf>
    <xf numFmtId="164" fontId="25" fillId="4" borderId="59" xfId="0" applyNumberFormat="1" applyFont="1" applyFill="1" applyBorder="1" applyAlignment="1">
      <alignment horizontal="center" vertical="top"/>
    </xf>
    <xf numFmtId="164" fontId="25" fillId="4" borderId="37" xfId="0" applyNumberFormat="1" applyFont="1" applyFill="1" applyBorder="1" applyAlignment="1">
      <alignment horizontal="center" vertical="top"/>
    </xf>
    <xf numFmtId="3" fontId="2" fillId="3" borderId="60" xfId="0" applyNumberFormat="1" applyFont="1" applyFill="1" applyBorder="1" applyAlignment="1">
      <alignment horizontal="center" vertical="top" wrapText="1"/>
    </xf>
    <xf numFmtId="3" fontId="2" fillId="3" borderId="39" xfId="0" applyNumberFormat="1" applyFont="1" applyFill="1" applyBorder="1" applyAlignment="1">
      <alignment horizontal="center" vertical="top" wrapText="1"/>
    </xf>
    <xf numFmtId="3" fontId="2" fillId="3" borderId="33" xfId="0" applyNumberFormat="1" applyFont="1" applyFill="1" applyBorder="1" applyAlignment="1">
      <alignment horizontal="center" vertical="top" wrapText="1"/>
    </xf>
    <xf numFmtId="3" fontId="2" fillId="3" borderId="53" xfId="0" applyNumberFormat="1" applyFont="1" applyFill="1" applyBorder="1" applyAlignment="1">
      <alignment horizontal="center" vertical="top" wrapText="1"/>
    </xf>
    <xf numFmtId="49" fontId="26" fillId="4" borderId="8" xfId="2" applyNumberFormat="1" applyFont="1" applyFill="1" applyBorder="1" applyAlignment="1">
      <alignment horizontal="center" vertical="top"/>
    </xf>
    <xf numFmtId="164" fontId="26" fillId="11" borderId="18" xfId="2" applyNumberFormat="1" applyFont="1" applyFill="1" applyBorder="1" applyAlignment="1">
      <alignment horizontal="center" vertical="top"/>
    </xf>
    <xf numFmtId="164" fontId="26" fillId="11" borderId="0" xfId="2" applyNumberFormat="1" applyFont="1" applyFill="1" applyBorder="1" applyAlignment="1">
      <alignment horizontal="center" vertical="top"/>
    </xf>
    <xf numFmtId="164" fontId="14" fillId="4" borderId="66" xfId="0" applyNumberFormat="1" applyFont="1" applyFill="1" applyBorder="1" applyAlignment="1">
      <alignment horizontal="center" vertical="top" wrapText="1"/>
    </xf>
    <xf numFmtId="164" fontId="14" fillId="4" borderId="34" xfId="0" applyNumberFormat="1" applyFont="1" applyFill="1" applyBorder="1" applyAlignment="1">
      <alignment horizontal="center" vertical="top" wrapText="1"/>
    </xf>
    <xf numFmtId="3" fontId="4" fillId="4" borderId="7" xfId="2" applyNumberFormat="1" applyFont="1" applyFill="1" applyBorder="1" applyAlignment="1">
      <alignment horizontal="left" vertical="top" wrapText="1"/>
    </xf>
    <xf numFmtId="3" fontId="14" fillId="4" borderId="65" xfId="0" applyNumberFormat="1" applyFont="1" applyFill="1" applyBorder="1" applyAlignment="1">
      <alignment horizontal="center" vertical="top" wrapText="1"/>
    </xf>
    <xf numFmtId="3" fontId="25" fillId="4" borderId="35" xfId="0" applyNumberFormat="1" applyFont="1" applyFill="1" applyBorder="1" applyAlignment="1">
      <alignment horizontal="center" vertical="top" wrapText="1"/>
    </xf>
    <xf numFmtId="3" fontId="14" fillId="4" borderId="47" xfId="0" applyNumberFormat="1" applyFont="1" applyFill="1" applyBorder="1" applyAlignment="1">
      <alignment horizontal="center" vertical="top" wrapText="1"/>
    </xf>
    <xf numFmtId="49" fontId="5" fillId="3" borderId="67" xfId="0" applyNumberFormat="1" applyFont="1" applyFill="1" applyBorder="1" applyAlignment="1">
      <alignment horizontal="center" vertical="top" wrapText="1"/>
    </xf>
    <xf numFmtId="3" fontId="2" fillId="0" borderId="32" xfId="0" applyNumberFormat="1" applyFont="1" applyFill="1" applyBorder="1" applyAlignment="1">
      <alignment horizontal="center" vertical="center" wrapText="1"/>
    </xf>
    <xf numFmtId="49" fontId="2" fillId="3" borderId="67" xfId="0" applyNumberFormat="1" applyFont="1" applyFill="1" applyBorder="1" applyAlignment="1">
      <alignment horizontal="center" vertical="top" wrapText="1"/>
    </xf>
    <xf numFmtId="164" fontId="4" fillId="4" borderId="36" xfId="0" applyNumberFormat="1" applyFont="1" applyFill="1" applyBorder="1" applyAlignment="1">
      <alignment horizontal="center" vertical="top"/>
    </xf>
    <xf numFmtId="49" fontId="5" fillId="8" borderId="41" xfId="0" applyNumberFormat="1" applyFont="1" applyFill="1" applyBorder="1" applyAlignment="1">
      <alignment vertical="top" wrapText="1"/>
    </xf>
    <xf numFmtId="49" fontId="5" fillId="2" borderId="42" xfId="0" applyNumberFormat="1" applyFont="1" applyFill="1" applyBorder="1" applyAlignment="1">
      <alignment vertical="top" wrapText="1"/>
    </xf>
    <xf numFmtId="49" fontId="5" fillId="3" borderId="53" xfId="0" applyNumberFormat="1" applyFont="1" applyFill="1" applyBorder="1" applyAlignment="1">
      <alignment vertical="top" wrapText="1"/>
    </xf>
    <xf numFmtId="3" fontId="5" fillId="4" borderId="66" xfId="0" applyNumberFormat="1" applyFont="1" applyFill="1" applyBorder="1" applyAlignment="1">
      <alignment horizontal="left" vertical="top" wrapText="1"/>
    </xf>
    <xf numFmtId="3" fontId="5" fillId="0" borderId="63" xfId="0" applyNumberFormat="1" applyFont="1" applyFill="1" applyBorder="1" applyAlignment="1">
      <alignment horizontal="center" vertical="top" textRotation="90" wrapText="1"/>
    </xf>
    <xf numFmtId="3" fontId="5" fillId="0" borderId="53" xfId="0" applyNumberFormat="1" applyFont="1" applyBorder="1" applyAlignment="1">
      <alignment horizontal="center" vertical="top" wrapText="1"/>
    </xf>
    <xf numFmtId="49" fontId="5" fillId="8" borderId="47" xfId="0" applyNumberFormat="1" applyFont="1" applyFill="1" applyBorder="1" applyAlignment="1">
      <alignment horizontal="center" vertical="top" wrapText="1"/>
    </xf>
    <xf numFmtId="49" fontId="5" fillId="2" borderId="46" xfId="0" applyNumberFormat="1" applyFont="1" applyFill="1" applyBorder="1" applyAlignment="1">
      <alignment horizontal="center" vertical="top" wrapText="1"/>
    </xf>
    <xf numFmtId="49" fontId="25" fillId="3" borderId="18" xfId="0" applyNumberFormat="1" applyFont="1" applyFill="1" applyBorder="1" applyAlignment="1">
      <alignment horizontal="center" vertical="top"/>
    </xf>
    <xf numFmtId="49" fontId="25" fillId="3" borderId="19" xfId="0" applyNumberFormat="1" applyFont="1" applyFill="1" applyBorder="1" applyAlignment="1">
      <alignment horizontal="center" vertical="top" wrapText="1"/>
    </xf>
    <xf numFmtId="3" fontId="14" fillId="4" borderId="56" xfId="0" applyNumberFormat="1" applyFont="1" applyFill="1" applyBorder="1" applyAlignment="1">
      <alignment horizontal="center" vertical="top" wrapText="1"/>
    </xf>
    <xf numFmtId="3" fontId="4" fillId="4" borderId="66" xfId="0" applyNumberFormat="1" applyFont="1" applyFill="1" applyBorder="1" applyAlignment="1">
      <alignment vertical="top" wrapText="1"/>
    </xf>
    <xf numFmtId="3" fontId="2" fillId="4" borderId="66" xfId="0" applyNumberFormat="1" applyFont="1" applyFill="1" applyBorder="1" applyAlignment="1">
      <alignment horizontal="center" vertical="center" textRotation="90" wrapText="1"/>
    </xf>
    <xf numFmtId="3" fontId="4" fillId="0" borderId="43" xfId="0" applyNumberFormat="1" applyFont="1" applyBorder="1" applyAlignment="1">
      <alignment horizontal="right" wrapText="1"/>
    </xf>
    <xf numFmtId="3" fontId="1" fillId="0" borderId="65" xfId="0" applyNumberFormat="1" applyFont="1" applyBorder="1" applyAlignment="1">
      <alignment horizontal="center" vertical="top" wrapText="1"/>
    </xf>
    <xf numFmtId="3" fontId="5" fillId="4" borderId="18" xfId="0" applyNumberFormat="1" applyFont="1" applyFill="1" applyBorder="1" applyAlignment="1">
      <alignment horizontal="left" vertical="top" wrapText="1"/>
    </xf>
    <xf numFmtId="3" fontId="5" fillId="4" borderId="42" xfId="0" applyNumberFormat="1" applyFont="1" applyFill="1" applyBorder="1" applyAlignment="1">
      <alignment horizontal="left" vertical="top" wrapText="1"/>
    </xf>
    <xf numFmtId="3" fontId="4" fillId="4" borderId="0" xfId="0" applyNumberFormat="1" applyFont="1" applyFill="1" applyBorder="1" applyAlignment="1">
      <alignment horizontal="center" vertical="top" wrapText="1"/>
    </xf>
    <xf numFmtId="3" fontId="4" fillId="4" borderId="18" xfId="0" applyNumberFormat="1" applyFont="1" applyFill="1" applyBorder="1" applyAlignment="1">
      <alignment horizontal="left" vertical="top" wrapText="1"/>
    </xf>
    <xf numFmtId="3" fontId="4" fillId="4" borderId="16" xfId="0" applyNumberFormat="1" applyFont="1" applyFill="1" applyBorder="1" applyAlignment="1">
      <alignment horizontal="left" vertical="top" wrapText="1"/>
    </xf>
    <xf numFmtId="3" fontId="4" fillId="4" borderId="62" xfId="0" applyNumberFormat="1" applyFont="1" applyFill="1" applyBorder="1" applyAlignment="1">
      <alignment horizontal="left" vertical="top" wrapText="1"/>
    </xf>
    <xf numFmtId="3" fontId="4" fillId="4" borderId="59"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4" fillId="4" borderId="18" xfId="0" applyNumberFormat="1" applyFont="1" applyFill="1" applyBorder="1" applyAlignment="1">
      <alignment horizontal="center" vertical="top" wrapText="1"/>
    </xf>
    <xf numFmtId="3" fontId="4" fillId="4" borderId="42" xfId="0" applyNumberFormat="1" applyFont="1" applyFill="1" applyBorder="1" applyAlignment="1">
      <alignment horizontal="center" vertical="top" wrapText="1"/>
    </xf>
    <xf numFmtId="3" fontId="6" fillId="0" borderId="18" xfId="0" applyNumberFormat="1" applyFont="1" applyFill="1" applyBorder="1" applyAlignment="1">
      <alignment horizontal="left" vertical="top" wrapText="1"/>
    </xf>
    <xf numFmtId="3" fontId="1" fillId="4" borderId="61" xfId="0" applyNumberFormat="1" applyFont="1" applyFill="1" applyBorder="1" applyAlignment="1">
      <alignment horizontal="left" vertical="top" wrapText="1"/>
    </xf>
    <xf numFmtId="3" fontId="1" fillId="4" borderId="56" xfId="0" applyNumberFormat="1" applyFont="1" applyFill="1" applyBorder="1" applyAlignment="1">
      <alignment horizontal="left" vertical="top" wrapText="1"/>
    </xf>
    <xf numFmtId="3" fontId="1" fillId="4" borderId="13"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49" fontId="2" fillId="8" borderId="40" xfId="0" applyNumberFormat="1" applyFont="1" applyFill="1" applyBorder="1" applyAlignment="1">
      <alignment horizontal="center" vertical="top"/>
    </xf>
    <xf numFmtId="3" fontId="4" fillId="4" borderId="13" xfId="0" applyNumberFormat="1" applyFont="1" applyFill="1" applyBorder="1" applyAlignment="1">
      <alignment horizontal="center" vertical="top" wrapText="1"/>
    </xf>
    <xf numFmtId="3" fontId="1" fillId="4" borderId="59"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59"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4" borderId="62"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0" fontId="1" fillId="4" borderId="18" xfId="0" applyFont="1" applyFill="1" applyBorder="1" applyAlignment="1">
      <alignment horizontal="left" vertical="top" wrapText="1"/>
    </xf>
    <xf numFmtId="3" fontId="1" fillId="4" borderId="17" xfId="0" applyNumberFormat="1" applyFont="1" applyFill="1" applyBorder="1" applyAlignment="1">
      <alignment horizontal="center" vertical="top" wrapText="1"/>
    </xf>
    <xf numFmtId="164" fontId="1" fillId="4" borderId="40" xfId="0" applyNumberFormat="1" applyFont="1" applyFill="1" applyBorder="1" applyAlignment="1">
      <alignment horizontal="center" vertical="top"/>
    </xf>
    <xf numFmtId="164" fontId="1" fillId="4" borderId="18" xfId="0" applyNumberFormat="1" applyFont="1" applyFill="1" applyBorder="1" applyAlignment="1">
      <alignment horizontal="center" vertical="top"/>
    </xf>
    <xf numFmtId="164" fontId="1" fillId="4" borderId="31" xfId="0" applyNumberFormat="1" applyFont="1" applyFill="1" applyBorder="1" applyAlignment="1">
      <alignment horizontal="center" vertical="top"/>
    </xf>
    <xf numFmtId="49" fontId="2" fillId="8" borderId="17"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 fillId="4" borderId="0" xfId="0" applyNumberFormat="1" applyFont="1" applyFill="1" applyBorder="1" applyAlignment="1">
      <alignment horizontal="center" vertical="top" wrapText="1"/>
    </xf>
    <xf numFmtId="3" fontId="1" fillId="0" borderId="0" xfId="0" applyNumberFormat="1" applyFont="1" applyBorder="1" applyAlignment="1">
      <alignment horizontal="center" vertical="top" wrapText="1"/>
    </xf>
    <xf numFmtId="3" fontId="2" fillId="0" borderId="13" xfId="0" applyNumberFormat="1" applyFont="1" applyFill="1" applyBorder="1" applyAlignment="1">
      <alignment horizontal="center" vertical="top" textRotation="90" wrapText="1"/>
    </xf>
    <xf numFmtId="3" fontId="2" fillId="0" borderId="42" xfId="0" applyNumberFormat="1" applyFont="1" applyFill="1" applyBorder="1" applyAlignment="1">
      <alignment horizontal="center" vertical="top" textRotation="90" wrapText="1"/>
    </xf>
    <xf numFmtId="3" fontId="1" fillId="4" borderId="8" xfId="0" applyNumberFormat="1" applyFont="1" applyFill="1" applyBorder="1" applyAlignment="1">
      <alignment horizontal="center" vertical="top" wrapText="1"/>
    </xf>
    <xf numFmtId="164" fontId="1" fillId="4" borderId="17"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3" fontId="2" fillId="4" borderId="39" xfId="0" applyNumberFormat="1" applyFont="1" applyFill="1" applyBorder="1" applyAlignment="1">
      <alignment horizontal="center" vertical="top" wrapText="1"/>
    </xf>
    <xf numFmtId="3" fontId="1" fillId="4" borderId="39" xfId="0" applyNumberFormat="1" applyFont="1" applyFill="1" applyBorder="1" applyAlignment="1">
      <alignment horizontal="center" vertical="top"/>
    </xf>
    <xf numFmtId="3" fontId="1" fillId="4" borderId="60"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164" fontId="1" fillId="4" borderId="59"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3" fontId="1" fillId="4" borderId="17" xfId="0" applyNumberFormat="1" applyFont="1" applyFill="1" applyBorder="1" applyAlignment="1">
      <alignment horizontal="left" vertical="top" wrapText="1"/>
    </xf>
    <xf numFmtId="164" fontId="1" fillId="4" borderId="39" xfId="0" applyNumberFormat="1" applyFont="1" applyFill="1" applyBorder="1" applyAlignment="1">
      <alignment horizontal="center" vertical="top"/>
    </xf>
    <xf numFmtId="3" fontId="2" fillId="4" borderId="33" xfId="0" applyNumberFormat="1" applyFont="1" applyFill="1" applyBorder="1" applyAlignment="1">
      <alignment horizontal="center" vertical="top"/>
    </xf>
    <xf numFmtId="3" fontId="2" fillId="4" borderId="32" xfId="0" applyNumberFormat="1" applyFont="1" applyFill="1" applyBorder="1" applyAlignment="1">
      <alignment horizontal="center" vertical="top"/>
    </xf>
    <xf numFmtId="3" fontId="1" fillId="0" borderId="8" xfId="0" applyNumberFormat="1" applyFont="1" applyFill="1" applyBorder="1" applyAlignment="1">
      <alignment horizontal="center" vertical="top" wrapText="1"/>
    </xf>
    <xf numFmtId="164" fontId="1" fillId="4" borderId="17" xfId="0" applyNumberFormat="1" applyFont="1" applyFill="1" applyBorder="1" applyAlignment="1">
      <alignment horizontal="left" vertical="top" wrapText="1"/>
    </xf>
    <xf numFmtId="164" fontId="1" fillId="4" borderId="37" xfId="0" applyNumberFormat="1" applyFont="1" applyFill="1" applyBorder="1" applyAlignment="1">
      <alignment horizontal="center" vertical="top"/>
    </xf>
    <xf numFmtId="164" fontId="1" fillId="4" borderId="41" xfId="0" applyNumberFormat="1" applyFont="1" applyFill="1" applyBorder="1" applyAlignment="1">
      <alignment horizontal="center" vertical="top"/>
    </xf>
    <xf numFmtId="3" fontId="1" fillId="0" borderId="17"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4" fillId="4" borderId="39" xfId="0" applyNumberFormat="1" applyFont="1" applyFill="1" applyBorder="1" applyAlignment="1">
      <alignment horizontal="center" vertical="top" wrapText="1"/>
    </xf>
    <xf numFmtId="3" fontId="4" fillId="4" borderId="60" xfId="0" applyNumberFormat="1" applyFont="1" applyFill="1" applyBorder="1" applyAlignment="1">
      <alignment horizontal="center" vertical="top" wrapText="1"/>
    </xf>
    <xf numFmtId="3" fontId="4" fillId="4" borderId="37" xfId="0" applyNumberFormat="1" applyFont="1" applyFill="1" applyBorder="1" applyAlignment="1">
      <alignment horizontal="center" vertical="top" wrapText="1"/>
    </xf>
    <xf numFmtId="3" fontId="4" fillId="4" borderId="41" xfId="0" applyNumberFormat="1" applyFont="1" applyFill="1" applyBorder="1" applyAlignment="1">
      <alignment horizontal="center" vertical="top" wrapText="1"/>
    </xf>
    <xf numFmtId="3" fontId="4" fillId="4" borderId="59" xfId="0" applyNumberFormat="1" applyFont="1" applyFill="1" applyBorder="1" applyAlignment="1">
      <alignment horizontal="center" vertical="top" wrapText="1"/>
    </xf>
    <xf numFmtId="3" fontId="1" fillId="4" borderId="59" xfId="0" applyNumberFormat="1" applyFont="1" applyFill="1" applyBorder="1" applyAlignment="1">
      <alignment horizontal="center" vertical="top" wrapText="1"/>
    </xf>
    <xf numFmtId="3" fontId="1" fillId="4" borderId="42" xfId="0" applyNumberFormat="1" applyFont="1" applyFill="1" applyBorder="1" applyAlignment="1">
      <alignment horizontal="center" vertical="top" wrapText="1"/>
    </xf>
    <xf numFmtId="3" fontId="1" fillId="0" borderId="21" xfId="0" applyNumberFormat="1" applyFont="1" applyBorder="1" applyAlignment="1">
      <alignment horizontal="center" vertical="top" wrapText="1"/>
    </xf>
    <xf numFmtId="3" fontId="4" fillId="0" borderId="43" xfId="0" applyNumberFormat="1" applyFont="1" applyBorder="1" applyAlignment="1">
      <alignment horizontal="center" wrapText="1"/>
    </xf>
    <xf numFmtId="3" fontId="1" fillId="4" borderId="7" xfId="0" applyNumberFormat="1" applyFont="1" applyFill="1" applyBorder="1" applyAlignment="1">
      <alignment horizontal="center" vertical="top" wrapText="1"/>
    </xf>
    <xf numFmtId="3" fontId="4" fillId="4" borderId="8"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167" fontId="4" fillId="9" borderId="153" xfId="2" applyNumberFormat="1" applyFont="1" applyFill="1" applyBorder="1" applyAlignment="1">
      <alignment vertical="top" wrapText="1"/>
    </xf>
    <xf numFmtId="167" fontId="4" fillId="9" borderId="61" xfId="2" applyNumberFormat="1" applyFont="1" applyFill="1" applyBorder="1" applyAlignment="1">
      <alignment horizontal="center" vertical="top" wrapText="1"/>
    </xf>
    <xf numFmtId="167" fontId="4" fillId="9" borderId="133" xfId="2" applyNumberFormat="1" applyFont="1" applyFill="1" applyBorder="1" applyAlignment="1">
      <alignment horizontal="center" vertical="top" wrapText="1"/>
    </xf>
    <xf numFmtId="3" fontId="1" fillId="4" borderId="6" xfId="0" applyNumberFormat="1" applyFont="1" applyFill="1" applyBorder="1" applyAlignment="1">
      <alignment vertical="top" wrapText="1"/>
    </xf>
    <xf numFmtId="3" fontId="2" fillId="0" borderId="53" xfId="0" applyNumberFormat="1" applyFont="1" applyBorder="1" applyAlignment="1">
      <alignment horizontal="center" vertical="top" wrapText="1"/>
    </xf>
    <xf numFmtId="164" fontId="1" fillId="3" borderId="62" xfId="0" applyNumberFormat="1" applyFont="1" applyFill="1" applyBorder="1" applyAlignment="1">
      <alignment horizontal="center" vertical="top" wrapText="1"/>
    </xf>
    <xf numFmtId="164" fontId="1" fillId="3" borderId="15" xfId="0" applyNumberFormat="1" applyFont="1" applyFill="1" applyBorder="1" applyAlignment="1">
      <alignment horizontal="center" vertical="top" wrapText="1"/>
    </xf>
    <xf numFmtId="3" fontId="1" fillId="3" borderId="62" xfId="0" applyNumberFormat="1" applyFont="1" applyFill="1" applyBorder="1" applyAlignment="1">
      <alignment horizontal="center" vertical="top" wrapText="1"/>
    </xf>
    <xf numFmtId="3" fontId="1" fillId="0" borderId="62"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0" fontId="1" fillId="4" borderId="17" xfId="0" applyFont="1" applyFill="1" applyBorder="1" applyAlignment="1">
      <alignment horizontal="left" vertical="top" wrapText="1"/>
    </xf>
    <xf numFmtId="0" fontId="1" fillId="4" borderId="59"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56" xfId="0" applyFont="1" applyFill="1" applyBorder="1" applyAlignment="1">
      <alignment horizontal="left" vertical="top" wrapText="1"/>
    </xf>
    <xf numFmtId="3" fontId="2" fillId="2" borderId="14" xfId="0" applyNumberFormat="1" applyFont="1" applyFill="1" applyBorder="1" applyAlignment="1">
      <alignment horizontal="right" vertical="top" wrapText="1"/>
    </xf>
    <xf numFmtId="3" fontId="2" fillId="2" borderId="54" xfId="0" applyNumberFormat="1" applyFont="1" applyFill="1" applyBorder="1" applyAlignment="1">
      <alignment horizontal="right" vertical="top" wrapText="1"/>
    </xf>
    <xf numFmtId="3" fontId="2" fillId="7" borderId="14" xfId="0" applyNumberFormat="1" applyFont="1" applyFill="1" applyBorder="1" applyAlignment="1">
      <alignment horizontal="right" vertical="top" wrapText="1"/>
    </xf>
    <xf numFmtId="3" fontId="2" fillId="7" borderId="54" xfId="0" applyNumberFormat="1" applyFont="1" applyFill="1" applyBorder="1" applyAlignment="1">
      <alignment horizontal="right" vertical="top" wrapText="1"/>
    </xf>
    <xf numFmtId="3" fontId="2" fillId="0" borderId="54" xfId="0" applyNumberFormat="1" applyFont="1" applyFill="1" applyBorder="1" applyAlignment="1">
      <alignment horizontal="center" wrapText="1"/>
    </xf>
    <xf numFmtId="3" fontId="2" fillId="5" borderId="12" xfId="0" applyNumberFormat="1" applyFont="1" applyFill="1" applyBorder="1" applyAlignment="1">
      <alignment horizontal="right" vertical="top" wrapText="1"/>
    </xf>
    <xf numFmtId="3" fontId="2" fillId="5" borderId="54" xfId="0" applyNumberFormat="1" applyFont="1" applyFill="1" applyBorder="1" applyAlignment="1">
      <alignment horizontal="right" vertical="top" wrapText="1"/>
    </xf>
    <xf numFmtId="3" fontId="1" fillId="0" borderId="0" xfId="0" applyNumberFormat="1" applyFont="1" applyBorder="1" applyAlignment="1">
      <alignment horizontal="center" vertical="top" wrapText="1"/>
    </xf>
    <xf numFmtId="3" fontId="2" fillId="2" borderId="72" xfId="0" applyNumberFormat="1" applyFont="1" applyFill="1" applyBorder="1" applyAlignment="1">
      <alignment horizontal="right" vertical="top" wrapText="1"/>
    </xf>
    <xf numFmtId="3" fontId="2" fillId="2" borderId="14" xfId="0" applyNumberFormat="1" applyFont="1" applyFill="1" applyBorder="1" applyAlignment="1">
      <alignment horizontal="left" vertical="top" wrapText="1"/>
    </xf>
    <xf numFmtId="3" fontId="2" fillId="2" borderId="54" xfId="0" applyNumberFormat="1" applyFont="1" applyFill="1" applyBorder="1" applyAlignment="1">
      <alignment horizontal="left" vertical="top" wrapText="1"/>
    </xf>
    <xf numFmtId="3" fontId="2" fillId="2" borderId="72" xfId="0" applyNumberFormat="1" applyFont="1" applyFill="1" applyBorder="1" applyAlignment="1">
      <alignment horizontal="left" vertical="top" wrapText="1"/>
    </xf>
    <xf numFmtId="3" fontId="2" fillId="3" borderId="13" xfId="0" applyNumberFormat="1" applyFont="1" applyFill="1" applyBorder="1" applyAlignment="1">
      <alignment horizontal="left" vertical="top" wrapText="1"/>
    </xf>
    <xf numFmtId="3" fontId="2" fillId="3" borderId="18" xfId="0" applyNumberFormat="1" applyFont="1" applyFill="1" applyBorder="1" applyAlignment="1">
      <alignment horizontal="left" vertical="top" wrapText="1"/>
    </xf>
    <xf numFmtId="3" fontId="2" fillId="3" borderId="42" xfId="0" applyNumberFormat="1" applyFont="1" applyFill="1" applyBorder="1" applyAlignment="1">
      <alignment horizontal="left" vertical="top" wrapText="1"/>
    </xf>
    <xf numFmtId="3" fontId="1" fillId="4" borderId="61" xfId="0" applyNumberFormat="1" applyFont="1" applyFill="1" applyBorder="1" applyAlignment="1">
      <alignment horizontal="left" vertical="top" wrapText="1"/>
    </xf>
    <xf numFmtId="3" fontId="1" fillId="4" borderId="62" xfId="0" applyNumberFormat="1" applyFont="1" applyFill="1" applyBorder="1" applyAlignment="1">
      <alignment horizontal="left" vertical="top" wrapText="1"/>
    </xf>
    <xf numFmtId="3" fontId="1" fillId="4" borderId="59"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3" fontId="2" fillId="0" borderId="59" xfId="0" applyNumberFormat="1" applyFont="1" applyFill="1" applyBorder="1" applyAlignment="1">
      <alignment horizontal="center" vertical="center" textRotation="90" wrapText="1"/>
    </xf>
    <xf numFmtId="3" fontId="2" fillId="0" borderId="42" xfId="0" applyNumberFormat="1" applyFont="1" applyFill="1" applyBorder="1" applyAlignment="1">
      <alignment horizontal="center" vertical="center" textRotation="90" wrapText="1"/>
    </xf>
    <xf numFmtId="3" fontId="4" fillId="4" borderId="59" xfId="0" applyNumberFormat="1" applyFont="1" applyFill="1" applyBorder="1" applyAlignment="1">
      <alignment horizontal="left" vertical="top" wrapText="1"/>
    </xf>
    <xf numFmtId="3" fontId="4" fillId="4" borderId="19" xfId="0" applyNumberFormat="1" applyFont="1" applyFill="1" applyBorder="1" applyAlignment="1">
      <alignment horizontal="left" vertical="top" wrapText="1"/>
    </xf>
    <xf numFmtId="3" fontId="1" fillId="4" borderId="6" xfId="0" applyNumberFormat="1" applyFont="1" applyFill="1" applyBorder="1" applyAlignment="1">
      <alignment horizontal="left" vertical="top" wrapText="1"/>
    </xf>
    <xf numFmtId="3" fontId="1" fillId="4" borderId="49" xfId="0" applyNumberFormat="1" applyFont="1" applyFill="1" applyBorder="1" applyAlignment="1">
      <alignment horizontal="left" vertical="top" wrapText="1"/>
    </xf>
    <xf numFmtId="49" fontId="2" fillId="8" borderId="17"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49" fontId="2" fillId="2" borderId="42"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3" fontId="4" fillId="4" borderId="13" xfId="0" applyNumberFormat="1" applyFont="1" applyFill="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64" xfId="0" applyNumberFormat="1" applyFont="1" applyFill="1" applyBorder="1" applyAlignment="1">
      <alignment horizontal="center" vertical="top"/>
    </xf>
    <xf numFmtId="3" fontId="2" fillId="0" borderId="68" xfId="0" applyNumberFormat="1" applyFont="1" applyFill="1" applyBorder="1" applyAlignment="1">
      <alignment horizontal="center" vertical="top"/>
    </xf>
    <xf numFmtId="3" fontId="1" fillId="4" borderId="10"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3" fontId="2" fillId="5" borderId="46" xfId="0" applyNumberFormat="1" applyFont="1" applyFill="1" applyBorder="1" applyAlignment="1">
      <alignment horizontal="right" vertical="top" wrapText="1"/>
    </xf>
    <xf numFmtId="3" fontId="2" fillId="5" borderId="45" xfId="0" applyNumberFormat="1" applyFont="1" applyFill="1" applyBorder="1" applyAlignment="1">
      <alignment horizontal="right" vertical="top" wrapText="1"/>
    </xf>
    <xf numFmtId="3" fontId="2" fillId="5" borderId="50" xfId="0" applyNumberFormat="1" applyFont="1" applyFill="1" applyBorder="1" applyAlignment="1">
      <alignment horizontal="right" vertical="top" wrapText="1"/>
    </xf>
    <xf numFmtId="3" fontId="1" fillId="4" borderId="13" xfId="0" applyNumberFormat="1" applyFont="1" applyFill="1" applyBorder="1" applyAlignment="1">
      <alignment horizontal="left" vertical="top" wrapText="1"/>
    </xf>
    <xf numFmtId="3" fontId="1" fillId="4" borderId="18" xfId="0" applyNumberFormat="1" applyFont="1" applyFill="1" applyBorder="1" applyAlignment="1">
      <alignment horizontal="left" vertical="top" wrapText="1"/>
    </xf>
    <xf numFmtId="3" fontId="1" fillId="4" borderId="17" xfId="0" applyNumberFormat="1" applyFont="1" applyFill="1" applyBorder="1" applyAlignment="1">
      <alignment horizontal="center" vertical="top" wrapText="1"/>
    </xf>
    <xf numFmtId="3" fontId="1" fillId="4" borderId="0" xfId="0" applyNumberFormat="1" applyFont="1" applyFill="1" applyBorder="1" applyAlignment="1">
      <alignment horizontal="center" vertical="top" wrapText="1"/>
    </xf>
    <xf numFmtId="3" fontId="4" fillId="0" borderId="65" xfId="0" applyNumberFormat="1" applyFont="1" applyBorder="1" applyAlignment="1">
      <alignment horizontal="left" vertical="top" wrapText="1"/>
    </xf>
    <xf numFmtId="3" fontId="4" fillId="0" borderId="34" xfId="0" applyNumberFormat="1" applyFont="1" applyBorder="1" applyAlignment="1">
      <alignment horizontal="left" vertical="top" wrapText="1"/>
    </xf>
    <xf numFmtId="3" fontId="21" fillId="0" borderId="0" xfId="0" applyNumberFormat="1" applyFont="1" applyAlignment="1">
      <alignment horizontal="left" vertical="top" wrapText="1"/>
    </xf>
    <xf numFmtId="3" fontId="8" fillId="0" borderId="0" xfId="0" applyNumberFormat="1" applyFont="1" applyAlignment="1">
      <alignment horizontal="center" vertical="top" wrapText="1"/>
    </xf>
    <xf numFmtId="3" fontId="11"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3" fontId="4" fillId="0" borderId="43" xfId="0" applyNumberFormat="1" applyFont="1" applyBorder="1" applyAlignment="1">
      <alignment horizontal="right" wrapText="1"/>
    </xf>
    <xf numFmtId="11" fontId="1" fillId="0" borderId="22" xfId="0" applyNumberFormat="1" applyFont="1" applyBorder="1" applyAlignment="1">
      <alignment horizontal="center" vertical="center" textRotation="90" wrapText="1"/>
    </xf>
    <xf numFmtId="11" fontId="1" fillId="0" borderId="40" xfId="0" applyNumberFormat="1" applyFont="1" applyBorder="1" applyAlignment="1">
      <alignment horizontal="center" vertical="center" textRotation="90" wrapText="1"/>
    </xf>
    <xf numFmtId="11" fontId="1" fillId="0" borderId="20" xfId="0" applyNumberFormat="1" applyFont="1" applyBorder="1" applyAlignment="1">
      <alignment horizontal="center" vertical="center" textRotation="90" wrapText="1"/>
    </xf>
    <xf numFmtId="11" fontId="1" fillId="0" borderId="13" xfId="0" applyNumberFormat="1" applyFont="1" applyBorder="1" applyAlignment="1">
      <alignment horizontal="center" vertical="center" textRotation="90" wrapText="1"/>
    </xf>
    <xf numFmtId="11" fontId="1" fillId="0" borderId="18" xfId="0" applyNumberFormat="1" applyFont="1" applyBorder="1" applyAlignment="1">
      <alignment horizontal="center" vertical="center" textRotation="90" wrapText="1"/>
    </xf>
    <xf numFmtId="11" fontId="1" fillId="0" borderId="19" xfId="0" applyNumberFormat="1" applyFont="1" applyBorder="1" applyAlignment="1">
      <alignment horizontal="center" vertical="center" textRotation="90" wrapText="1"/>
    </xf>
    <xf numFmtId="49" fontId="1" fillId="0" borderId="13" xfId="0" applyNumberFormat="1" applyFont="1" applyBorder="1" applyAlignment="1">
      <alignment horizontal="center" vertical="center" textRotation="90" wrapText="1"/>
    </xf>
    <xf numFmtId="49" fontId="1" fillId="0" borderId="18" xfId="0" applyNumberFormat="1" applyFont="1" applyBorder="1" applyAlignment="1">
      <alignment horizontal="center" vertical="center" textRotation="90" wrapText="1"/>
    </xf>
    <xf numFmtId="49" fontId="1" fillId="0" borderId="19" xfId="0" applyNumberFormat="1" applyFont="1" applyBorder="1" applyAlignment="1">
      <alignment horizontal="center" vertical="center" textRotation="90" wrapText="1"/>
    </xf>
    <xf numFmtId="165" fontId="4" fillId="0" borderId="22" xfId="0" applyNumberFormat="1" applyFont="1" applyBorder="1" applyAlignment="1">
      <alignment horizontal="center" vertical="center" textRotation="90" wrapText="1"/>
    </xf>
    <xf numFmtId="165" fontId="4" fillId="0" borderId="40" xfId="0" applyNumberFormat="1" applyFont="1" applyBorder="1" applyAlignment="1">
      <alignment horizontal="center" vertical="center" textRotation="90" wrapText="1"/>
    </xf>
    <xf numFmtId="165" fontId="4" fillId="0" borderId="20" xfId="0" applyNumberFormat="1" applyFont="1" applyBorder="1" applyAlignment="1">
      <alignment horizontal="center" vertical="center" textRotation="90" wrapText="1"/>
    </xf>
    <xf numFmtId="165" fontId="4" fillId="0" borderId="13" xfId="0" applyNumberFormat="1" applyFont="1" applyBorder="1" applyAlignment="1">
      <alignment horizontal="center" vertical="center" textRotation="90" wrapText="1"/>
    </xf>
    <xf numFmtId="165" fontId="4" fillId="0" borderId="18" xfId="0" applyNumberFormat="1" applyFont="1" applyBorder="1" applyAlignment="1">
      <alignment horizontal="center" vertical="center" textRotation="90" wrapText="1"/>
    </xf>
    <xf numFmtId="165" fontId="4" fillId="0" borderId="19" xfId="0" applyNumberFormat="1" applyFont="1" applyBorder="1" applyAlignment="1">
      <alignment horizontal="center" vertical="center" textRotation="90" wrapText="1"/>
    </xf>
    <xf numFmtId="165" fontId="4" fillId="0" borderId="38" xfId="0" applyNumberFormat="1" applyFont="1" applyBorder="1" applyAlignment="1">
      <alignment horizontal="center" vertical="center" textRotation="90" wrapText="1"/>
    </xf>
    <xf numFmtId="165" fontId="4" fillId="0" borderId="31" xfId="0" applyNumberFormat="1" applyFont="1" applyBorder="1" applyAlignment="1">
      <alignment horizontal="center" vertical="center" textRotation="90" wrapText="1"/>
    </xf>
    <xf numFmtId="165" fontId="4" fillId="0" borderId="21" xfId="0" applyNumberFormat="1" applyFont="1" applyBorder="1" applyAlignment="1">
      <alignment horizontal="center" vertical="center" textRotation="90" wrapText="1"/>
    </xf>
    <xf numFmtId="3" fontId="1" fillId="0" borderId="74"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65" xfId="0" applyNumberFormat="1" applyFont="1" applyBorder="1" applyAlignment="1">
      <alignment horizontal="center" vertical="top" wrapText="1"/>
    </xf>
    <xf numFmtId="3" fontId="1" fillId="0" borderId="34" xfId="0" applyNumberFormat="1" applyFont="1" applyBorder="1" applyAlignment="1">
      <alignment horizontal="center" vertical="top" wrapText="1"/>
    </xf>
    <xf numFmtId="3" fontId="1" fillId="0" borderId="26" xfId="0" applyNumberFormat="1" applyFont="1" applyBorder="1" applyAlignment="1">
      <alignment horizontal="center" vertical="top" wrapText="1"/>
    </xf>
    <xf numFmtId="3" fontId="1" fillId="0" borderId="6" xfId="0" applyNumberFormat="1" applyFont="1" applyBorder="1" applyAlignment="1">
      <alignment horizontal="center" vertical="center" wrapText="1"/>
    </xf>
    <xf numFmtId="3" fontId="1" fillId="0" borderId="49"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38" xfId="0" applyNumberFormat="1" applyFont="1" applyBorder="1" applyAlignment="1">
      <alignment horizontal="center" vertical="center" textRotation="90" wrapText="1"/>
    </xf>
    <xf numFmtId="3" fontId="1" fillId="0" borderId="31" xfId="0" applyNumberFormat="1" applyFont="1" applyBorder="1" applyAlignment="1">
      <alignment horizontal="center" vertical="center" textRotation="90" wrapText="1"/>
    </xf>
    <xf numFmtId="3" fontId="1" fillId="0" borderId="21" xfId="0" applyNumberFormat="1" applyFont="1" applyBorder="1" applyAlignment="1">
      <alignment horizontal="center" vertical="center" textRotation="90" wrapText="1"/>
    </xf>
    <xf numFmtId="3" fontId="1" fillId="0" borderId="10" xfId="0" applyNumberFormat="1" applyFont="1" applyBorder="1" applyAlignment="1">
      <alignment horizontal="center" vertical="center" textRotation="90" wrapText="1"/>
    </xf>
    <xf numFmtId="3" fontId="1" fillId="0" borderId="8" xfId="0" applyNumberFormat="1" applyFont="1" applyBorder="1" applyAlignment="1">
      <alignment horizontal="center" vertical="center" textRotation="90" wrapText="1"/>
    </xf>
    <xf numFmtId="3" fontId="1" fillId="0" borderId="49" xfId="0" applyNumberFormat="1" applyFont="1" applyBorder="1" applyAlignment="1">
      <alignment horizontal="center" vertical="center" textRotation="90" wrapText="1"/>
    </xf>
    <xf numFmtId="3" fontId="2" fillId="6" borderId="12" xfId="0" applyNumberFormat="1" applyFont="1" applyFill="1" applyBorder="1" applyAlignment="1">
      <alignment horizontal="left" vertical="top" wrapText="1"/>
    </xf>
    <xf numFmtId="3" fontId="2" fillId="6" borderId="54" xfId="0" applyNumberFormat="1" applyFont="1" applyFill="1" applyBorder="1" applyAlignment="1">
      <alignment horizontal="left" vertical="top" wrapText="1"/>
    </xf>
    <xf numFmtId="3" fontId="2" fillId="6" borderId="72" xfId="0" applyNumberFormat="1" applyFont="1" applyFill="1" applyBorder="1" applyAlignment="1">
      <alignment horizontal="left" vertical="top" wrapText="1"/>
    </xf>
    <xf numFmtId="3" fontId="5" fillId="4" borderId="59" xfId="0" applyNumberFormat="1" applyFont="1" applyFill="1" applyBorder="1" applyAlignment="1">
      <alignment horizontal="left" vertical="top" wrapText="1"/>
    </xf>
    <xf numFmtId="3" fontId="5" fillId="4" borderId="18" xfId="0" applyNumberFormat="1" applyFont="1" applyFill="1" applyBorder="1" applyAlignment="1">
      <alignment horizontal="left" vertical="top" wrapText="1"/>
    </xf>
    <xf numFmtId="3" fontId="5" fillId="4" borderId="42" xfId="0" applyNumberFormat="1" applyFont="1" applyFill="1" applyBorder="1" applyAlignment="1">
      <alignment horizontal="left" vertical="top" wrapText="1"/>
    </xf>
    <xf numFmtId="3" fontId="4" fillId="4" borderId="0" xfId="0" applyNumberFormat="1" applyFont="1" applyFill="1" applyBorder="1" applyAlignment="1">
      <alignment horizontal="center" vertical="top" wrapText="1"/>
    </xf>
    <xf numFmtId="3" fontId="5" fillId="0" borderId="18" xfId="0" applyNumberFormat="1" applyFont="1" applyFill="1" applyBorder="1" applyAlignment="1">
      <alignment horizontal="left" vertical="top" wrapText="1"/>
    </xf>
    <xf numFmtId="3" fontId="6" fillId="7" borderId="12" xfId="0" applyNumberFormat="1" applyFont="1" applyFill="1" applyBorder="1" applyAlignment="1">
      <alignment horizontal="left" vertical="top" wrapText="1"/>
    </xf>
    <xf numFmtId="3" fontId="6" fillId="7" borderId="54" xfId="0" applyNumberFormat="1" applyFont="1" applyFill="1" applyBorder="1" applyAlignment="1">
      <alignment horizontal="left" vertical="top" wrapText="1"/>
    </xf>
    <xf numFmtId="3" fontId="6" fillId="7" borderId="72" xfId="0" applyNumberFormat="1" applyFont="1" applyFill="1" applyBorder="1" applyAlignment="1">
      <alignment horizontal="left" vertical="top" wrapText="1"/>
    </xf>
    <xf numFmtId="3" fontId="5" fillId="8" borderId="12" xfId="0" applyNumberFormat="1" applyFont="1" applyFill="1" applyBorder="1" applyAlignment="1">
      <alignment horizontal="left" vertical="top" wrapText="1"/>
    </xf>
    <xf numFmtId="3" fontId="5" fillId="8" borderId="54" xfId="0" applyNumberFormat="1" applyFont="1" applyFill="1" applyBorder="1" applyAlignment="1">
      <alignment horizontal="left" vertical="top" wrapText="1"/>
    </xf>
    <xf numFmtId="3" fontId="5" fillId="8" borderId="72" xfId="0" applyNumberFormat="1" applyFont="1" applyFill="1" applyBorder="1" applyAlignment="1">
      <alignment horizontal="left" vertical="top" wrapText="1"/>
    </xf>
    <xf numFmtId="3" fontId="5" fillId="2" borderId="12" xfId="0" applyNumberFormat="1" applyFont="1" applyFill="1" applyBorder="1" applyAlignment="1">
      <alignment horizontal="left" vertical="top" wrapText="1"/>
    </xf>
    <xf numFmtId="3" fontId="5" fillId="2" borderId="54" xfId="0" applyNumberFormat="1" applyFont="1" applyFill="1" applyBorder="1" applyAlignment="1">
      <alignment horizontal="left" vertical="top" wrapText="1"/>
    </xf>
    <xf numFmtId="3" fontId="5" fillId="2" borderId="72" xfId="0" applyNumberFormat="1" applyFont="1" applyFill="1" applyBorder="1" applyAlignment="1">
      <alignment horizontal="left" vertical="top" wrapText="1"/>
    </xf>
    <xf numFmtId="3" fontId="4" fillId="0" borderId="59" xfId="0" applyNumberFormat="1" applyFont="1" applyFill="1" applyBorder="1" applyAlignment="1">
      <alignment horizontal="left" vertical="top" wrapText="1"/>
    </xf>
    <xf numFmtId="3" fontId="4" fillId="0" borderId="18" xfId="0" applyNumberFormat="1" applyFont="1" applyFill="1" applyBorder="1" applyAlignment="1">
      <alignment horizontal="left" vertical="top" wrapText="1"/>
    </xf>
    <xf numFmtId="3" fontId="4" fillId="0" borderId="42" xfId="0" applyNumberFormat="1" applyFont="1" applyFill="1" applyBorder="1" applyAlignment="1">
      <alignment horizontal="left" vertical="top" wrapText="1"/>
    </xf>
    <xf numFmtId="3" fontId="4" fillId="0" borderId="13" xfId="0" applyNumberFormat="1" applyFont="1" applyFill="1" applyBorder="1" applyAlignment="1">
      <alignment horizontal="left" vertical="top" wrapText="1"/>
    </xf>
    <xf numFmtId="3" fontId="4" fillId="0" borderId="19"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3" fontId="4" fillId="4" borderId="16" xfId="0" applyNumberFormat="1" applyFont="1" applyFill="1" applyBorder="1" applyAlignment="1">
      <alignment horizontal="left" vertical="top" wrapText="1"/>
    </xf>
    <xf numFmtId="3" fontId="4" fillId="4" borderId="62" xfId="0" applyNumberFormat="1" applyFont="1" applyFill="1" applyBorder="1" applyAlignment="1">
      <alignment horizontal="left" vertical="top" wrapText="1"/>
    </xf>
    <xf numFmtId="3" fontId="4" fillId="4" borderId="10" xfId="0" applyNumberFormat="1" applyFont="1" applyFill="1" applyBorder="1" applyAlignment="1">
      <alignment horizontal="left" vertical="top" wrapText="1"/>
    </xf>
    <xf numFmtId="3" fontId="4" fillId="4" borderId="8"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4" fillId="4" borderId="18" xfId="0" applyNumberFormat="1" applyFont="1" applyFill="1" applyBorder="1" applyAlignment="1">
      <alignment horizontal="center" vertical="top" wrapText="1"/>
    </xf>
    <xf numFmtId="3" fontId="4" fillId="4" borderId="42" xfId="0" applyNumberFormat="1" applyFont="1" applyFill="1" applyBorder="1" applyAlignment="1">
      <alignment horizontal="center" vertical="top" wrapText="1"/>
    </xf>
    <xf numFmtId="3" fontId="5" fillId="0" borderId="59" xfId="0" applyNumberFormat="1" applyFont="1" applyFill="1" applyBorder="1" applyAlignment="1">
      <alignment horizontal="center" vertical="center" textRotation="90" wrapText="1"/>
    </xf>
    <xf numFmtId="3" fontId="5" fillId="0" borderId="42" xfId="0" applyNumberFormat="1" applyFont="1" applyFill="1" applyBorder="1" applyAlignment="1">
      <alignment horizontal="center" vertical="center" textRotation="90" wrapText="1"/>
    </xf>
    <xf numFmtId="3" fontId="6" fillId="0" borderId="13" xfId="0" applyNumberFormat="1" applyFont="1" applyFill="1" applyBorder="1" applyAlignment="1">
      <alignment horizontal="left" vertical="top" wrapText="1"/>
    </xf>
    <xf numFmtId="3" fontId="6" fillId="0" borderId="18" xfId="0" applyNumberFormat="1" applyFont="1" applyFill="1" applyBorder="1" applyAlignment="1">
      <alignment horizontal="left" vertical="top" wrapText="1"/>
    </xf>
    <xf numFmtId="3" fontId="5" fillId="0" borderId="13" xfId="0" applyNumberFormat="1" applyFont="1" applyFill="1" applyBorder="1" applyAlignment="1">
      <alignment vertical="top" wrapText="1"/>
    </xf>
    <xf numFmtId="3" fontId="5" fillId="0" borderId="18" xfId="0" applyNumberFormat="1" applyFont="1" applyFill="1" applyBorder="1" applyAlignment="1">
      <alignment vertical="top" wrapText="1"/>
    </xf>
    <xf numFmtId="3" fontId="13" fillId="5" borderId="46" xfId="0" applyNumberFormat="1" applyFont="1" applyFill="1" applyBorder="1" applyAlignment="1">
      <alignment horizontal="right" vertical="top" wrapText="1"/>
    </xf>
    <xf numFmtId="3" fontId="13" fillId="5" borderId="45" xfId="0" applyNumberFormat="1" applyFont="1" applyFill="1" applyBorder="1" applyAlignment="1">
      <alignment horizontal="right" vertical="top" wrapText="1"/>
    </xf>
    <xf numFmtId="3" fontId="13" fillId="5" borderId="79" xfId="0" applyNumberFormat="1" applyFont="1" applyFill="1" applyBorder="1" applyAlignment="1">
      <alignment horizontal="right" vertical="top" wrapText="1"/>
    </xf>
    <xf numFmtId="3" fontId="1" fillId="4" borderId="56" xfId="0" applyNumberFormat="1" applyFont="1" applyFill="1" applyBorder="1" applyAlignment="1">
      <alignment horizontal="left" vertical="top" wrapText="1"/>
    </xf>
    <xf numFmtId="49" fontId="2" fillId="8" borderId="22" xfId="0" applyNumberFormat="1" applyFont="1" applyFill="1" applyBorder="1" applyAlignment="1">
      <alignment horizontal="center" vertical="top"/>
    </xf>
    <xf numFmtId="49" fontId="2" fillId="8" borderId="40" xfId="0" applyNumberFormat="1" applyFont="1" applyFill="1" applyBorder="1" applyAlignment="1">
      <alignment horizontal="center" vertical="top"/>
    </xf>
    <xf numFmtId="49" fontId="2" fillId="8" borderId="20" xfId="0" applyNumberFormat="1" applyFont="1" applyFill="1" applyBorder="1" applyAlignment="1">
      <alignment horizontal="center" vertical="top"/>
    </xf>
    <xf numFmtId="3" fontId="2" fillId="10" borderId="13" xfId="0" quotePrefix="1" applyNumberFormat="1" applyFont="1" applyFill="1" applyBorder="1" applyAlignment="1">
      <alignment horizontal="center" vertical="top" wrapText="1"/>
    </xf>
    <xf numFmtId="3" fontId="2" fillId="10" borderId="18" xfId="0" quotePrefix="1" applyNumberFormat="1" applyFont="1" applyFill="1" applyBorder="1" applyAlignment="1">
      <alignment horizontal="center" vertical="top" wrapText="1"/>
    </xf>
    <xf numFmtId="3" fontId="2" fillId="10" borderId="19" xfId="0" quotePrefix="1" applyNumberFormat="1" applyFont="1" applyFill="1" applyBorder="1" applyAlignment="1">
      <alignment horizontal="center" vertical="top" wrapText="1"/>
    </xf>
    <xf numFmtId="3" fontId="2" fillId="4" borderId="64" xfId="0" quotePrefix="1" applyNumberFormat="1" applyFont="1" applyFill="1" applyBorder="1" applyAlignment="1">
      <alignment horizontal="center" vertical="top" wrapText="1"/>
    </xf>
    <xf numFmtId="3" fontId="2" fillId="4" borderId="32" xfId="0" quotePrefix="1" applyNumberFormat="1" applyFont="1" applyFill="1" applyBorder="1" applyAlignment="1">
      <alignment horizontal="center" vertical="top" wrapText="1"/>
    </xf>
    <xf numFmtId="3" fontId="2" fillId="4" borderId="68" xfId="0" quotePrefix="1" applyNumberFormat="1" applyFont="1" applyFill="1" applyBorder="1" applyAlignment="1">
      <alignment horizontal="center" vertical="top" wrapText="1"/>
    </xf>
    <xf numFmtId="3" fontId="4" fillId="4" borderId="13" xfId="0" applyNumberFormat="1" applyFont="1" applyFill="1" applyBorder="1" applyAlignment="1">
      <alignment horizontal="center" vertical="top" wrapText="1"/>
    </xf>
    <xf numFmtId="3" fontId="4" fillId="4" borderId="19" xfId="0" applyNumberFormat="1" applyFont="1" applyFill="1" applyBorder="1" applyAlignment="1">
      <alignment horizontal="center" vertical="top" wrapText="1"/>
    </xf>
    <xf numFmtId="3" fontId="4" fillId="4" borderId="22" xfId="0" applyNumberFormat="1" applyFont="1" applyFill="1" applyBorder="1" applyAlignment="1">
      <alignment horizontal="left" vertical="top" wrapText="1"/>
    </xf>
    <xf numFmtId="3" fontId="4" fillId="4" borderId="40" xfId="0" applyNumberFormat="1" applyFont="1" applyFill="1" applyBorder="1" applyAlignment="1">
      <alignment horizontal="left" vertical="top" wrapText="1"/>
    </xf>
    <xf numFmtId="3" fontId="4" fillId="4" borderId="20" xfId="0" applyNumberFormat="1" applyFont="1" applyFill="1" applyBorder="1" applyAlignment="1">
      <alignment horizontal="left" vertical="top" wrapText="1"/>
    </xf>
    <xf numFmtId="3" fontId="2" fillId="2" borderId="25" xfId="0" applyNumberFormat="1" applyFont="1" applyFill="1" applyBorder="1" applyAlignment="1">
      <alignment horizontal="right" vertical="top" wrapText="1"/>
    </xf>
    <xf numFmtId="3" fontId="2" fillId="8" borderId="14" xfId="0" applyNumberFormat="1" applyFont="1" applyFill="1" applyBorder="1" applyAlignment="1">
      <alignment horizontal="right" vertical="top" wrapText="1"/>
    </xf>
    <xf numFmtId="3" fontId="2" fillId="8" borderId="54" xfId="0" applyNumberFormat="1" applyFont="1" applyFill="1" applyBorder="1" applyAlignment="1">
      <alignment horizontal="right" vertical="top" wrapText="1"/>
    </xf>
    <xf numFmtId="3" fontId="2" fillId="8" borderId="25" xfId="0" applyNumberFormat="1" applyFont="1" applyFill="1" applyBorder="1" applyAlignment="1">
      <alignment horizontal="right" vertical="top" wrapText="1"/>
    </xf>
    <xf numFmtId="3" fontId="2" fillId="8" borderId="14" xfId="0" applyNumberFormat="1" applyFont="1" applyFill="1" applyBorder="1" applyAlignment="1">
      <alignment horizontal="left" vertical="top" wrapText="1"/>
    </xf>
    <xf numFmtId="3" fontId="2" fillId="8" borderId="54" xfId="0" applyNumberFormat="1" applyFont="1" applyFill="1" applyBorder="1" applyAlignment="1">
      <alignment horizontal="left" vertical="top" wrapText="1"/>
    </xf>
    <xf numFmtId="3" fontId="2" fillId="8" borderId="72" xfId="0" applyNumberFormat="1" applyFont="1" applyFill="1" applyBorder="1" applyAlignment="1">
      <alignment horizontal="left" vertical="top" wrapText="1"/>
    </xf>
    <xf numFmtId="3" fontId="2" fillId="2" borderId="12" xfId="0" applyNumberFormat="1" applyFont="1" applyFill="1" applyBorder="1" applyAlignment="1">
      <alignment horizontal="left" vertical="top" wrapText="1"/>
    </xf>
    <xf numFmtId="167" fontId="4" fillId="9" borderId="114" xfId="2" applyNumberFormat="1" applyFont="1" applyFill="1" applyBorder="1" applyAlignment="1">
      <alignment horizontal="left" vertical="top" wrapText="1"/>
    </xf>
    <xf numFmtId="167" fontId="4" fillId="9" borderId="95" xfId="2" applyNumberFormat="1" applyFont="1" applyFill="1" applyBorder="1" applyAlignment="1">
      <alignment horizontal="left" vertical="top" wrapText="1"/>
    </xf>
    <xf numFmtId="167" fontId="4" fillId="9" borderId="61" xfId="2" applyNumberFormat="1" applyFont="1" applyFill="1" applyBorder="1" applyAlignment="1">
      <alignment horizontal="left" vertical="top" wrapText="1"/>
    </xf>
    <xf numFmtId="167" fontId="4" fillId="9" borderId="56" xfId="2" applyNumberFormat="1" applyFont="1" applyFill="1" applyBorder="1" applyAlignment="1">
      <alignment horizontal="left" vertical="top" wrapText="1"/>
    </xf>
    <xf numFmtId="167" fontId="4" fillId="9" borderId="10" xfId="2" applyNumberFormat="1" applyFont="1" applyFill="1" applyBorder="1" applyAlignment="1">
      <alignment horizontal="left" vertical="top" wrapText="1"/>
    </xf>
    <xf numFmtId="167" fontId="4" fillId="9" borderId="8" xfId="2"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59" xfId="0" applyNumberFormat="1" applyFont="1" applyFill="1" applyBorder="1" applyAlignment="1">
      <alignment horizontal="left" vertical="top" wrapText="1"/>
    </xf>
    <xf numFmtId="3" fontId="2" fillId="4" borderId="42"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167" fontId="4" fillId="9" borderId="105" xfId="2" applyNumberFormat="1"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5" xfId="0" applyFont="1" applyFill="1" applyBorder="1" applyAlignment="1">
      <alignment horizontal="left" vertical="top" wrapText="1"/>
    </xf>
    <xf numFmtId="3" fontId="5" fillId="5" borderId="46" xfId="0" applyNumberFormat="1" applyFont="1" applyFill="1" applyBorder="1" applyAlignment="1">
      <alignment horizontal="right" vertical="top" wrapText="1"/>
    </xf>
    <xf numFmtId="3" fontId="5" fillId="5" borderId="45" xfId="0" applyNumberFormat="1" applyFont="1" applyFill="1" applyBorder="1" applyAlignment="1">
      <alignment horizontal="right" vertical="top" wrapText="1"/>
    </xf>
    <xf numFmtId="3" fontId="5" fillId="5" borderId="50" xfId="0" applyNumberFormat="1" applyFont="1" applyFill="1" applyBorder="1" applyAlignment="1">
      <alignment horizontal="right" vertical="top" wrapText="1"/>
    </xf>
    <xf numFmtId="3" fontId="2" fillId="5" borderId="75" xfId="0" applyNumberFormat="1" applyFont="1" applyFill="1" applyBorder="1" applyAlignment="1">
      <alignment horizontal="right" vertical="top" wrapText="1"/>
    </xf>
    <xf numFmtId="167" fontId="4" fillId="9" borderId="87" xfId="2" applyNumberFormat="1" applyFont="1" applyFill="1" applyBorder="1" applyAlignment="1">
      <alignment horizontal="left" vertical="top" wrapText="1"/>
    </xf>
    <xf numFmtId="167" fontId="4" fillId="9" borderId="131" xfId="2"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5" fillId="4" borderId="13" xfId="0" applyNumberFormat="1" applyFont="1" applyFill="1" applyBorder="1" applyAlignment="1">
      <alignment horizontal="left" vertical="top" wrapText="1"/>
    </xf>
    <xf numFmtId="167" fontId="4" fillId="11" borderId="90" xfId="2" applyNumberFormat="1" applyFont="1" applyFill="1" applyBorder="1" applyAlignment="1">
      <alignment horizontal="left" vertical="top" wrapText="1"/>
    </xf>
    <xf numFmtId="167" fontId="4" fillId="11" borderId="131" xfId="2" applyNumberFormat="1" applyFont="1" applyFill="1" applyBorder="1" applyAlignment="1">
      <alignment horizontal="left" vertical="top" wrapText="1"/>
    </xf>
    <xf numFmtId="167" fontId="4" fillId="9" borderId="6" xfId="2" applyNumberFormat="1" applyFont="1" applyFill="1" applyBorder="1" applyAlignment="1">
      <alignment horizontal="left" vertical="top" wrapText="1"/>
    </xf>
    <xf numFmtId="167" fontId="4" fillId="9" borderId="49" xfId="2" applyNumberFormat="1" applyFont="1" applyFill="1" applyBorder="1" applyAlignment="1">
      <alignment horizontal="left" vertical="top" wrapText="1"/>
    </xf>
    <xf numFmtId="3" fontId="2" fillId="7" borderId="74" xfId="0" applyNumberFormat="1" applyFont="1" applyFill="1" applyBorder="1" applyAlignment="1">
      <alignment horizontal="right" vertical="top" wrapText="1"/>
    </xf>
    <xf numFmtId="3" fontId="2" fillId="7" borderId="58" xfId="0" applyNumberFormat="1" applyFont="1" applyFill="1" applyBorder="1" applyAlignment="1">
      <alignment horizontal="right" vertical="top" wrapText="1"/>
    </xf>
    <xf numFmtId="3" fontId="1" fillId="4" borderId="8" xfId="0" applyNumberFormat="1" applyFont="1" applyFill="1" applyBorder="1" applyAlignment="1">
      <alignment horizontal="center" vertical="top" wrapText="1"/>
    </xf>
    <xf numFmtId="164" fontId="1" fillId="4" borderId="40" xfId="0" applyNumberFormat="1" applyFont="1" applyFill="1" applyBorder="1" applyAlignment="1">
      <alignment horizontal="center" vertical="top"/>
    </xf>
    <xf numFmtId="164" fontId="1" fillId="4" borderId="18" xfId="0" applyNumberFormat="1" applyFont="1" applyFill="1" applyBorder="1" applyAlignment="1">
      <alignment horizontal="center" vertical="top"/>
    </xf>
    <xf numFmtId="164" fontId="1" fillId="4" borderId="31" xfId="0" applyNumberFormat="1" applyFont="1" applyFill="1" applyBorder="1" applyAlignment="1">
      <alignment horizontal="center" vertical="top"/>
    </xf>
    <xf numFmtId="3" fontId="2" fillId="0" borderId="12"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0" borderId="72" xfId="0" applyNumberFormat="1" applyFont="1" applyBorder="1" applyAlignment="1">
      <alignment horizontal="center" vertical="center" wrapText="1"/>
    </xf>
    <xf numFmtId="3" fontId="2" fillId="5" borderId="65" xfId="0" applyNumberFormat="1" applyFont="1" applyFill="1" applyBorder="1" applyAlignment="1">
      <alignment horizontal="right" vertical="top" wrapText="1"/>
    </xf>
    <xf numFmtId="3" fontId="2" fillId="5" borderId="34" xfId="0" applyNumberFormat="1" applyFont="1" applyFill="1" applyBorder="1" applyAlignment="1">
      <alignment horizontal="right" vertical="top" wrapText="1"/>
    </xf>
    <xf numFmtId="3" fontId="1" fillId="0" borderId="61" xfId="0" applyNumberFormat="1" applyFont="1" applyBorder="1" applyAlignment="1">
      <alignment horizontal="left" vertical="top" wrapText="1"/>
    </xf>
    <xf numFmtId="3" fontId="1" fillId="0" borderId="27" xfId="0" applyNumberFormat="1" applyFont="1" applyBorder="1" applyAlignment="1">
      <alignment horizontal="left" vertical="top" wrapText="1"/>
    </xf>
    <xf numFmtId="3" fontId="1" fillId="0" borderId="65" xfId="0" applyNumberFormat="1" applyFont="1" applyBorder="1" applyAlignment="1">
      <alignment horizontal="left" vertical="top" wrapText="1"/>
    </xf>
    <xf numFmtId="3" fontId="1" fillId="0" borderId="34" xfId="0" applyNumberFormat="1" applyFont="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42" xfId="0" applyNumberFormat="1" applyFont="1" applyFill="1" applyBorder="1" applyAlignment="1">
      <alignment horizontal="center" vertical="top" textRotation="90" wrapText="1"/>
    </xf>
    <xf numFmtId="0" fontId="1" fillId="4" borderId="42" xfId="0" applyFont="1" applyFill="1" applyBorder="1" applyAlignment="1">
      <alignment horizontal="left" vertical="top" wrapText="1"/>
    </xf>
    <xf numFmtId="3" fontId="1" fillId="5" borderId="66" xfId="0" applyNumberFormat="1" applyFont="1" applyFill="1" applyBorder="1" applyAlignment="1">
      <alignment horizontal="left" vertical="top" wrapText="1"/>
    </xf>
    <xf numFmtId="3" fontId="1" fillId="5" borderId="51" xfId="0" applyNumberFormat="1" applyFont="1" applyFill="1" applyBorder="1" applyAlignment="1">
      <alignment horizontal="left" vertical="top" wrapText="1"/>
    </xf>
    <xf numFmtId="3" fontId="2" fillId="7" borderId="56" xfId="0" applyNumberFormat="1" applyFont="1" applyFill="1" applyBorder="1" applyAlignment="1">
      <alignment horizontal="right" vertical="top" wrapText="1"/>
    </xf>
    <xf numFmtId="3" fontId="2" fillId="7" borderId="43" xfId="0" applyNumberFormat="1" applyFont="1" applyFill="1" applyBorder="1" applyAlignment="1">
      <alignment horizontal="right" vertical="top" wrapText="1"/>
    </xf>
    <xf numFmtId="3" fontId="4" fillId="0" borderId="47" xfId="0" applyNumberFormat="1" applyFont="1" applyBorder="1" applyAlignment="1">
      <alignment horizontal="left" vertical="top" wrapText="1"/>
    </xf>
    <xf numFmtId="3" fontId="4" fillId="0" borderId="45" xfId="0" applyNumberFormat="1" applyFont="1" applyBorder="1" applyAlignment="1">
      <alignment horizontal="left" vertical="top" wrapText="1"/>
    </xf>
    <xf numFmtId="3" fontId="1" fillId="0" borderId="65" xfId="0" applyNumberFormat="1" applyFont="1" applyBorder="1" applyAlignment="1">
      <alignment vertical="top" wrapText="1"/>
    </xf>
    <xf numFmtId="3" fontId="1" fillId="0" borderId="34" xfId="0" applyNumberFormat="1" applyFont="1" applyBorder="1" applyAlignment="1">
      <alignment vertical="top" wrapText="1"/>
    </xf>
    <xf numFmtId="3" fontId="2" fillId="5" borderId="26" xfId="0" applyNumberFormat="1" applyFont="1" applyFill="1" applyBorder="1" applyAlignment="1">
      <alignment horizontal="right" vertical="top" wrapText="1"/>
    </xf>
    <xf numFmtId="3" fontId="1" fillId="0" borderId="58"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0" xfId="0" applyNumberFormat="1" applyFont="1" applyBorder="1" applyAlignment="1">
      <alignment horizontal="left" vertical="top" wrapText="1"/>
    </xf>
    <xf numFmtId="3" fontId="1" fillId="0" borderId="8" xfId="0" applyNumberFormat="1" applyFont="1" applyBorder="1" applyAlignment="1">
      <alignment horizontal="left" vertical="top" wrapText="1"/>
    </xf>
    <xf numFmtId="3" fontId="1" fillId="4" borderId="8" xfId="0" applyNumberFormat="1" applyFont="1" applyFill="1" applyBorder="1" applyAlignment="1">
      <alignment horizontal="left" vertical="top" wrapText="1"/>
    </xf>
    <xf numFmtId="3" fontId="14" fillId="4" borderId="13" xfId="0" applyNumberFormat="1" applyFont="1" applyFill="1" applyBorder="1" applyAlignment="1">
      <alignment horizontal="left" vertical="top" wrapText="1"/>
    </xf>
    <xf numFmtId="3" fontId="14" fillId="4" borderId="18" xfId="0" applyNumberFormat="1" applyFont="1" applyFill="1" applyBorder="1" applyAlignment="1">
      <alignment horizontal="left" vertical="top" wrapText="1"/>
    </xf>
    <xf numFmtId="3" fontId="4" fillId="0" borderId="26" xfId="0" applyNumberFormat="1" applyFont="1" applyBorder="1" applyAlignment="1">
      <alignment horizontal="left" vertical="top" wrapText="1"/>
    </xf>
    <xf numFmtId="3" fontId="4" fillId="0" borderId="50" xfId="0" applyNumberFormat="1" applyFont="1" applyBorder="1" applyAlignment="1">
      <alignment horizontal="left" vertical="top" wrapText="1"/>
    </xf>
    <xf numFmtId="3" fontId="2" fillId="5" borderId="72" xfId="0" applyNumberFormat="1" applyFont="1" applyFill="1" applyBorder="1" applyAlignment="1">
      <alignment horizontal="right" vertical="top" wrapText="1"/>
    </xf>
    <xf numFmtId="165" fontId="5" fillId="0" borderId="64" xfId="0" applyNumberFormat="1" applyFont="1" applyBorder="1" applyAlignment="1">
      <alignment horizontal="center" vertical="center" textRotation="90" wrapText="1"/>
    </xf>
    <xf numFmtId="165" fontId="5" fillId="0" borderId="32" xfId="0" applyNumberFormat="1" applyFont="1" applyBorder="1" applyAlignment="1">
      <alignment horizontal="center" vertical="center" textRotation="90" wrapText="1"/>
    </xf>
    <xf numFmtId="165" fontId="5" fillId="0" borderId="68" xfId="0" applyNumberFormat="1" applyFont="1" applyBorder="1" applyAlignment="1">
      <alignment horizontal="center" vertical="center" textRotation="90" wrapText="1"/>
    </xf>
    <xf numFmtId="3" fontId="1" fillId="5" borderId="47" xfId="0" applyNumberFormat="1" applyFont="1" applyFill="1" applyBorder="1" applyAlignment="1">
      <alignment horizontal="left" vertical="top" wrapText="1"/>
    </xf>
    <xf numFmtId="3" fontId="1" fillId="5" borderId="45" xfId="0" applyNumberFormat="1" applyFont="1" applyFill="1" applyBorder="1" applyAlignment="1">
      <alignment horizontal="left" vertical="top" wrapText="1"/>
    </xf>
    <xf numFmtId="3" fontId="1" fillId="5" borderId="50" xfId="0" applyNumberFormat="1" applyFont="1" applyFill="1" applyBorder="1" applyAlignment="1">
      <alignment horizontal="left" vertical="top" wrapText="1"/>
    </xf>
    <xf numFmtId="3" fontId="1" fillId="5" borderId="65" xfId="0" applyNumberFormat="1" applyFont="1" applyFill="1" applyBorder="1" applyAlignment="1">
      <alignment horizontal="left" vertical="top" wrapText="1"/>
    </xf>
    <xf numFmtId="3" fontId="1" fillId="5" borderId="34" xfId="0" applyNumberFormat="1" applyFont="1" applyFill="1" applyBorder="1" applyAlignment="1">
      <alignment horizontal="left" vertical="top" wrapText="1"/>
    </xf>
    <xf numFmtId="3" fontId="1" fillId="5" borderId="26" xfId="0" applyNumberFormat="1" applyFont="1" applyFill="1" applyBorder="1" applyAlignment="1">
      <alignment horizontal="left" vertical="top" wrapText="1"/>
    </xf>
    <xf numFmtId="3" fontId="1" fillId="0" borderId="26" xfId="0" applyNumberFormat="1" applyFont="1" applyBorder="1" applyAlignment="1">
      <alignment horizontal="left" vertical="top" wrapText="1"/>
    </xf>
    <xf numFmtId="3" fontId="1" fillId="0" borderId="28" xfId="0" applyNumberFormat="1" applyFont="1" applyBorder="1" applyAlignment="1">
      <alignment horizontal="left" vertical="top" wrapText="1"/>
    </xf>
    <xf numFmtId="3" fontId="2" fillId="7" borderId="12" xfId="0" applyNumberFormat="1" applyFont="1" applyFill="1" applyBorder="1" applyAlignment="1">
      <alignment horizontal="right" vertical="top" wrapText="1"/>
    </xf>
    <xf numFmtId="3" fontId="2" fillId="7" borderId="72" xfId="0" applyNumberFormat="1" applyFont="1" applyFill="1" applyBorder="1" applyAlignment="1">
      <alignment horizontal="right" vertical="top" wrapText="1"/>
    </xf>
    <xf numFmtId="3" fontId="2" fillId="7" borderId="73" xfId="0" applyNumberFormat="1" applyFont="1" applyFill="1" applyBorder="1" applyAlignment="1">
      <alignment horizontal="right" vertical="top" wrapText="1"/>
    </xf>
    <xf numFmtId="3" fontId="1" fillId="0" borderId="5" xfId="0" applyNumberFormat="1" applyFont="1" applyBorder="1" applyAlignment="1">
      <alignment horizontal="left" vertical="top" wrapText="1"/>
    </xf>
    <xf numFmtId="3" fontId="25" fillId="4" borderId="59" xfId="0" applyNumberFormat="1" applyFont="1" applyFill="1" applyBorder="1" applyAlignment="1">
      <alignment horizontal="left" vertical="top" wrapText="1"/>
    </xf>
    <xf numFmtId="3" fontId="25" fillId="4" borderId="19" xfId="0" applyNumberFormat="1" applyFont="1" applyFill="1" applyBorder="1" applyAlignment="1">
      <alignment horizontal="left" vertical="top" wrapText="1"/>
    </xf>
    <xf numFmtId="3" fontId="14" fillId="4" borderId="6" xfId="0" applyNumberFormat="1" applyFont="1" applyFill="1" applyBorder="1" applyAlignment="1">
      <alignment horizontal="left" vertical="top" wrapText="1"/>
    </xf>
    <xf numFmtId="3" fontId="14" fillId="4" borderId="49" xfId="0" applyNumberFormat="1" applyFont="1" applyFill="1" applyBorder="1" applyAlignment="1">
      <alignment horizontal="left" vertical="top" wrapText="1"/>
    </xf>
    <xf numFmtId="3" fontId="25" fillId="4" borderId="18" xfId="0" applyNumberFormat="1" applyFont="1" applyFill="1" applyBorder="1" applyAlignment="1">
      <alignment horizontal="left" vertical="top" wrapText="1"/>
    </xf>
    <xf numFmtId="3" fontId="1" fillId="0" borderId="49" xfId="0" applyNumberFormat="1" applyFont="1" applyBorder="1" applyAlignment="1">
      <alignment horizontal="left" vertical="top" wrapText="1"/>
    </xf>
    <xf numFmtId="164" fontId="1" fillId="4" borderId="17" xfId="0" applyNumberFormat="1" applyFont="1" applyFill="1" applyBorder="1" applyAlignment="1">
      <alignment horizontal="center" vertical="top"/>
    </xf>
    <xf numFmtId="164" fontId="1" fillId="4" borderId="0" xfId="0" applyNumberFormat="1" applyFont="1" applyFill="1" applyBorder="1" applyAlignment="1">
      <alignment horizontal="center" vertical="top"/>
    </xf>
    <xf numFmtId="3" fontId="4" fillId="4" borderId="49" xfId="0" applyNumberFormat="1" applyFont="1" applyFill="1" applyBorder="1" applyAlignment="1">
      <alignment horizontal="left" vertical="top" wrapText="1"/>
    </xf>
    <xf numFmtId="3" fontId="11" fillId="0" borderId="0" xfId="0" applyNumberFormat="1" applyFont="1" applyAlignment="1">
      <alignment horizontal="right" vertical="top" wrapText="1"/>
    </xf>
    <xf numFmtId="165" fontId="4" fillId="0" borderId="3" xfId="0" applyNumberFormat="1" applyFont="1" applyBorder="1" applyAlignment="1">
      <alignment horizontal="center" vertical="center" textRotation="90" wrapText="1"/>
    </xf>
    <xf numFmtId="165" fontId="4" fillId="0" borderId="0" xfId="0" applyNumberFormat="1" applyFont="1" applyBorder="1" applyAlignment="1">
      <alignment horizontal="center" vertical="center" textRotation="90" wrapText="1"/>
    </xf>
    <xf numFmtId="165" fontId="4" fillId="0" borderId="43" xfId="0" applyNumberFormat="1" applyFont="1" applyBorder="1" applyAlignment="1">
      <alignment horizontal="center" vertical="center" textRotation="90" wrapText="1"/>
    </xf>
    <xf numFmtId="165" fontId="5" fillId="0" borderId="38" xfId="0" applyNumberFormat="1" applyFont="1" applyBorder="1" applyAlignment="1">
      <alignment horizontal="center" vertical="center" textRotation="90" wrapText="1"/>
    </xf>
    <xf numFmtId="165" fontId="5" fillId="0" borderId="31" xfId="0" applyNumberFormat="1" applyFont="1" applyBorder="1" applyAlignment="1">
      <alignment horizontal="center" vertical="center" textRotation="90" wrapText="1"/>
    </xf>
    <xf numFmtId="165" fontId="5" fillId="0" borderId="21" xfId="0" applyNumberFormat="1" applyFont="1" applyBorder="1" applyAlignment="1">
      <alignment horizontal="center" vertical="center" textRotation="90" wrapText="1"/>
    </xf>
    <xf numFmtId="164" fontId="1" fillId="4" borderId="7" xfId="0" applyNumberFormat="1" applyFont="1" applyFill="1" applyBorder="1" applyAlignment="1">
      <alignment horizontal="center" vertical="top"/>
    </xf>
    <xf numFmtId="165" fontId="5" fillId="0" borderId="24" xfId="0" applyNumberFormat="1" applyFont="1" applyBorder="1" applyAlignment="1">
      <alignment horizontal="center" vertical="center" textRotation="90" wrapText="1"/>
    </xf>
    <xf numFmtId="165" fontId="5" fillId="0" borderId="7" xfId="0" applyNumberFormat="1" applyFont="1" applyBorder="1" applyAlignment="1">
      <alignment horizontal="center" vertical="center" textRotation="90" wrapText="1"/>
    </xf>
    <xf numFmtId="165" fontId="5" fillId="0" borderId="69" xfId="0" applyNumberFormat="1" applyFont="1" applyBorder="1" applyAlignment="1">
      <alignment horizontal="center" vertical="center" textRotation="90" wrapText="1"/>
    </xf>
    <xf numFmtId="3" fontId="2" fillId="6" borderId="16"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3" fontId="2" fillId="6" borderId="24" xfId="0" applyNumberFormat="1" applyFont="1" applyFill="1" applyBorder="1" applyAlignment="1">
      <alignment horizontal="left" vertical="top" wrapText="1"/>
    </xf>
    <xf numFmtId="3" fontId="6" fillId="7" borderId="65" xfId="0" applyNumberFormat="1" applyFont="1" applyFill="1" applyBorder="1" applyAlignment="1">
      <alignment horizontal="left" vertical="top" wrapText="1"/>
    </xf>
    <xf numFmtId="3" fontId="6" fillId="7" borderId="34" xfId="0" applyNumberFormat="1" applyFont="1" applyFill="1" applyBorder="1" applyAlignment="1">
      <alignment horizontal="left" vertical="top" wrapText="1"/>
    </xf>
    <xf numFmtId="3" fontId="6" fillId="7" borderId="26" xfId="0" applyNumberFormat="1" applyFont="1" applyFill="1" applyBorder="1" applyAlignment="1">
      <alignment horizontal="left" vertical="top" wrapText="1"/>
    </xf>
    <xf numFmtId="3" fontId="25" fillId="0" borderId="18" xfId="0" applyNumberFormat="1" applyFont="1" applyFill="1" applyBorder="1" applyAlignment="1">
      <alignment horizontal="left" vertical="top" wrapText="1"/>
    </xf>
    <xf numFmtId="3" fontId="5" fillId="8" borderId="17" xfId="0" applyNumberFormat="1" applyFont="1" applyFill="1" applyBorder="1" applyAlignment="1">
      <alignment horizontal="left" vertical="top" wrapText="1"/>
    </xf>
    <xf numFmtId="3" fontId="5" fillId="8" borderId="0" xfId="0" applyNumberFormat="1" applyFont="1" applyFill="1" applyBorder="1" applyAlignment="1">
      <alignment horizontal="left" vertical="top" wrapText="1"/>
    </xf>
    <xf numFmtId="3" fontId="5" fillId="8" borderId="7" xfId="0" applyNumberFormat="1" applyFont="1" applyFill="1" applyBorder="1" applyAlignment="1">
      <alignment horizontal="left" vertical="top" wrapText="1"/>
    </xf>
    <xf numFmtId="3" fontId="1" fillId="4" borderId="5" xfId="0" applyNumberFormat="1" applyFont="1" applyFill="1" applyBorder="1" applyAlignment="1">
      <alignment horizontal="left" vertical="top" wrapText="1"/>
    </xf>
    <xf numFmtId="3" fontId="5" fillId="2" borderId="47" xfId="0" applyNumberFormat="1" applyFont="1" applyFill="1" applyBorder="1" applyAlignment="1">
      <alignment horizontal="left" vertical="top" wrapText="1"/>
    </xf>
    <xf numFmtId="3" fontId="5" fillId="2" borderId="45" xfId="0" applyNumberFormat="1" applyFont="1" applyFill="1" applyBorder="1" applyAlignment="1">
      <alignment horizontal="left" vertical="top" wrapText="1"/>
    </xf>
    <xf numFmtId="3" fontId="5" fillId="2" borderId="50" xfId="0" applyNumberFormat="1" applyFont="1" applyFill="1" applyBorder="1" applyAlignment="1">
      <alignment horizontal="left" vertical="top" wrapText="1"/>
    </xf>
    <xf numFmtId="3" fontId="2" fillId="4" borderId="39" xfId="0" applyNumberFormat="1" applyFont="1" applyFill="1" applyBorder="1" applyAlignment="1">
      <alignment horizontal="center" vertical="top" wrapText="1"/>
    </xf>
    <xf numFmtId="3" fontId="2" fillId="4" borderId="60" xfId="0" applyNumberFormat="1" applyFont="1" applyFill="1" applyBorder="1" applyAlignment="1">
      <alignment horizontal="center" vertical="top" wrapText="1"/>
    </xf>
    <xf numFmtId="3" fontId="4" fillId="4" borderId="6" xfId="0" applyNumberFormat="1" applyFont="1" applyFill="1" applyBorder="1" applyAlignment="1">
      <alignment horizontal="center" vertical="top" wrapText="1"/>
    </xf>
    <xf numFmtId="3" fontId="4" fillId="4" borderId="5" xfId="0" applyNumberFormat="1" applyFont="1" applyFill="1" applyBorder="1" applyAlignment="1">
      <alignment horizontal="center" vertical="top" wrapText="1"/>
    </xf>
    <xf numFmtId="0" fontId="1" fillId="4" borderId="37" xfId="0" applyFont="1" applyFill="1" applyBorder="1" applyAlignment="1">
      <alignment horizontal="left" vertical="top" wrapText="1"/>
    </xf>
    <xf numFmtId="0" fontId="1" fillId="4" borderId="41" xfId="0" applyFont="1" applyFill="1" applyBorder="1" applyAlignment="1">
      <alignment horizontal="left" vertical="top" wrapText="1"/>
    </xf>
    <xf numFmtId="3" fontId="1" fillId="4" borderId="39" xfId="0" applyNumberFormat="1" applyFont="1" applyFill="1" applyBorder="1" applyAlignment="1">
      <alignment horizontal="center" vertical="top"/>
    </xf>
    <xf numFmtId="3" fontId="1" fillId="4" borderId="60"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32"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164" fontId="1" fillId="4" borderId="59"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3" fontId="1" fillId="4" borderId="17" xfId="0" applyNumberFormat="1" applyFont="1" applyFill="1" applyBorder="1" applyAlignment="1">
      <alignment horizontal="left" vertical="top" wrapText="1"/>
    </xf>
    <xf numFmtId="3" fontId="1" fillId="4" borderId="22" xfId="0" applyNumberFormat="1" applyFont="1" applyFill="1" applyBorder="1" applyAlignment="1">
      <alignment horizontal="left" vertical="top" wrapText="1"/>
    </xf>
    <xf numFmtId="3" fontId="1" fillId="4" borderId="40" xfId="0" applyNumberFormat="1" applyFont="1" applyFill="1" applyBorder="1" applyAlignment="1">
      <alignment horizontal="left" vertical="top" wrapText="1"/>
    </xf>
    <xf numFmtId="3" fontId="1" fillId="4" borderId="20" xfId="0" applyNumberFormat="1" applyFont="1" applyFill="1" applyBorder="1" applyAlignment="1">
      <alignment horizontal="left" vertical="top" wrapText="1"/>
    </xf>
    <xf numFmtId="3" fontId="4" fillId="0" borderId="6" xfId="0" applyNumberFormat="1" applyFont="1" applyBorder="1" applyAlignment="1">
      <alignment horizontal="center" vertical="top" wrapText="1"/>
    </xf>
    <xf numFmtId="3" fontId="4" fillId="0" borderId="8" xfId="0" applyNumberFormat="1" applyFont="1" applyBorder="1" applyAlignment="1">
      <alignment horizontal="center" vertical="top" wrapText="1"/>
    </xf>
    <xf numFmtId="3" fontId="4" fillId="0" borderId="5" xfId="0" applyNumberFormat="1" applyFont="1" applyBorder="1" applyAlignment="1">
      <alignment horizontal="center" vertical="top" wrapText="1"/>
    </xf>
    <xf numFmtId="3" fontId="4" fillId="4" borderId="49" xfId="0" applyNumberFormat="1" applyFont="1" applyFill="1" applyBorder="1" applyAlignment="1">
      <alignment horizontal="center" vertical="top" wrapText="1"/>
    </xf>
    <xf numFmtId="165" fontId="4" fillId="0" borderId="6" xfId="0" applyNumberFormat="1" applyFont="1" applyBorder="1" applyAlignment="1">
      <alignment horizontal="center" vertical="top" wrapText="1"/>
    </xf>
    <xf numFmtId="165" fontId="4" fillId="0" borderId="8" xfId="0" applyNumberFormat="1" applyFont="1" applyBorder="1" applyAlignment="1">
      <alignment horizontal="center" vertical="top" wrapText="1"/>
    </xf>
    <xf numFmtId="165" fontId="4" fillId="0" borderId="5" xfId="0" applyNumberFormat="1" applyFont="1" applyBorder="1" applyAlignment="1">
      <alignment horizontal="center" vertical="top" wrapText="1"/>
    </xf>
    <xf numFmtId="165" fontId="4" fillId="4" borderId="6" xfId="0" applyNumberFormat="1" applyFont="1" applyFill="1" applyBorder="1" applyAlignment="1">
      <alignment horizontal="center" vertical="top" wrapText="1"/>
    </xf>
    <xf numFmtId="165" fontId="4" fillId="4" borderId="8" xfId="0" applyNumberFormat="1" applyFont="1" applyFill="1" applyBorder="1" applyAlignment="1">
      <alignment horizontal="center" vertical="top" wrapText="1"/>
    </xf>
    <xf numFmtId="165" fontId="4" fillId="4" borderId="5" xfId="0" applyNumberFormat="1" applyFont="1" applyFill="1" applyBorder="1" applyAlignment="1">
      <alignment horizontal="center" vertical="top" wrapText="1"/>
    </xf>
    <xf numFmtId="164" fontId="1" fillId="4" borderId="39" xfId="0" applyNumberFormat="1" applyFont="1" applyFill="1" applyBorder="1" applyAlignment="1">
      <alignment horizontal="center" vertical="top"/>
    </xf>
    <xf numFmtId="164" fontId="1" fillId="4" borderId="60" xfId="0" applyNumberFormat="1" applyFont="1" applyFill="1" applyBorder="1" applyAlignment="1">
      <alignment horizontal="center" vertical="top"/>
    </xf>
    <xf numFmtId="3" fontId="2" fillId="5" borderId="79" xfId="0" applyNumberFormat="1" applyFont="1" applyFill="1" applyBorder="1" applyAlignment="1">
      <alignment horizontal="right" vertical="top" wrapText="1"/>
    </xf>
    <xf numFmtId="3" fontId="4" fillId="0" borderId="49" xfId="0" applyNumberFormat="1" applyFont="1" applyFill="1" applyBorder="1" applyAlignment="1">
      <alignment horizontal="center" vertical="top" wrapText="1"/>
    </xf>
    <xf numFmtId="3" fontId="2" fillId="4" borderId="33" xfId="0" applyNumberFormat="1" applyFont="1" applyFill="1" applyBorder="1" applyAlignment="1">
      <alignment horizontal="center" vertical="top"/>
    </xf>
    <xf numFmtId="3" fontId="2" fillId="4" borderId="32"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164" fontId="1" fillId="4" borderId="17" xfId="0" applyNumberFormat="1" applyFont="1" applyFill="1" applyBorder="1" applyAlignment="1">
      <alignment horizontal="left" vertical="top" wrapText="1"/>
    </xf>
    <xf numFmtId="164" fontId="1" fillId="4" borderId="0" xfId="0" applyNumberFormat="1" applyFont="1" applyFill="1" applyBorder="1" applyAlignment="1">
      <alignment horizontal="left" vertical="top" wrapText="1"/>
    </xf>
    <xf numFmtId="3" fontId="5" fillId="0" borderId="59" xfId="0" applyNumberFormat="1" applyFont="1" applyFill="1" applyBorder="1" applyAlignment="1">
      <alignment horizontal="left" vertical="top" wrapText="1"/>
    </xf>
    <xf numFmtId="3" fontId="5" fillId="0" borderId="42" xfId="0" applyNumberFormat="1" applyFont="1" applyFill="1" applyBorder="1" applyAlignment="1">
      <alignment horizontal="left" vertical="top" wrapText="1"/>
    </xf>
    <xf numFmtId="3" fontId="4" fillId="0" borderId="10" xfId="0" applyNumberFormat="1" applyFont="1" applyBorder="1" applyAlignment="1">
      <alignment horizontal="center" vertical="top" wrapText="1"/>
    </xf>
    <xf numFmtId="3" fontId="4" fillId="0" borderId="49" xfId="0" applyNumberFormat="1" applyFont="1" applyBorder="1" applyAlignment="1">
      <alignment horizontal="center" vertical="top" wrapText="1"/>
    </xf>
    <xf numFmtId="3" fontId="1" fillId="4" borderId="10" xfId="0" applyNumberFormat="1" applyFont="1" applyFill="1" applyBorder="1" applyAlignment="1">
      <alignment horizontal="center" vertical="top" wrapText="1"/>
    </xf>
    <xf numFmtId="3" fontId="1" fillId="4" borderId="49" xfId="0" applyNumberFormat="1" applyFont="1" applyFill="1" applyBorder="1" applyAlignment="1">
      <alignment horizontal="center" vertical="top" wrapText="1"/>
    </xf>
    <xf numFmtId="164" fontId="18" fillId="4" borderId="33" xfId="0" applyNumberFormat="1" applyFont="1" applyFill="1" applyBorder="1" applyAlignment="1">
      <alignment horizontal="center" vertical="top"/>
    </xf>
    <xf numFmtId="164" fontId="18" fillId="4" borderId="53" xfId="0" applyNumberFormat="1" applyFont="1" applyFill="1" applyBorder="1" applyAlignment="1">
      <alignment horizontal="center" vertical="top"/>
    </xf>
    <xf numFmtId="164" fontId="1" fillId="4" borderId="37" xfId="0" applyNumberFormat="1" applyFont="1" applyFill="1" applyBorder="1" applyAlignment="1">
      <alignment horizontal="center" vertical="top"/>
    </xf>
    <xf numFmtId="164" fontId="1" fillId="4" borderId="41" xfId="0" applyNumberFormat="1" applyFont="1" applyFill="1" applyBorder="1" applyAlignment="1">
      <alignment horizontal="center" vertical="top"/>
    </xf>
    <xf numFmtId="3" fontId="1" fillId="4" borderId="33" xfId="0" applyNumberFormat="1" applyFont="1" applyFill="1" applyBorder="1" applyAlignment="1">
      <alignment horizontal="left" vertical="top" wrapText="1"/>
    </xf>
    <xf numFmtId="3" fontId="1" fillId="4" borderId="53" xfId="0" applyNumberFormat="1" applyFont="1" applyFill="1" applyBorder="1" applyAlignment="1">
      <alignment horizontal="left" vertical="top" wrapText="1"/>
    </xf>
    <xf numFmtId="3" fontId="1" fillId="0" borderId="17"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4" fillId="4" borderId="39" xfId="0" applyNumberFormat="1" applyFont="1" applyFill="1" applyBorder="1" applyAlignment="1">
      <alignment horizontal="center" vertical="top" wrapText="1"/>
    </xf>
    <xf numFmtId="3" fontId="4" fillId="4" borderId="60" xfId="0" applyNumberFormat="1" applyFont="1" applyFill="1" applyBorder="1" applyAlignment="1">
      <alignment horizontal="center" vertical="top" wrapText="1"/>
    </xf>
    <xf numFmtId="3" fontId="4" fillId="4" borderId="37" xfId="0" applyNumberFormat="1" applyFont="1" applyFill="1" applyBorder="1" applyAlignment="1">
      <alignment horizontal="center" vertical="top" wrapText="1"/>
    </xf>
    <xf numFmtId="3" fontId="4" fillId="4" borderId="41" xfId="0" applyNumberFormat="1" applyFont="1" applyFill="1" applyBorder="1" applyAlignment="1">
      <alignment horizontal="center" vertical="top" wrapText="1"/>
    </xf>
    <xf numFmtId="3" fontId="4" fillId="4" borderId="59" xfId="0" applyNumberFormat="1" applyFont="1" applyFill="1" applyBorder="1" applyAlignment="1">
      <alignment horizontal="center" vertical="top" wrapText="1"/>
    </xf>
    <xf numFmtId="3" fontId="4" fillId="0" borderId="28"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1" fillId="4" borderId="59" xfId="0" applyNumberFormat="1" applyFont="1" applyFill="1" applyBorder="1" applyAlignment="1">
      <alignment horizontal="center" vertical="top" wrapText="1"/>
    </xf>
    <xf numFmtId="3" fontId="1" fillId="4" borderId="42" xfId="0" applyNumberFormat="1" applyFont="1" applyFill="1" applyBorder="1" applyAlignment="1">
      <alignment horizontal="center" vertical="top" wrapText="1"/>
    </xf>
    <xf numFmtId="164" fontId="14" fillId="4" borderId="40" xfId="0" applyNumberFormat="1" applyFont="1" applyFill="1" applyBorder="1" applyAlignment="1">
      <alignment horizontal="center" vertical="top" wrapText="1"/>
    </xf>
    <xf numFmtId="3" fontId="4" fillId="3" borderId="10" xfId="0" applyNumberFormat="1" applyFont="1" applyFill="1" applyBorder="1" applyAlignment="1">
      <alignment horizontal="center" vertical="top" wrapText="1"/>
    </xf>
    <xf numFmtId="3" fontId="4" fillId="3" borderId="8" xfId="0" applyNumberFormat="1" applyFont="1" applyFill="1" applyBorder="1" applyAlignment="1">
      <alignment horizontal="center" vertical="top" wrapText="1"/>
    </xf>
    <xf numFmtId="3" fontId="1" fillId="0" borderId="31" xfId="0" applyNumberFormat="1" applyFont="1" applyBorder="1" applyAlignment="1">
      <alignment horizontal="center" vertical="top" wrapText="1"/>
    </xf>
    <xf numFmtId="3" fontId="1" fillId="0" borderId="21" xfId="0" applyNumberFormat="1" applyFont="1" applyBorder="1" applyAlignment="1">
      <alignment horizontal="center" vertical="top" wrapText="1"/>
    </xf>
    <xf numFmtId="3" fontId="1" fillId="0" borderId="73" xfId="0" applyNumberFormat="1" applyFont="1" applyBorder="1" applyAlignment="1">
      <alignment horizontal="center" vertical="center" wrapText="1"/>
    </xf>
    <xf numFmtId="164" fontId="4" fillId="0" borderId="22" xfId="0" applyNumberFormat="1" applyFont="1" applyBorder="1" applyAlignment="1">
      <alignment horizontal="center" vertical="top" textRotation="90" wrapText="1"/>
    </xf>
    <xf numFmtId="164" fontId="4" fillId="0" borderId="40" xfId="0" applyNumberFormat="1" applyFont="1" applyBorder="1" applyAlignment="1">
      <alignment horizontal="center" vertical="top" textRotation="90" wrapText="1"/>
    </xf>
    <xf numFmtId="164" fontId="4" fillId="0" borderId="20" xfId="0" applyNumberFormat="1" applyFont="1" applyBorder="1" applyAlignment="1">
      <alignment horizontal="center" vertical="top" textRotation="90" wrapText="1"/>
    </xf>
    <xf numFmtId="3" fontId="4" fillId="0" borderId="43" xfId="0" applyNumberFormat="1" applyFont="1" applyBorder="1" applyAlignment="1">
      <alignment horizontal="center" wrapText="1"/>
    </xf>
    <xf numFmtId="3" fontId="1" fillId="0" borderId="51" xfId="0" applyNumberFormat="1" applyFont="1" applyBorder="1" applyAlignment="1">
      <alignment horizontal="center" vertical="top" wrapText="1"/>
    </xf>
    <xf numFmtId="3" fontId="4" fillId="0" borderId="10"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4" fillId="4" borderId="41" xfId="0" applyNumberFormat="1" applyFont="1" applyFill="1" applyBorder="1" applyAlignment="1">
      <alignment horizontal="left" vertical="top" wrapText="1"/>
    </xf>
    <xf numFmtId="3" fontId="1" fillId="4" borderId="7" xfId="0" applyNumberFormat="1" applyFont="1" applyFill="1" applyBorder="1" applyAlignment="1">
      <alignment horizontal="center" vertical="top" wrapText="1"/>
    </xf>
    <xf numFmtId="167" fontId="4" fillId="9" borderId="113" xfId="2" applyNumberFormat="1" applyFont="1" applyFill="1" applyBorder="1" applyAlignment="1">
      <alignment horizontal="left" vertical="top" wrapText="1"/>
    </xf>
    <xf numFmtId="167" fontId="4" fillId="9" borderId="110" xfId="2" applyNumberFormat="1" applyFont="1" applyFill="1" applyBorder="1" applyAlignment="1">
      <alignment horizontal="left" vertical="top" wrapText="1"/>
    </xf>
    <xf numFmtId="3" fontId="21" fillId="0" borderId="0" xfId="0" applyNumberFormat="1" applyFont="1" applyAlignment="1">
      <alignment horizontal="right" vertical="top" wrapText="1"/>
    </xf>
    <xf numFmtId="3" fontId="5" fillId="5" borderId="43" xfId="0" applyNumberFormat="1" applyFont="1" applyFill="1" applyBorder="1" applyAlignment="1">
      <alignment horizontal="right" vertical="top" wrapText="1"/>
    </xf>
    <xf numFmtId="3" fontId="5" fillId="5" borderId="79" xfId="0" applyNumberFormat="1" applyFont="1" applyFill="1" applyBorder="1" applyAlignment="1">
      <alignment horizontal="right" vertical="top" wrapText="1"/>
    </xf>
    <xf numFmtId="167" fontId="4" fillId="9" borderId="126" xfId="2" applyNumberFormat="1" applyFont="1" applyFill="1" applyBorder="1" applyAlignment="1">
      <alignment horizontal="left" vertical="top" wrapText="1"/>
    </xf>
    <xf numFmtId="167" fontId="4" fillId="9" borderId="17" xfId="2" applyNumberFormat="1" applyFont="1" applyFill="1" applyBorder="1" applyAlignment="1">
      <alignment horizontal="left" vertical="top" wrapText="1"/>
    </xf>
    <xf numFmtId="3" fontId="4" fillId="4" borderId="8" xfId="0" applyNumberFormat="1" applyFont="1" applyFill="1" applyBorder="1" applyAlignment="1">
      <alignment horizontal="center" vertical="top" wrapText="1"/>
    </xf>
    <xf numFmtId="0" fontId="1" fillId="4" borderId="61" xfId="0" applyFont="1" applyFill="1" applyBorder="1" applyAlignment="1">
      <alignment horizontal="left" vertical="top" wrapText="1"/>
    </xf>
    <xf numFmtId="164" fontId="2" fillId="4" borderId="59" xfId="0" applyNumberFormat="1" applyFont="1" applyFill="1" applyBorder="1" applyAlignment="1">
      <alignment horizontal="center" vertical="top"/>
    </xf>
    <xf numFmtId="164" fontId="2" fillId="4" borderId="42" xfId="0" applyNumberFormat="1" applyFont="1" applyFill="1" applyBorder="1" applyAlignment="1">
      <alignment horizontal="center" vertical="top"/>
    </xf>
    <xf numFmtId="164" fontId="2" fillId="4" borderId="28" xfId="0" applyNumberFormat="1" applyFont="1" applyFill="1" applyBorder="1" applyAlignment="1">
      <alignment horizontal="center" vertical="top"/>
    </xf>
    <xf numFmtId="164" fontId="2" fillId="4" borderId="15" xfId="0" applyNumberFormat="1" applyFont="1" applyFill="1" applyBorder="1" applyAlignment="1">
      <alignment horizontal="center" vertical="top"/>
    </xf>
    <xf numFmtId="3" fontId="15" fillId="4" borderId="18" xfId="0" applyNumberFormat="1" applyFont="1" applyFill="1" applyBorder="1" applyAlignment="1">
      <alignment horizontal="left" vertical="top" wrapText="1"/>
    </xf>
    <xf numFmtId="3" fontId="1" fillId="4" borderId="37" xfId="0" applyNumberFormat="1" applyFont="1" applyFill="1" applyBorder="1" applyAlignment="1">
      <alignment horizontal="center" vertical="top" wrapText="1"/>
    </xf>
    <xf numFmtId="3" fontId="1" fillId="4" borderId="41"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3" fontId="4" fillId="3" borderId="49"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3" fontId="1" fillId="4" borderId="6" xfId="0" applyNumberFormat="1" applyFont="1" applyFill="1" applyBorder="1" applyAlignment="1">
      <alignment horizontal="center" vertical="top" wrapText="1"/>
    </xf>
    <xf numFmtId="3" fontId="2" fillId="7" borderId="25" xfId="0" applyNumberFormat="1" applyFont="1" applyFill="1" applyBorder="1" applyAlignment="1">
      <alignment horizontal="right" vertical="top" wrapText="1"/>
    </xf>
    <xf numFmtId="3" fontId="1" fillId="0" borderId="47" xfId="0" applyNumberFormat="1" applyFont="1" applyBorder="1" applyAlignment="1">
      <alignment horizontal="left" vertical="top" wrapText="1"/>
    </xf>
    <xf numFmtId="3" fontId="1" fillId="0" borderId="45"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1" fillId="3" borderId="74" xfId="0" applyNumberFormat="1" applyFont="1" applyFill="1" applyBorder="1" applyAlignment="1">
      <alignment horizontal="left" vertical="top" wrapText="1"/>
    </xf>
    <xf numFmtId="3" fontId="1" fillId="3" borderId="58" xfId="0" applyNumberFormat="1" applyFont="1" applyFill="1" applyBorder="1" applyAlignment="1">
      <alignment horizontal="left" vertical="top" wrapText="1"/>
    </xf>
    <xf numFmtId="3" fontId="1" fillId="3" borderId="73" xfId="0" applyNumberFormat="1" applyFont="1" applyFill="1" applyBorder="1" applyAlignment="1">
      <alignment horizontal="left" vertical="top" wrapText="1"/>
    </xf>
    <xf numFmtId="3" fontId="2" fillId="0" borderId="3" xfId="0" applyNumberFormat="1" applyFont="1" applyFill="1" applyBorder="1" applyAlignment="1">
      <alignment horizontal="center" wrapText="1"/>
    </xf>
    <xf numFmtId="0" fontId="24" fillId="0" borderId="165" xfId="0" applyFont="1" applyBorder="1" applyAlignment="1">
      <alignment horizontal="center" vertical="center"/>
    </xf>
    <xf numFmtId="0" fontId="11" fillId="0" borderId="170" xfId="0" applyFont="1" applyBorder="1" applyAlignment="1">
      <alignment horizontal="center" vertical="center" wrapText="1"/>
    </xf>
    <xf numFmtId="0" fontId="11" fillId="0" borderId="17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6" xfId="0" applyFont="1" applyBorder="1" applyAlignment="1">
      <alignment horizontal="center" vertical="center" wrapText="1"/>
    </xf>
    <xf numFmtId="0" fontId="8" fillId="0" borderId="172" xfId="0" applyFont="1" applyBorder="1" applyAlignment="1">
      <alignment vertical="center" wrapText="1"/>
    </xf>
    <xf numFmtId="0" fontId="8" fillId="0" borderId="166" xfId="0" applyFont="1" applyBorder="1" applyAlignment="1">
      <alignment vertical="center" wrapText="1"/>
    </xf>
    <xf numFmtId="0" fontId="23" fillId="0" borderId="172" xfId="0" applyFont="1" applyBorder="1" applyAlignment="1">
      <alignment vertical="center" wrapText="1"/>
    </xf>
    <xf numFmtId="0" fontId="23" fillId="0" borderId="166" xfId="0" applyFont="1" applyBorder="1" applyAlignment="1">
      <alignment vertical="center" wrapText="1"/>
    </xf>
    <xf numFmtId="0" fontId="11" fillId="0" borderId="0" xfId="0" applyFont="1" applyAlignment="1">
      <alignment horizontal="right"/>
    </xf>
    <xf numFmtId="0" fontId="8" fillId="0" borderId="10"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49" xfId="0" applyFont="1" applyBorder="1" applyAlignment="1">
      <alignment horizontal="justify" vertical="center" wrapText="1"/>
    </xf>
    <xf numFmtId="165" fontId="8" fillId="0" borderId="10" xfId="0" applyNumberFormat="1" applyFont="1" applyBorder="1" applyAlignment="1">
      <alignment horizontal="center" vertical="center" wrapText="1"/>
    </xf>
    <xf numFmtId="165" fontId="8" fillId="0" borderId="49"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49" xfId="0" applyFont="1" applyBorder="1" applyAlignment="1">
      <alignment horizontal="left" vertical="center" wrapText="1"/>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FFFF99"/>
      <color rgb="FFCCFFCC"/>
      <color rgb="FFCC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180975</xdr:colOff>
      <xdr:row>49</xdr:row>
      <xdr:rowOff>85725</xdr:rowOff>
    </xdr:to>
    <xdr:pic>
      <xdr:nvPicPr>
        <xdr:cNvPr id="2" name="Paveikslėli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67375" cy="802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180975</xdr:colOff>
      <xdr:row>49</xdr:row>
      <xdr:rowOff>85725</xdr:rowOff>
    </xdr:to>
    <xdr:pic>
      <xdr:nvPicPr>
        <xdr:cNvPr id="2" name="Paveikslėli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67375" cy="802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180975</xdr:colOff>
      <xdr:row>49</xdr:row>
      <xdr:rowOff>85725</xdr:rowOff>
    </xdr:to>
    <xdr:pic>
      <xdr:nvPicPr>
        <xdr:cNvPr id="2" name="Paveikslėli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67375" cy="802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8"/>
  <sheetViews>
    <sheetView tabSelected="1" zoomScaleNormal="100" zoomScaleSheetLayoutView="70" workbookViewId="0">
      <selection activeCell="Q239" sqref="Q239"/>
    </sheetView>
  </sheetViews>
  <sheetFormatPr defaultRowHeight="12.75" x14ac:dyDescent="0.2"/>
  <cols>
    <col min="1" max="3" width="2.7109375" style="343" customWidth="1"/>
    <col min="4" max="4" width="2.7109375" style="644" customWidth="1"/>
    <col min="5" max="5" width="2.7109375" style="673" customWidth="1"/>
    <col min="6" max="6" width="32.28515625" style="344" customWidth="1"/>
    <col min="7" max="8" width="3" style="342" customWidth="1"/>
    <col min="9" max="9" width="8" style="345" customWidth="1"/>
    <col min="10" max="12" width="8.85546875" style="346" customWidth="1"/>
    <col min="13" max="13" width="23.5703125" style="344" customWidth="1"/>
    <col min="14" max="16" width="6.42578125" style="1700" customWidth="1"/>
    <col min="17" max="17" width="11.140625" style="347" customWidth="1"/>
    <col min="18" max="18" width="35.28515625" style="347" customWidth="1"/>
    <col min="19" max="16384" width="9.140625" style="347"/>
  </cols>
  <sheetData>
    <row r="1" spans="1:17" ht="62.25" customHeight="1" x14ac:dyDescent="0.2">
      <c r="M1" s="1796" t="s">
        <v>705</v>
      </c>
      <c r="N1" s="1796"/>
      <c r="O1" s="1796"/>
      <c r="P1" s="1796"/>
    </row>
    <row r="2" spans="1:17" s="348" customFormat="1" ht="15.75" x14ac:dyDescent="0.2">
      <c r="A2" s="1797" t="s">
        <v>635</v>
      </c>
      <c r="B2" s="1797"/>
      <c r="C2" s="1797"/>
      <c r="D2" s="1797"/>
      <c r="E2" s="1797"/>
      <c r="F2" s="1797"/>
      <c r="G2" s="1797"/>
      <c r="H2" s="1797"/>
      <c r="I2" s="1797"/>
      <c r="J2" s="1797"/>
      <c r="K2" s="1797"/>
      <c r="L2" s="1797"/>
      <c r="M2" s="1797"/>
      <c r="N2" s="1797"/>
      <c r="O2" s="1797"/>
      <c r="P2" s="1797"/>
    </row>
    <row r="3" spans="1:17" s="348" customFormat="1" ht="19.5" customHeight="1" x14ac:dyDescent="0.2">
      <c r="A3" s="1798" t="s">
        <v>30</v>
      </c>
      <c r="B3" s="1798"/>
      <c r="C3" s="1798"/>
      <c r="D3" s="1798"/>
      <c r="E3" s="1798"/>
      <c r="F3" s="1798"/>
      <c r="G3" s="1798"/>
      <c r="H3" s="1798"/>
      <c r="I3" s="1798"/>
      <c r="J3" s="1798"/>
      <c r="K3" s="1798"/>
      <c r="L3" s="1798"/>
      <c r="M3" s="1798"/>
      <c r="N3" s="1798"/>
      <c r="O3" s="1798"/>
      <c r="P3" s="1798"/>
    </row>
    <row r="4" spans="1:17" s="348" customFormat="1" ht="19.5" customHeight="1" x14ac:dyDescent="0.2">
      <c r="A4" s="1799" t="s">
        <v>52</v>
      </c>
      <c r="B4" s="1799"/>
      <c r="C4" s="1799"/>
      <c r="D4" s="1799"/>
      <c r="E4" s="1799"/>
      <c r="F4" s="1799"/>
      <c r="G4" s="1799"/>
      <c r="H4" s="1799"/>
      <c r="I4" s="1799"/>
      <c r="J4" s="1799"/>
      <c r="K4" s="1799"/>
      <c r="L4" s="1799"/>
      <c r="M4" s="1799"/>
      <c r="N4" s="1799"/>
      <c r="O4" s="1799"/>
      <c r="P4" s="1799"/>
    </row>
    <row r="5" spans="1:17" ht="15.75" customHeight="1" thickBot="1" x14ac:dyDescent="0.25">
      <c r="A5" s="34"/>
      <c r="B5" s="34"/>
      <c r="F5" s="1665"/>
      <c r="G5" s="1665"/>
      <c r="H5" s="1665"/>
      <c r="I5" s="533"/>
      <c r="J5" s="1665"/>
      <c r="K5" s="1665"/>
      <c r="L5" s="1665"/>
      <c r="M5" s="1665"/>
      <c r="N5" s="1732"/>
      <c r="O5" s="1800" t="s">
        <v>72</v>
      </c>
      <c r="P5" s="1800"/>
    </row>
    <row r="6" spans="1:17" ht="21" customHeight="1" x14ac:dyDescent="0.2">
      <c r="A6" s="1801" t="s">
        <v>8</v>
      </c>
      <c r="B6" s="1804" t="s">
        <v>9</v>
      </c>
      <c r="C6" s="1807" t="s">
        <v>10</v>
      </c>
      <c r="D6" s="1807" t="s">
        <v>281</v>
      </c>
      <c r="E6" s="1807" t="s">
        <v>282</v>
      </c>
      <c r="F6" s="1827" t="s">
        <v>109</v>
      </c>
      <c r="G6" s="1830" t="s">
        <v>11</v>
      </c>
      <c r="H6" s="1833" t="s">
        <v>12</v>
      </c>
      <c r="I6" s="1833" t="s">
        <v>13</v>
      </c>
      <c r="J6" s="1810" t="s">
        <v>703</v>
      </c>
      <c r="K6" s="1813" t="s">
        <v>111</v>
      </c>
      <c r="L6" s="1816" t="s">
        <v>217</v>
      </c>
      <c r="M6" s="1819" t="s">
        <v>112</v>
      </c>
      <c r="N6" s="1820"/>
      <c r="O6" s="1820"/>
      <c r="P6" s="1821"/>
    </row>
    <row r="7" spans="1:17" ht="15.75" customHeight="1" x14ac:dyDescent="0.2">
      <c r="A7" s="1802"/>
      <c r="B7" s="1805"/>
      <c r="C7" s="1808"/>
      <c r="D7" s="1808"/>
      <c r="E7" s="1808"/>
      <c r="F7" s="1828"/>
      <c r="G7" s="1831"/>
      <c r="H7" s="1834"/>
      <c r="I7" s="1834"/>
      <c r="J7" s="1811"/>
      <c r="K7" s="1814"/>
      <c r="L7" s="1817"/>
      <c r="M7" s="1825" t="s">
        <v>23</v>
      </c>
      <c r="N7" s="1822" t="s">
        <v>56</v>
      </c>
      <c r="O7" s="1823"/>
      <c r="P7" s="1824"/>
    </row>
    <row r="8" spans="1:17" ht="93.75" customHeight="1" thickBot="1" x14ac:dyDescent="0.25">
      <c r="A8" s="1803"/>
      <c r="B8" s="1806"/>
      <c r="C8" s="1809"/>
      <c r="D8" s="1809"/>
      <c r="E8" s="1809"/>
      <c r="F8" s="1829"/>
      <c r="G8" s="1832"/>
      <c r="H8" s="1835"/>
      <c r="I8" s="1835"/>
      <c r="J8" s="1812"/>
      <c r="K8" s="1815"/>
      <c r="L8" s="1818"/>
      <c r="M8" s="1826"/>
      <c r="N8" s="297" t="s">
        <v>76</v>
      </c>
      <c r="O8" s="159" t="s">
        <v>108</v>
      </c>
      <c r="P8" s="160" t="s">
        <v>218</v>
      </c>
    </row>
    <row r="9" spans="1:17" ht="15.75" customHeight="1" thickBot="1" x14ac:dyDescent="0.25">
      <c r="A9" s="1836" t="s">
        <v>64</v>
      </c>
      <c r="B9" s="1837"/>
      <c r="C9" s="1837"/>
      <c r="D9" s="1837"/>
      <c r="E9" s="1837"/>
      <c r="F9" s="1837"/>
      <c r="G9" s="1837"/>
      <c r="H9" s="1837"/>
      <c r="I9" s="1837"/>
      <c r="J9" s="1837"/>
      <c r="K9" s="1837"/>
      <c r="L9" s="1837"/>
      <c r="M9" s="1837"/>
      <c r="N9" s="1837"/>
      <c r="O9" s="1837"/>
      <c r="P9" s="1838"/>
    </row>
    <row r="10" spans="1:17" s="350" customFormat="1" ht="15.75" customHeight="1" thickBot="1" x14ac:dyDescent="0.25">
      <c r="A10" s="1844" t="s">
        <v>31</v>
      </c>
      <c r="B10" s="1845"/>
      <c r="C10" s="1845"/>
      <c r="D10" s="1845"/>
      <c r="E10" s="1845"/>
      <c r="F10" s="1845"/>
      <c r="G10" s="1845"/>
      <c r="H10" s="1845"/>
      <c r="I10" s="1845"/>
      <c r="J10" s="1845"/>
      <c r="K10" s="1845"/>
      <c r="L10" s="1845"/>
      <c r="M10" s="1845"/>
      <c r="N10" s="1845"/>
      <c r="O10" s="1845"/>
      <c r="P10" s="1846"/>
      <c r="Q10" s="349"/>
    </row>
    <row r="11" spans="1:17" s="350" customFormat="1" ht="15.75" customHeight="1" thickBot="1" x14ac:dyDescent="0.25">
      <c r="A11" s="351" t="s">
        <v>14</v>
      </c>
      <c r="B11" s="1847" t="s">
        <v>36</v>
      </c>
      <c r="C11" s="1848"/>
      <c r="D11" s="1848"/>
      <c r="E11" s="1848"/>
      <c r="F11" s="1848"/>
      <c r="G11" s="1848"/>
      <c r="H11" s="1848"/>
      <c r="I11" s="1848"/>
      <c r="J11" s="1848"/>
      <c r="K11" s="1848"/>
      <c r="L11" s="1848"/>
      <c r="M11" s="1848"/>
      <c r="N11" s="1848"/>
      <c r="O11" s="1848"/>
      <c r="P11" s="1849"/>
    </row>
    <row r="12" spans="1:17" s="350" customFormat="1" ht="15.75" customHeight="1" thickBot="1" x14ac:dyDescent="0.25">
      <c r="A12" s="352" t="s">
        <v>14</v>
      </c>
      <c r="B12" s="353" t="s">
        <v>14</v>
      </c>
      <c r="C12" s="1850" t="s">
        <v>68</v>
      </c>
      <c r="D12" s="1851"/>
      <c r="E12" s="1851"/>
      <c r="F12" s="1851"/>
      <c r="G12" s="1851"/>
      <c r="H12" s="1851"/>
      <c r="I12" s="1851"/>
      <c r="J12" s="1851"/>
      <c r="K12" s="1851"/>
      <c r="L12" s="1851"/>
      <c r="M12" s="1851"/>
      <c r="N12" s="1851"/>
      <c r="O12" s="1851"/>
      <c r="P12" s="1852"/>
    </row>
    <row r="13" spans="1:17" s="350" customFormat="1" ht="16.5" customHeight="1" x14ac:dyDescent="0.2">
      <c r="A13" s="354" t="s">
        <v>14</v>
      </c>
      <c r="B13" s="355" t="s">
        <v>14</v>
      </c>
      <c r="C13" s="356" t="s">
        <v>14</v>
      </c>
      <c r="D13" s="652"/>
      <c r="E13" s="652"/>
      <c r="F13" s="1868" t="s">
        <v>44</v>
      </c>
      <c r="G13" s="1870" t="s">
        <v>206</v>
      </c>
      <c r="H13" s="1177">
        <v>2</v>
      </c>
      <c r="I13" s="121" t="s">
        <v>15</v>
      </c>
      <c r="J13" s="858">
        <f>32177.3+15</f>
        <v>32192.3</v>
      </c>
      <c r="K13" s="757">
        <f>31923.5+113-237.1</f>
        <v>31799.4</v>
      </c>
      <c r="L13" s="758">
        <f>32042.3-237.1</f>
        <v>31805.200000000001</v>
      </c>
      <c r="M13" s="218"/>
      <c r="N13" s="318"/>
      <c r="O13" s="299"/>
      <c r="P13" s="316"/>
    </row>
    <row r="14" spans="1:17" s="350" customFormat="1" ht="16.5" customHeight="1" x14ac:dyDescent="0.2">
      <c r="A14" s="358"/>
      <c r="B14" s="362"/>
      <c r="C14" s="365"/>
      <c r="D14" s="653"/>
      <c r="E14" s="653"/>
      <c r="F14" s="1869"/>
      <c r="G14" s="1871"/>
      <c r="H14" s="361"/>
      <c r="I14" s="85" t="s">
        <v>63</v>
      </c>
      <c r="J14" s="954">
        <v>482.3</v>
      </c>
      <c r="K14" s="162"/>
      <c r="L14" s="760"/>
      <c r="M14" s="260"/>
      <c r="N14" s="101"/>
      <c r="O14" s="1675"/>
      <c r="P14" s="948"/>
    </row>
    <row r="15" spans="1:17" s="350" customFormat="1" ht="16.5" customHeight="1" x14ac:dyDescent="0.2">
      <c r="A15" s="358"/>
      <c r="B15" s="362"/>
      <c r="C15" s="365"/>
      <c r="D15" s="653"/>
      <c r="E15" s="653"/>
      <c r="F15" s="1869"/>
      <c r="G15" s="1871"/>
      <c r="H15" s="638"/>
      <c r="I15" s="121" t="s">
        <v>18</v>
      </c>
      <c r="J15" s="954">
        <f>40150.7+1.9+237.1+73.1</f>
        <v>40462.799999999996</v>
      </c>
      <c r="K15" s="162">
        <f>40597.7+1.9+73.1</f>
        <v>40672.699999999997</v>
      </c>
      <c r="L15" s="760">
        <f>40743.7+1.9+73.1</f>
        <v>40818.699999999997</v>
      </c>
      <c r="M15" s="260"/>
      <c r="N15" s="101"/>
      <c r="O15" s="1675"/>
      <c r="P15" s="948"/>
    </row>
    <row r="16" spans="1:17" s="350" customFormat="1" ht="16.5" customHeight="1" x14ac:dyDescent="0.2">
      <c r="A16" s="358"/>
      <c r="B16" s="362"/>
      <c r="C16" s="365"/>
      <c r="D16" s="653"/>
      <c r="E16" s="653"/>
      <c r="F16" s="1677"/>
      <c r="G16" s="197"/>
      <c r="H16" s="361"/>
      <c r="I16" s="101" t="s">
        <v>43</v>
      </c>
      <c r="J16" s="255">
        <v>5544.9</v>
      </c>
      <c r="K16" s="114">
        <v>5544.9</v>
      </c>
      <c r="L16" s="232">
        <v>5544.9</v>
      </c>
      <c r="M16" s="260"/>
      <c r="N16" s="101"/>
      <c r="O16" s="1675"/>
      <c r="P16" s="948"/>
    </row>
    <row r="17" spans="1:17" s="350" customFormat="1" ht="16.5" customHeight="1" x14ac:dyDescent="0.2">
      <c r="A17" s="358"/>
      <c r="B17" s="362"/>
      <c r="C17" s="365"/>
      <c r="D17" s="653"/>
      <c r="E17" s="653"/>
      <c r="F17" s="1677"/>
      <c r="G17" s="197"/>
      <c r="H17" s="361"/>
      <c r="I17" s="121" t="s">
        <v>198</v>
      </c>
      <c r="J17" s="954">
        <v>0</v>
      </c>
      <c r="K17" s="162">
        <v>7.7</v>
      </c>
      <c r="L17" s="760"/>
      <c r="M17" s="260"/>
      <c r="N17" s="101"/>
      <c r="O17" s="1675"/>
      <c r="P17" s="948"/>
    </row>
    <row r="18" spans="1:17" s="350" customFormat="1" ht="16.5" customHeight="1" x14ac:dyDescent="0.2">
      <c r="A18" s="358"/>
      <c r="B18" s="362"/>
      <c r="C18" s="365"/>
      <c r="D18" s="653"/>
      <c r="E18" s="653"/>
      <c r="F18" s="1677"/>
      <c r="G18" s="197"/>
      <c r="H18" s="361"/>
      <c r="I18" s="85" t="s">
        <v>3</v>
      </c>
      <c r="J18" s="1010">
        <v>3.8</v>
      </c>
      <c r="K18" s="778">
        <v>0.7</v>
      </c>
      <c r="L18" s="779"/>
      <c r="M18" s="260"/>
      <c r="N18" s="101"/>
      <c r="O18" s="1675"/>
      <c r="P18" s="948"/>
    </row>
    <row r="19" spans="1:17" s="350" customFormat="1" ht="16.5" customHeight="1" x14ac:dyDescent="0.2">
      <c r="A19" s="358"/>
      <c r="B19" s="362"/>
      <c r="C19" s="365"/>
      <c r="D19" s="653"/>
      <c r="E19" s="653"/>
      <c r="F19" s="1677"/>
      <c r="G19" s="197"/>
      <c r="H19" s="361"/>
      <c r="I19" s="85" t="s">
        <v>4</v>
      </c>
      <c r="J19" s="1010">
        <v>509.4</v>
      </c>
      <c r="K19" s="778">
        <v>509.4</v>
      </c>
      <c r="L19" s="779"/>
      <c r="M19" s="260"/>
      <c r="N19" s="101"/>
      <c r="O19" s="1676"/>
      <c r="P19" s="948"/>
    </row>
    <row r="20" spans="1:17" s="350" customFormat="1" ht="14.25" customHeight="1" x14ac:dyDescent="0.2">
      <c r="A20" s="358"/>
      <c r="B20" s="359"/>
      <c r="C20" s="360"/>
      <c r="D20" s="669" t="s">
        <v>14</v>
      </c>
      <c r="E20" s="670"/>
      <c r="F20" s="1853" t="s">
        <v>150</v>
      </c>
      <c r="G20" s="197"/>
      <c r="H20" s="361"/>
      <c r="I20" s="101"/>
      <c r="J20" s="272"/>
      <c r="K20" s="263"/>
      <c r="L20" s="36"/>
      <c r="M20" s="1061" t="s">
        <v>118</v>
      </c>
      <c r="N20" s="85">
        <v>47</v>
      </c>
      <c r="O20" s="1728">
        <v>47</v>
      </c>
      <c r="P20" s="1724">
        <v>47</v>
      </c>
      <c r="Q20" s="321"/>
    </row>
    <row r="21" spans="1:17" s="350" customFormat="1" ht="14.25" customHeight="1" x14ac:dyDescent="0.2">
      <c r="A21" s="358"/>
      <c r="B21" s="359"/>
      <c r="C21" s="360"/>
      <c r="D21" s="647"/>
      <c r="E21" s="653"/>
      <c r="F21" s="1854"/>
      <c r="G21" s="197"/>
      <c r="H21" s="361"/>
      <c r="I21" s="101"/>
      <c r="J21" s="775"/>
      <c r="K21" s="114"/>
      <c r="L21" s="232"/>
      <c r="M21" s="198" t="s">
        <v>119</v>
      </c>
      <c r="N21" s="85">
        <v>7949</v>
      </c>
      <c r="O21" s="920">
        <v>7950</v>
      </c>
      <c r="P21" s="1724">
        <v>7950</v>
      </c>
      <c r="Q21" s="321"/>
    </row>
    <row r="22" spans="1:17" s="350" customFormat="1" ht="15" customHeight="1" x14ac:dyDescent="0.2">
      <c r="A22" s="358"/>
      <c r="B22" s="362"/>
      <c r="C22" s="360"/>
      <c r="D22" s="647"/>
      <c r="E22" s="653"/>
      <c r="F22" s="1854"/>
      <c r="G22" s="197"/>
      <c r="H22" s="361"/>
      <c r="I22" s="101"/>
      <c r="J22" s="775"/>
      <c r="K22" s="114"/>
      <c r="L22" s="232"/>
      <c r="M22" s="1219"/>
      <c r="N22" s="101"/>
      <c r="O22" s="1675"/>
      <c r="P22" s="948"/>
      <c r="Q22" s="321"/>
    </row>
    <row r="23" spans="1:17" s="350" customFormat="1" ht="15.75" customHeight="1" thickBot="1" x14ac:dyDescent="0.25">
      <c r="A23" s="358"/>
      <c r="B23" s="362"/>
      <c r="C23" s="360"/>
      <c r="D23" s="668"/>
      <c r="E23" s="671"/>
      <c r="F23" s="1855"/>
      <c r="G23" s="197"/>
      <c r="H23" s="361"/>
      <c r="I23" s="101"/>
      <c r="J23" s="775"/>
      <c r="K23" s="114"/>
      <c r="L23" s="232"/>
      <c r="M23" s="323"/>
      <c r="N23" s="308"/>
      <c r="O23" s="530"/>
      <c r="P23" s="413"/>
      <c r="Q23" s="317"/>
    </row>
    <row r="24" spans="1:17" s="350" customFormat="1" ht="15.75" customHeight="1" x14ac:dyDescent="0.2">
      <c r="A24" s="358"/>
      <c r="B24" s="362"/>
      <c r="C24" s="360"/>
      <c r="D24" s="647" t="s">
        <v>17</v>
      </c>
      <c r="E24" s="653"/>
      <c r="F24" s="1853" t="s">
        <v>151</v>
      </c>
      <c r="G24" s="197"/>
      <c r="H24" s="361"/>
      <c r="I24" s="101"/>
      <c r="J24" s="775"/>
      <c r="K24" s="114"/>
      <c r="L24" s="232"/>
      <c r="M24" s="1225" t="s">
        <v>118</v>
      </c>
      <c r="N24" s="318">
        <v>7</v>
      </c>
      <c r="O24" s="299">
        <v>7</v>
      </c>
      <c r="P24" s="316">
        <v>7</v>
      </c>
    </row>
    <row r="25" spans="1:17" s="350" customFormat="1" ht="14.25" customHeight="1" x14ac:dyDescent="0.2">
      <c r="A25" s="358"/>
      <c r="B25" s="359"/>
      <c r="C25" s="360"/>
      <c r="D25" s="647"/>
      <c r="E25" s="653"/>
      <c r="F25" s="1854"/>
      <c r="G25" s="197"/>
      <c r="H25" s="361"/>
      <c r="I25" s="101"/>
      <c r="J25" s="767"/>
      <c r="K25" s="768"/>
      <c r="L25" s="769"/>
      <c r="M25" s="198" t="s">
        <v>119</v>
      </c>
      <c r="N25" s="85">
        <v>338</v>
      </c>
      <c r="O25" s="920">
        <v>340</v>
      </c>
      <c r="P25" s="1724">
        <v>340</v>
      </c>
    </row>
    <row r="26" spans="1:17" s="350" customFormat="1" ht="15" customHeight="1" thickBot="1" x14ac:dyDescent="0.25">
      <c r="A26" s="358"/>
      <c r="B26" s="362"/>
      <c r="C26" s="360"/>
      <c r="D26" s="647"/>
      <c r="E26" s="653"/>
      <c r="F26" s="1854"/>
      <c r="G26" s="197"/>
      <c r="H26" s="361"/>
      <c r="I26" s="101"/>
      <c r="J26" s="775"/>
      <c r="K26" s="114"/>
      <c r="L26" s="232"/>
      <c r="M26" s="323"/>
      <c r="N26" s="308"/>
      <c r="O26" s="530"/>
      <c r="P26" s="413"/>
    </row>
    <row r="27" spans="1:17" s="350" customFormat="1" ht="12.75" customHeight="1" x14ac:dyDescent="0.2">
      <c r="A27" s="363"/>
      <c r="B27" s="362"/>
      <c r="C27" s="364"/>
      <c r="D27" s="652" t="s">
        <v>19</v>
      </c>
      <c r="E27" s="652"/>
      <c r="F27" s="1856" t="s">
        <v>70</v>
      </c>
      <c r="G27" s="197"/>
      <c r="H27" s="638"/>
      <c r="I27" s="101"/>
      <c r="J27" s="272"/>
      <c r="K27" s="263"/>
      <c r="L27" s="36"/>
      <c r="M27" s="193" t="s">
        <v>118</v>
      </c>
      <c r="N27" s="279">
        <v>4</v>
      </c>
      <c r="O27" s="1669">
        <v>4</v>
      </c>
      <c r="P27" s="948">
        <v>4</v>
      </c>
    </row>
    <row r="28" spans="1:17" s="350" customFormat="1" ht="15.75" customHeight="1" x14ac:dyDescent="0.2">
      <c r="A28" s="363"/>
      <c r="B28" s="362"/>
      <c r="C28" s="365"/>
      <c r="D28" s="653"/>
      <c r="E28" s="653"/>
      <c r="F28" s="1854"/>
      <c r="G28" s="197"/>
      <c r="H28" s="638"/>
      <c r="I28" s="101"/>
      <c r="J28" s="775"/>
      <c r="K28" s="114"/>
      <c r="L28" s="232"/>
      <c r="M28" s="198" t="s">
        <v>119</v>
      </c>
      <c r="N28" s="1726">
        <v>1301</v>
      </c>
      <c r="O28" s="920">
        <v>1300</v>
      </c>
      <c r="P28" s="1724">
        <v>1300</v>
      </c>
    </row>
    <row r="29" spans="1:17" s="350" customFormat="1" ht="15.75" customHeight="1" thickBot="1" x14ac:dyDescent="0.25">
      <c r="A29" s="363"/>
      <c r="B29" s="362"/>
      <c r="C29" s="365"/>
      <c r="D29" s="663"/>
      <c r="E29" s="663"/>
      <c r="F29" s="1857"/>
      <c r="G29" s="197"/>
      <c r="H29" s="361"/>
      <c r="I29" s="101"/>
      <c r="J29" s="775"/>
      <c r="K29" s="114"/>
      <c r="L29" s="232"/>
      <c r="M29" s="260" t="s">
        <v>616</v>
      </c>
      <c r="N29" s="101">
        <v>904</v>
      </c>
      <c r="O29" s="57">
        <v>900</v>
      </c>
      <c r="P29" s="948">
        <v>900</v>
      </c>
    </row>
    <row r="30" spans="1:17" s="350" customFormat="1" ht="15.75" customHeight="1" x14ac:dyDescent="0.2">
      <c r="A30" s="366"/>
      <c r="B30" s="359"/>
      <c r="C30" s="365"/>
      <c r="D30" s="653" t="s">
        <v>21</v>
      </c>
      <c r="E30" s="653"/>
      <c r="F30" s="1854" t="s">
        <v>152</v>
      </c>
      <c r="G30" s="197"/>
      <c r="H30" s="367"/>
      <c r="I30" s="101"/>
      <c r="J30" s="271"/>
      <c r="K30" s="263"/>
      <c r="L30" s="36"/>
      <c r="M30" s="194" t="s">
        <v>118</v>
      </c>
      <c r="N30" s="294">
        <v>32</v>
      </c>
      <c r="O30" s="171">
        <v>32</v>
      </c>
      <c r="P30" s="170">
        <v>32</v>
      </c>
    </row>
    <row r="31" spans="1:17" s="350" customFormat="1" ht="15.75" customHeight="1" x14ac:dyDescent="0.2">
      <c r="A31" s="366"/>
      <c r="B31" s="359"/>
      <c r="C31" s="365"/>
      <c r="D31" s="653"/>
      <c r="E31" s="653"/>
      <c r="F31" s="1854"/>
      <c r="G31" s="197"/>
      <c r="H31" s="367"/>
      <c r="I31" s="101"/>
      <c r="J31" s="271"/>
      <c r="K31" s="263"/>
      <c r="L31" s="36"/>
      <c r="M31" s="193" t="s">
        <v>724</v>
      </c>
      <c r="N31" s="204">
        <v>2</v>
      </c>
      <c r="O31" s="60"/>
      <c r="P31" s="1725"/>
    </row>
    <row r="32" spans="1:17" s="350" customFormat="1" ht="15.75" customHeight="1" x14ac:dyDescent="0.2">
      <c r="A32" s="366"/>
      <c r="B32" s="359"/>
      <c r="C32" s="365"/>
      <c r="D32" s="653"/>
      <c r="E32" s="653"/>
      <c r="F32" s="1854"/>
      <c r="G32" s="197"/>
      <c r="H32" s="367"/>
      <c r="I32" s="101"/>
      <c r="J32" s="775"/>
      <c r="K32" s="114"/>
      <c r="L32" s="232"/>
      <c r="M32" s="208" t="s">
        <v>119</v>
      </c>
      <c r="N32" s="121">
        <v>17606</v>
      </c>
      <c r="O32" s="54">
        <v>17606</v>
      </c>
      <c r="P32" s="50">
        <v>17606</v>
      </c>
    </row>
    <row r="33" spans="1:19" s="350" customFormat="1" ht="15.75" customHeight="1" x14ac:dyDescent="0.2">
      <c r="A33" s="366"/>
      <c r="B33" s="359"/>
      <c r="C33" s="365"/>
      <c r="D33" s="653"/>
      <c r="E33" s="653"/>
      <c r="F33" s="1854"/>
      <c r="G33" s="197"/>
      <c r="H33" s="367"/>
      <c r="I33" s="101"/>
      <c r="J33" s="1098"/>
      <c r="K33" s="114"/>
      <c r="L33" s="232"/>
      <c r="M33" s="260" t="s">
        <v>158</v>
      </c>
      <c r="N33" s="279">
        <v>17423</v>
      </c>
      <c r="O33" s="57">
        <v>17420</v>
      </c>
      <c r="P33" s="948">
        <v>17420</v>
      </c>
    </row>
    <row r="34" spans="1:19" s="350" customFormat="1" ht="44.25" customHeight="1" thickBot="1" x14ac:dyDescent="0.25">
      <c r="A34" s="366"/>
      <c r="B34" s="359"/>
      <c r="C34" s="365"/>
      <c r="D34" s="653"/>
      <c r="E34" s="1184" t="s">
        <v>14</v>
      </c>
      <c r="F34" s="1181" t="s">
        <v>637</v>
      </c>
      <c r="G34" s="197"/>
      <c r="H34" s="367"/>
      <c r="I34" s="101"/>
      <c r="J34" s="272"/>
      <c r="K34" s="263"/>
      <c r="L34" s="36"/>
      <c r="M34" s="209" t="s">
        <v>118</v>
      </c>
      <c r="N34" s="212">
        <v>6</v>
      </c>
      <c r="O34" s="282">
        <v>6</v>
      </c>
      <c r="P34" s="52"/>
    </row>
    <row r="35" spans="1:19" s="350" customFormat="1" ht="21.75" customHeight="1" x14ac:dyDescent="0.2">
      <c r="A35" s="366"/>
      <c r="B35" s="359"/>
      <c r="C35" s="365"/>
      <c r="D35" s="652" t="s">
        <v>22</v>
      </c>
      <c r="E35" s="652"/>
      <c r="F35" s="1856" t="s">
        <v>153</v>
      </c>
      <c r="G35" s="197"/>
      <c r="H35" s="367"/>
      <c r="I35" s="101"/>
      <c r="J35" s="775"/>
      <c r="K35" s="114"/>
      <c r="L35" s="232"/>
      <c r="M35" s="194" t="s">
        <v>118</v>
      </c>
      <c r="N35" s="294">
        <v>5</v>
      </c>
      <c r="O35" s="171">
        <v>5</v>
      </c>
      <c r="P35" s="170">
        <v>5</v>
      </c>
    </row>
    <row r="36" spans="1:19" s="350" customFormat="1" ht="21.75" customHeight="1" thickBot="1" x14ac:dyDescent="0.25">
      <c r="A36" s="366"/>
      <c r="B36" s="359"/>
      <c r="C36" s="365"/>
      <c r="D36" s="663"/>
      <c r="E36" s="663"/>
      <c r="F36" s="1857"/>
      <c r="G36" s="197"/>
      <c r="H36" s="367"/>
      <c r="I36" s="101"/>
      <c r="J36" s="775"/>
      <c r="K36" s="114"/>
      <c r="L36" s="232"/>
      <c r="M36" s="209" t="s">
        <v>119</v>
      </c>
      <c r="N36" s="212">
        <v>1100</v>
      </c>
      <c r="O36" s="282">
        <v>1100</v>
      </c>
      <c r="P36" s="52">
        <v>1100</v>
      </c>
    </row>
    <row r="37" spans="1:19" s="350" customFormat="1" ht="21.75" customHeight="1" x14ac:dyDescent="0.2">
      <c r="A37" s="366"/>
      <c r="B37" s="359"/>
      <c r="C37" s="365"/>
      <c r="D37" s="653" t="s">
        <v>96</v>
      </c>
      <c r="E37" s="653"/>
      <c r="F37" s="1858" t="s">
        <v>279</v>
      </c>
      <c r="G37" s="59"/>
      <c r="H37" s="368"/>
      <c r="I37" s="101"/>
      <c r="J37" s="775"/>
      <c r="K37" s="114"/>
      <c r="L37" s="232"/>
      <c r="M37" s="1859" t="s">
        <v>219</v>
      </c>
      <c r="N37" s="318">
        <v>2019</v>
      </c>
      <c r="O37" s="298">
        <v>2020</v>
      </c>
      <c r="P37" s="316">
        <v>2020</v>
      </c>
    </row>
    <row r="38" spans="1:19" s="371" customFormat="1" ht="19.5" customHeight="1" thickBot="1" x14ac:dyDescent="0.25">
      <c r="A38" s="358"/>
      <c r="B38" s="359"/>
      <c r="C38" s="364"/>
      <c r="D38" s="653"/>
      <c r="E38" s="653"/>
      <c r="F38" s="1858"/>
      <c r="G38" s="369"/>
      <c r="H38" s="370"/>
      <c r="I38" s="1692"/>
      <c r="J38" s="775"/>
      <c r="K38" s="114"/>
      <c r="L38" s="232"/>
      <c r="M38" s="1860"/>
      <c r="N38" s="1727"/>
      <c r="O38" s="60"/>
      <c r="P38" s="1725"/>
    </row>
    <row r="39" spans="1:19" s="350" customFormat="1" ht="16.5" customHeight="1" x14ac:dyDescent="0.2">
      <c r="A39" s="363"/>
      <c r="B39" s="359"/>
      <c r="C39" s="365"/>
      <c r="D39" s="652" t="s">
        <v>97</v>
      </c>
      <c r="E39" s="652"/>
      <c r="F39" s="1856" t="s">
        <v>149</v>
      </c>
      <c r="G39" s="1309"/>
      <c r="H39" s="361"/>
      <c r="I39" s="101"/>
      <c r="J39" s="190"/>
      <c r="K39" s="263"/>
      <c r="L39" s="36"/>
      <c r="M39" s="194" t="s">
        <v>118</v>
      </c>
      <c r="N39" s="294">
        <v>6</v>
      </c>
      <c r="O39" s="169">
        <v>6</v>
      </c>
      <c r="P39" s="170">
        <v>6</v>
      </c>
    </row>
    <row r="40" spans="1:19" s="350" customFormat="1" ht="15.75" customHeight="1" x14ac:dyDescent="0.2">
      <c r="A40" s="363"/>
      <c r="B40" s="359"/>
      <c r="C40" s="365"/>
      <c r="D40" s="653"/>
      <c r="E40" s="653"/>
      <c r="F40" s="1854"/>
      <c r="G40" s="1309"/>
      <c r="H40" s="361"/>
      <c r="I40" s="101"/>
      <c r="J40" s="1098"/>
      <c r="K40" s="1099"/>
      <c r="L40" s="1100"/>
      <c r="M40" s="208" t="s">
        <v>119</v>
      </c>
      <c r="N40" s="211">
        <v>5564</v>
      </c>
      <c r="O40" s="55">
        <v>5560</v>
      </c>
      <c r="P40" s="50">
        <v>5560</v>
      </c>
      <c r="R40" s="1842"/>
      <c r="S40" s="1842"/>
    </row>
    <row r="41" spans="1:19" s="350" customFormat="1" ht="43.5" customHeight="1" x14ac:dyDescent="0.2">
      <c r="A41" s="363"/>
      <c r="B41" s="359"/>
      <c r="C41" s="365"/>
      <c r="D41" s="653"/>
      <c r="E41" s="653"/>
      <c r="F41" s="1854"/>
      <c r="G41" s="1309"/>
      <c r="H41" s="361"/>
      <c r="I41" s="101"/>
      <c r="J41" s="775"/>
      <c r="K41" s="114"/>
      <c r="L41" s="232"/>
      <c r="M41" s="198" t="s">
        <v>220</v>
      </c>
      <c r="N41" s="211">
        <f>SUM(N42:N44)</f>
        <v>230</v>
      </c>
      <c r="O41" s="54">
        <f t="shared" ref="O41:P41" si="0">SUM(O42:O44)</f>
        <v>230</v>
      </c>
      <c r="P41" s="50">
        <f t="shared" si="0"/>
        <v>230</v>
      </c>
      <c r="R41" s="1842"/>
      <c r="S41" s="1842"/>
    </row>
    <row r="42" spans="1:19" s="350" customFormat="1" ht="17.25" customHeight="1" x14ac:dyDescent="0.2">
      <c r="A42" s="363"/>
      <c r="B42" s="359"/>
      <c r="C42" s="365"/>
      <c r="D42" s="653"/>
      <c r="E42" s="653"/>
      <c r="F42" s="1854"/>
      <c r="G42" s="1309"/>
      <c r="H42" s="361"/>
      <c r="I42" s="101"/>
      <c r="J42" s="775"/>
      <c r="K42" s="114"/>
      <c r="L42" s="232"/>
      <c r="M42" s="208" t="s">
        <v>221</v>
      </c>
      <c r="N42" s="211">
        <v>100</v>
      </c>
      <c r="O42" s="54">
        <v>100</v>
      </c>
      <c r="P42" s="50">
        <v>100</v>
      </c>
      <c r="R42" s="1669"/>
      <c r="S42" s="1669"/>
    </row>
    <row r="43" spans="1:19" s="350" customFormat="1" ht="18" customHeight="1" x14ac:dyDescent="0.2">
      <c r="A43" s="363"/>
      <c r="B43" s="359"/>
      <c r="C43" s="365"/>
      <c r="D43" s="653"/>
      <c r="E43" s="653"/>
      <c r="F43" s="1854"/>
      <c r="G43" s="1309"/>
      <c r="H43" s="361"/>
      <c r="I43" s="101"/>
      <c r="J43" s="775"/>
      <c r="K43" s="114"/>
      <c r="L43" s="232"/>
      <c r="M43" s="208" t="s">
        <v>222</v>
      </c>
      <c r="N43" s="211">
        <v>15</v>
      </c>
      <c r="O43" s="54">
        <v>15</v>
      </c>
      <c r="P43" s="50">
        <v>15</v>
      </c>
      <c r="R43" s="1669"/>
      <c r="S43" s="1669"/>
    </row>
    <row r="44" spans="1:19" s="350" customFormat="1" ht="30" customHeight="1" x14ac:dyDescent="0.2">
      <c r="A44" s="363"/>
      <c r="B44" s="359"/>
      <c r="C44" s="365"/>
      <c r="D44" s="653"/>
      <c r="E44" s="653"/>
      <c r="F44" s="1854"/>
      <c r="G44" s="1309"/>
      <c r="H44" s="361"/>
      <c r="I44" s="101"/>
      <c r="J44" s="775"/>
      <c r="K44" s="114"/>
      <c r="L44" s="232"/>
      <c r="M44" s="208" t="s">
        <v>223</v>
      </c>
      <c r="N44" s="211">
        <v>115</v>
      </c>
      <c r="O44" s="54">
        <v>115</v>
      </c>
      <c r="P44" s="50">
        <v>115</v>
      </c>
      <c r="R44" s="1669"/>
      <c r="S44" s="1669"/>
    </row>
    <row r="45" spans="1:19" s="350" customFormat="1" ht="55.5" customHeight="1" thickBot="1" x14ac:dyDescent="0.25">
      <c r="A45" s="363"/>
      <c r="B45" s="359"/>
      <c r="C45" s="365"/>
      <c r="D45" s="663"/>
      <c r="E45" s="663"/>
      <c r="F45" s="1857"/>
      <c r="G45" s="1309"/>
      <c r="H45" s="361"/>
      <c r="I45" s="101"/>
      <c r="J45" s="775"/>
      <c r="K45" s="114"/>
      <c r="L45" s="232"/>
      <c r="M45" s="209" t="s">
        <v>224</v>
      </c>
      <c r="N45" s="319">
        <v>5000</v>
      </c>
      <c r="O45" s="282">
        <v>5000</v>
      </c>
      <c r="P45" s="52">
        <v>5000</v>
      </c>
      <c r="R45" s="1669"/>
      <c r="S45" s="1669"/>
    </row>
    <row r="46" spans="1:19" s="350" customFormat="1" ht="12.75" customHeight="1" x14ac:dyDescent="0.2">
      <c r="A46" s="363"/>
      <c r="B46" s="359"/>
      <c r="C46" s="365"/>
      <c r="D46" s="653" t="s">
        <v>267</v>
      </c>
      <c r="E46" s="653"/>
      <c r="F46" s="1843" t="s">
        <v>50</v>
      </c>
      <c r="G46" s="1313"/>
      <c r="H46" s="361"/>
      <c r="I46" s="101"/>
      <c r="J46" s="272"/>
      <c r="K46" s="263"/>
      <c r="L46" s="36"/>
      <c r="M46" s="1861" t="s">
        <v>123</v>
      </c>
      <c r="N46" s="318">
        <v>8500</v>
      </c>
      <c r="O46" s="298">
        <v>8500</v>
      </c>
      <c r="P46" s="316">
        <v>8501</v>
      </c>
    </row>
    <row r="47" spans="1:19" s="350" customFormat="1" ht="16.5" customHeight="1" thickBot="1" x14ac:dyDescent="0.25">
      <c r="A47" s="363"/>
      <c r="B47" s="359"/>
      <c r="C47" s="365"/>
      <c r="D47" s="653"/>
      <c r="E47" s="653"/>
      <c r="F47" s="1843"/>
      <c r="G47" s="1313"/>
      <c r="H47" s="361"/>
      <c r="I47" s="101"/>
      <c r="J47" s="775"/>
      <c r="K47" s="114"/>
      <c r="L47" s="232"/>
      <c r="M47" s="1862"/>
      <c r="N47" s="279"/>
      <c r="O47" s="57"/>
      <c r="P47" s="948"/>
    </row>
    <row r="48" spans="1:19" s="350" customFormat="1" ht="14.25" customHeight="1" x14ac:dyDescent="0.2">
      <c r="A48" s="363"/>
      <c r="B48" s="359"/>
      <c r="C48" s="365"/>
      <c r="D48" s="670" t="s">
        <v>268</v>
      </c>
      <c r="E48" s="670"/>
      <c r="F48" s="1839" t="s">
        <v>124</v>
      </c>
      <c r="G48" s="1313"/>
      <c r="H48" s="361"/>
      <c r="I48" s="101"/>
      <c r="J48" s="775"/>
      <c r="K48" s="114"/>
      <c r="L48" s="232"/>
      <c r="M48" s="1671" t="s">
        <v>80</v>
      </c>
      <c r="N48" s="318">
        <v>85</v>
      </c>
      <c r="O48" s="298">
        <v>100</v>
      </c>
      <c r="P48" s="316"/>
    </row>
    <row r="49" spans="1:16" s="350" customFormat="1" ht="14.25" customHeight="1" x14ac:dyDescent="0.2">
      <c r="A49" s="363"/>
      <c r="B49" s="359"/>
      <c r="C49" s="365"/>
      <c r="D49" s="653"/>
      <c r="E49" s="653"/>
      <c r="F49" s="1840"/>
      <c r="G49" s="1313"/>
      <c r="H49" s="361"/>
      <c r="I49" s="101"/>
      <c r="J49" s="775"/>
      <c r="K49" s="114"/>
      <c r="L49" s="232"/>
      <c r="M49" s="1219"/>
      <c r="N49" s="279"/>
      <c r="O49" s="57"/>
      <c r="P49" s="948"/>
    </row>
    <row r="50" spans="1:16" s="350" customFormat="1" ht="14.25" customHeight="1" thickBot="1" x14ac:dyDescent="0.25">
      <c r="A50" s="363"/>
      <c r="B50" s="359"/>
      <c r="C50" s="365"/>
      <c r="D50" s="671"/>
      <c r="E50" s="671"/>
      <c r="F50" s="1841"/>
      <c r="G50" s="1313"/>
      <c r="H50" s="361"/>
      <c r="I50" s="101"/>
      <c r="J50" s="775"/>
      <c r="K50" s="114"/>
      <c r="L50" s="232"/>
      <c r="M50" s="206"/>
      <c r="N50" s="324"/>
      <c r="O50" s="530"/>
      <c r="P50" s="413"/>
    </row>
    <row r="51" spans="1:16" s="350" customFormat="1" ht="12.75" customHeight="1" x14ac:dyDescent="0.2">
      <c r="A51" s="373"/>
      <c r="B51" s="362"/>
      <c r="C51" s="360"/>
      <c r="D51" s="647" t="s">
        <v>5</v>
      </c>
      <c r="E51" s="653"/>
      <c r="F51" s="1839" t="s">
        <v>159</v>
      </c>
      <c r="G51" s="1222"/>
      <c r="H51" s="570"/>
      <c r="I51" s="101"/>
      <c r="J51" s="271"/>
      <c r="K51" s="263"/>
      <c r="L51" s="36"/>
      <c r="M51" s="1861" t="s">
        <v>123</v>
      </c>
      <c r="N51" s="318">
        <v>150</v>
      </c>
      <c r="O51" s="298">
        <v>150</v>
      </c>
      <c r="P51" s="316">
        <v>150</v>
      </c>
    </row>
    <row r="52" spans="1:16" s="350" customFormat="1" ht="17.25" customHeight="1" thickBot="1" x14ac:dyDescent="0.25">
      <c r="A52" s="373"/>
      <c r="B52" s="362"/>
      <c r="C52" s="360"/>
      <c r="D52" s="647"/>
      <c r="E52" s="653"/>
      <c r="F52" s="1840"/>
      <c r="G52" s="1222"/>
      <c r="H52" s="367"/>
      <c r="I52" s="101"/>
      <c r="J52" s="77"/>
      <c r="K52" s="114"/>
      <c r="L52" s="232"/>
      <c r="M52" s="1862"/>
      <c r="N52" s="295"/>
      <c r="O52" s="135"/>
      <c r="P52" s="948"/>
    </row>
    <row r="53" spans="1:16" s="350" customFormat="1" ht="42" customHeight="1" x14ac:dyDescent="0.2">
      <c r="A53" s="1652"/>
      <c r="B53" s="1653"/>
      <c r="C53" s="1654"/>
      <c r="D53" s="1088" t="s">
        <v>269</v>
      </c>
      <c r="E53" s="672"/>
      <c r="F53" s="1655" t="s">
        <v>160</v>
      </c>
      <c r="G53" s="1656"/>
      <c r="H53" s="1657"/>
      <c r="I53" s="204"/>
      <c r="J53" s="1721"/>
      <c r="K53" s="1713"/>
      <c r="L53" s="45"/>
      <c r="M53" s="194" t="s">
        <v>225</v>
      </c>
      <c r="N53" s="294">
        <v>695</v>
      </c>
      <c r="O53" s="171">
        <v>695</v>
      </c>
      <c r="P53" s="170">
        <v>695</v>
      </c>
    </row>
    <row r="54" spans="1:16" ht="16.5" customHeight="1" thickBot="1" x14ac:dyDescent="0.25">
      <c r="A54" s="373"/>
      <c r="B54" s="362"/>
      <c r="C54" s="360"/>
      <c r="D54" s="647"/>
      <c r="E54" s="653"/>
      <c r="F54" s="1667"/>
      <c r="G54" s="1313"/>
      <c r="H54" s="361"/>
      <c r="I54" s="101"/>
      <c r="J54" s="1693"/>
      <c r="K54" s="114"/>
      <c r="L54" s="232"/>
      <c r="M54" s="323" t="s">
        <v>226</v>
      </c>
      <c r="N54" s="324">
        <v>20</v>
      </c>
      <c r="O54" s="530">
        <v>20</v>
      </c>
      <c r="P54" s="413">
        <v>20</v>
      </c>
    </row>
    <row r="55" spans="1:16" ht="30.75" customHeight="1" thickBot="1" x14ac:dyDescent="0.25">
      <c r="A55" s="373"/>
      <c r="B55" s="362"/>
      <c r="C55" s="360"/>
      <c r="D55" s="668"/>
      <c r="E55" s="653"/>
      <c r="F55" s="1667"/>
      <c r="G55" s="1313"/>
      <c r="H55" s="361"/>
      <c r="I55" s="101"/>
      <c r="J55" s="1272"/>
      <c r="K55" s="114"/>
      <c r="L55" s="232"/>
      <c r="M55" s="323" t="s">
        <v>126</v>
      </c>
      <c r="N55" s="324">
        <v>15000</v>
      </c>
      <c r="O55" s="1284">
        <v>15000</v>
      </c>
      <c r="P55" s="1429">
        <v>15000</v>
      </c>
    </row>
    <row r="56" spans="1:16" ht="21" customHeight="1" x14ac:dyDescent="0.2">
      <c r="A56" s="373"/>
      <c r="B56" s="362"/>
      <c r="C56" s="360"/>
      <c r="D56" s="647" t="s">
        <v>270</v>
      </c>
      <c r="E56" s="670"/>
      <c r="F56" s="1772" t="s">
        <v>280</v>
      </c>
      <c r="G56" s="1313"/>
      <c r="H56" s="374"/>
      <c r="I56" s="101"/>
      <c r="J56" s="77"/>
      <c r="K56" s="114"/>
      <c r="L56" s="232"/>
      <c r="M56" s="194" t="s">
        <v>127</v>
      </c>
      <c r="N56" s="294">
        <v>158</v>
      </c>
      <c r="O56" s="171">
        <v>160</v>
      </c>
      <c r="P56" s="375">
        <v>160</v>
      </c>
    </row>
    <row r="57" spans="1:16" ht="21" customHeight="1" thickBot="1" x14ac:dyDescent="0.25">
      <c r="A57" s="373"/>
      <c r="B57" s="362"/>
      <c r="C57" s="360"/>
      <c r="D57" s="647"/>
      <c r="E57" s="653"/>
      <c r="F57" s="1863"/>
      <c r="G57" s="259"/>
      <c r="H57" s="374"/>
      <c r="I57" s="101"/>
      <c r="J57" s="77"/>
      <c r="K57" s="114"/>
      <c r="L57" s="232"/>
      <c r="M57" s="209" t="s">
        <v>128</v>
      </c>
      <c r="N57" s="319">
        <v>9</v>
      </c>
      <c r="O57" s="282">
        <v>9</v>
      </c>
      <c r="P57" s="68">
        <v>9</v>
      </c>
    </row>
    <row r="58" spans="1:16" ht="28.5" customHeight="1" x14ac:dyDescent="0.2">
      <c r="A58" s="358"/>
      <c r="B58" s="362"/>
      <c r="C58" s="360"/>
      <c r="D58" s="669" t="s">
        <v>271</v>
      </c>
      <c r="E58" s="670"/>
      <c r="F58" s="1839" t="s">
        <v>227</v>
      </c>
      <c r="G58" s="1313"/>
      <c r="H58" s="374"/>
      <c r="I58" s="101"/>
      <c r="J58" s="775"/>
      <c r="K58" s="114"/>
      <c r="L58" s="232"/>
      <c r="M58" s="194" t="s">
        <v>228</v>
      </c>
      <c r="N58" s="213">
        <v>1</v>
      </c>
      <c r="O58" s="171"/>
      <c r="P58" s="170"/>
    </row>
    <row r="59" spans="1:16" ht="15.75" customHeight="1" x14ac:dyDescent="0.2">
      <c r="A59" s="358"/>
      <c r="B59" s="362"/>
      <c r="C59" s="360"/>
      <c r="D59" s="647"/>
      <c r="E59" s="653"/>
      <c r="F59" s="1840"/>
      <c r="G59" s="1313"/>
      <c r="H59" s="374"/>
      <c r="I59" s="101"/>
      <c r="J59" s="775"/>
      <c r="K59" s="114"/>
      <c r="L59" s="232"/>
      <c r="M59" s="208" t="s">
        <v>229</v>
      </c>
      <c r="N59" s="121">
        <v>5</v>
      </c>
      <c r="O59" s="55"/>
      <c r="P59" s="50"/>
    </row>
    <row r="60" spans="1:16" ht="18" customHeight="1" x14ac:dyDescent="0.2">
      <c r="A60" s="358"/>
      <c r="B60" s="362"/>
      <c r="C60" s="360"/>
      <c r="D60" s="668"/>
      <c r="E60" s="671"/>
      <c r="F60" s="1841"/>
      <c r="G60" s="1313"/>
      <c r="H60" s="374"/>
      <c r="I60" s="101"/>
      <c r="J60" s="775"/>
      <c r="K60" s="114"/>
      <c r="L60" s="232"/>
      <c r="M60" s="260" t="s">
        <v>127</v>
      </c>
      <c r="N60" s="101"/>
      <c r="O60" s="57">
        <v>30</v>
      </c>
      <c r="P60" s="948">
        <v>30</v>
      </c>
    </row>
    <row r="61" spans="1:16" ht="42" customHeight="1" thickBot="1" x14ac:dyDescent="0.25">
      <c r="A61" s="358"/>
      <c r="B61" s="362"/>
      <c r="C61" s="360"/>
      <c r="D61" s="647" t="s">
        <v>272</v>
      </c>
      <c r="E61" s="653"/>
      <c r="F61" s="1668" t="s">
        <v>207</v>
      </c>
      <c r="G61" s="259"/>
      <c r="H61" s="374"/>
      <c r="I61" s="101"/>
      <c r="J61" s="767"/>
      <c r="K61" s="768"/>
      <c r="L61" s="769"/>
      <c r="M61" s="1218"/>
      <c r="N61" s="85"/>
      <c r="O61" s="920"/>
      <c r="P61" s="1724"/>
    </row>
    <row r="62" spans="1:16" ht="15.75" customHeight="1" x14ac:dyDescent="0.2">
      <c r="A62" s="358"/>
      <c r="B62" s="362"/>
      <c r="C62" s="360"/>
      <c r="D62" s="647"/>
      <c r="E62" s="672" t="s">
        <v>14</v>
      </c>
      <c r="F62" s="180" t="s">
        <v>129</v>
      </c>
      <c r="G62" s="1313"/>
      <c r="H62" s="374"/>
      <c r="I62" s="101"/>
      <c r="J62" s="775"/>
      <c r="K62" s="114"/>
      <c r="L62" s="232"/>
      <c r="M62" s="1225" t="s">
        <v>629</v>
      </c>
      <c r="N62" s="294">
        <v>93</v>
      </c>
      <c r="O62" s="171">
        <v>92</v>
      </c>
      <c r="P62" s="375">
        <v>122</v>
      </c>
    </row>
    <row r="63" spans="1:16" ht="17.25" customHeight="1" thickBot="1" x14ac:dyDescent="0.25">
      <c r="A63" s="358"/>
      <c r="B63" s="362"/>
      <c r="C63" s="360"/>
      <c r="D63" s="647"/>
      <c r="E63" s="653" t="s">
        <v>17</v>
      </c>
      <c r="F63" s="180" t="s">
        <v>130</v>
      </c>
      <c r="G63" s="1313"/>
      <c r="H63" s="374"/>
      <c r="I63" s="101"/>
      <c r="J63" s="775"/>
      <c r="K63" s="114"/>
      <c r="L63" s="232"/>
      <c r="M63" s="206" t="s">
        <v>118</v>
      </c>
      <c r="N63" s="308">
        <v>2</v>
      </c>
      <c r="O63" s="530">
        <v>2</v>
      </c>
      <c r="P63" s="75"/>
    </row>
    <row r="64" spans="1:16" ht="29.25" customHeight="1" x14ac:dyDescent="0.2">
      <c r="A64" s="358"/>
      <c r="B64" s="362"/>
      <c r="C64" s="360"/>
      <c r="D64" s="647"/>
      <c r="E64" s="670" t="s">
        <v>19</v>
      </c>
      <c r="F64" s="889" t="s">
        <v>606</v>
      </c>
      <c r="G64" s="1224" t="s">
        <v>206</v>
      </c>
      <c r="H64" s="374"/>
      <c r="I64" s="101"/>
      <c r="J64" s="272"/>
      <c r="K64" s="114"/>
      <c r="L64" s="232"/>
      <c r="M64" s="1671"/>
      <c r="N64" s="105"/>
      <c r="O64" s="298"/>
      <c r="P64" s="252"/>
    </row>
    <row r="65" spans="1:16" ht="15.75" customHeight="1" x14ac:dyDescent="0.2">
      <c r="A65" s="358"/>
      <c r="B65" s="362"/>
      <c r="C65" s="360"/>
      <c r="D65" s="647"/>
      <c r="E65" s="653"/>
      <c r="F65" s="1864" t="s">
        <v>611</v>
      </c>
      <c r="G65" s="197"/>
      <c r="H65" s="374"/>
      <c r="I65" s="101"/>
      <c r="J65" s="190"/>
      <c r="K65" s="263"/>
      <c r="L65" s="36"/>
      <c r="M65" s="1672" t="s">
        <v>120</v>
      </c>
      <c r="N65" s="204">
        <v>72</v>
      </c>
      <c r="O65" s="60">
        <v>250</v>
      </c>
      <c r="P65" s="1708">
        <v>340</v>
      </c>
    </row>
    <row r="66" spans="1:16" ht="15.75" customHeight="1" x14ac:dyDescent="0.2">
      <c r="A66" s="358"/>
      <c r="B66" s="362"/>
      <c r="C66" s="360"/>
      <c r="D66" s="647"/>
      <c r="E66" s="653"/>
      <c r="F66" s="1865"/>
      <c r="G66" s="197"/>
      <c r="H66" s="374"/>
      <c r="I66" s="101"/>
      <c r="J66" s="272"/>
      <c r="K66" s="263"/>
      <c r="L66" s="36"/>
      <c r="M66" s="1219" t="s">
        <v>608</v>
      </c>
      <c r="N66" s="101">
        <v>8</v>
      </c>
      <c r="O66" s="57">
        <v>12</v>
      </c>
      <c r="P66" s="242">
        <v>16</v>
      </c>
    </row>
    <row r="67" spans="1:16" ht="30" customHeight="1" thickBot="1" x14ac:dyDescent="0.25">
      <c r="A67" s="358"/>
      <c r="B67" s="362"/>
      <c r="C67" s="360"/>
      <c r="D67" s="647"/>
      <c r="E67" s="671"/>
      <c r="F67" s="180" t="s">
        <v>607</v>
      </c>
      <c r="G67" s="197"/>
      <c r="H67" s="374"/>
      <c r="I67" s="101"/>
      <c r="J67" s="272"/>
      <c r="K67" s="263"/>
      <c r="L67" s="36"/>
      <c r="M67" s="885" t="s">
        <v>609</v>
      </c>
      <c r="N67" s="319">
        <v>2</v>
      </c>
      <c r="O67" s="282">
        <v>4</v>
      </c>
      <c r="P67" s="195"/>
    </row>
    <row r="68" spans="1:16" ht="18" customHeight="1" x14ac:dyDescent="0.2">
      <c r="A68" s="376"/>
      <c r="B68" s="377"/>
      <c r="C68" s="378"/>
      <c r="D68" s="647"/>
      <c r="E68" s="653" t="s">
        <v>21</v>
      </c>
      <c r="F68" s="1772" t="s">
        <v>622</v>
      </c>
      <c r="G68" s="1866" t="s">
        <v>45</v>
      </c>
      <c r="H68" s="361"/>
      <c r="I68" s="101"/>
      <c r="J68" s="775"/>
      <c r="K68" s="114"/>
      <c r="L68" s="232"/>
      <c r="M68" s="194" t="s">
        <v>118</v>
      </c>
      <c r="N68" s="213">
        <v>4</v>
      </c>
      <c r="O68" s="171">
        <v>0</v>
      </c>
      <c r="P68" s="375">
        <v>0</v>
      </c>
    </row>
    <row r="69" spans="1:16" ht="18" customHeight="1" thickBot="1" x14ac:dyDescent="0.25">
      <c r="A69" s="376"/>
      <c r="B69" s="377"/>
      <c r="C69" s="378"/>
      <c r="D69" s="647"/>
      <c r="E69" s="653"/>
      <c r="F69" s="1863"/>
      <c r="G69" s="1867"/>
      <c r="H69" s="361"/>
      <c r="I69" s="101"/>
      <c r="J69" s="775"/>
      <c r="K69" s="114"/>
      <c r="L69" s="232"/>
      <c r="M69" s="1219" t="s">
        <v>120</v>
      </c>
      <c r="N69" s="101">
        <v>44</v>
      </c>
      <c r="O69" s="57">
        <v>0</v>
      </c>
      <c r="P69" s="30">
        <v>0</v>
      </c>
    </row>
    <row r="70" spans="1:16" ht="29.25" customHeight="1" x14ac:dyDescent="0.2">
      <c r="A70" s="358"/>
      <c r="B70" s="362"/>
      <c r="C70" s="360"/>
      <c r="D70" s="647"/>
      <c r="E70" s="670" t="s">
        <v>22</v>
      </c>
      <c r="F70" s="1673" t="s">
        <v>231</v>
      </c>
      <c r="G70" s="1313"/>
      <c r="H70" s="374"/>
      <c r="I70" s="101"/>
      <c r="J70" s="775"/>
      <c r="K70" s="114"/>
      <c r="L70" s="232"/>
      <c r="M70" s="194" t="s">
        <v>232</v>
      </c>
      <c r="N70" s="294">
        <v>1</v>
      </c>
      <c r="O70" s="169"/>
      <c r="P70" s="170"/>
    </row>
    <row r="71" spans="1:16" ht="31.5" customHeight="1" x14ac:dyDescent="0.2">
      <c r="A71" s="358"/>
      <c r="B71" s="362"/>
      <c r="C71" s="360"/>
      <c r="D71" s="647"/>
      <c r="E71" s="653"/>
      <c r="F71" s="1670"/>
      <c r="G71" s="1313"/>
      <c r="H71" s="374"/>
      <c r="I71" s="101"/>
      <c r="J71" s="775"/>
      <c r="K71" s="114"/>
      <c r="L71" s="232"/>
      <c r="M71" s="260" t="s">
        <v>233</v>
      </c>
      <c r="N71" s="279"/>
      <c r="O71" s="1728">
        <v>53</v>
      </c>
      <c r="P71" s="1724">
        <v>51</v>
      </c>
    </row>
    <row r="72" spans="1:16" ht="16.5" customHeight="1" thickBot="1" x14ac:dyDescent="0.25">
      <c r="A72" s="358"/>
      <c r="B72" s="362"/>
      <c r="C72" s="360"/>
      <c r="D72" s="668"/>
      <c r="E72" s="671"/>
      <c r="F72" s="1674"/>
      <c r="G72" s="1313"/>
      <c r="H72" s="374"/>
      <c r="I72" s="101"/>
      <c r="J72" s="775"/>
      <c r="K72" s="114"/>
      <c r="L72" s="232"/>
      <c r="M72" s="209" t="s">
        <v>234</v>
      </c>
      <c r="N72" s="325">
        <v>1.26</v>
      </c>
      <c r="O72" s="326">
        <v>1.47</v>
      </c>
      <c r="P72" s="379">
        <v>1.53</v>
      </c>
    </row>
    <row r="73" spans="1:16" ht="53.25" customHeight="1" x14ac:dyDescent="0.2">
      <c r="A73" s="380"/>
      <c r="B73" s="381"/>
      <c r="C73" s="382"/>
      <c r="D73" s="653" t="s">
        <v>273</v>
      </c>
      <c r="E73" s="653"/>
      <c r="F73" s="1673" t="s">
        <v>81</v>
      </c>
      <c r="G73" s="228"/>
      <c r="H73" s="383"/>
      <c r="I73" s="1692"/>
      <c r="J73" s="77"/>
      <c r="K73" s="116"/>
      <c r="L73" s="232"/>
      <c r="M73" s="168" t="s">
        <v>161</v>
      </c>
      <c r="N73" s="207">
        <v>517</v>
      </c>
      <c r="O73" s="164">
        <v>470</v>
      </c>
      <c r="P73" s="165">
        <v>470</v>
      </c>
    </row>
    <row r="74" spans="1:16" ht="78.75" customHeight="1" x14ac:dyDescent="0.2">
      <c r="A74" s="380"/>
      <c r="B74" s="381"/>
      <c r="C74" s="382"/>
      <c r="D74" s="653"/>
      <c r="E74" s="653"/>
      <c r="F74" s="1670"/>
      <c r="G74" s="229"/>
      <c r="H74" s="383"/>
      <c r="I74" s="1692"/>
      <c r="J74" s="77"/>
      <c r="K74" s="116"/>
      <c r="L74" s="232"/>
      <c r="M74" s="48" t="s">
        <v>639</v>
      </c>
      <c r="N74" s="93">
        <v>72</v>
      </c>
      <c r="O74" s="65">
        <v>72</v>
      </c>
      <c r="P74" s="30">
        <v>72</v>
      </c>
    </row>
    <row r="75" spans="1:16" ht="16.5" customHeight="1" thickBot="1" x14ac:dyDescent="0.25">
      <c r="A75" s="380"/>
      <c r="B75" s="381"/>
      <c r="C75" s="382"/>
      <c r="D75" s="653"/>
      <c r="E75" s="653"/>
      <c r="F75" s="1674"/>
      <c r="G75" s="1212"/>
      <c r="H75" s="370"/>
      <c r="I75" s="1692"/>
      <c r="J75" s="1693"/>
      <c r="K75" s="1694"/>
      <c r="L75" s="36"/>
      <c r="M75" s="201" t="s">
        <v>131</v>
      </c>
      <c r="N75" s="296">
        <v>15</v>
      </c>
      <c r="O75" s="67">
        <v>11</v>
      </c>
      <c r="P75" s="68">
        <v>11</v>
      </c>
    </row>
    <row r="76" spans="1:16" ht="18.75" customHeight="1" thickBot="1" x14ac:dyDescent="0.25">
      <c r="A76" s="380"/>
      <c r="B76" s="381"/>
      <c r="C76" s="382"/>
      <c r="D76" s="672" t="s">
        <v>274</v>
      </c>
      <c r="E76" s="672"/>
      <c r="F76" s="180" t="s">
        <v>55</v>
      </c>
      <c r="G76" s="1212"/>
      <c r="H76" s="370"/>
      <c r="I76" s="388"/>
      <c r="J76" s="77"/>
      <c r="K76" s="116"/>
      <c r="L76" s="72"/>
      <c r="M76" s="309" t="s">
        <v>132</v>
      </c>
      <c r="N76" s="334">
        <v>17</v>
      </c>
      <c r="O76" s="333">
        <v>17</v>
      </c>
      <c r="P76" s="385">
        <v>17</v>
      </c>
    </row>
    <row r="77" spans="1:16" ht="18.75" customHeight="1" thickBot="1" x14ac:dyDescent="0.25">
      <c r="A77" s="380"/>
      <c r="B77" s="381"/>
      <c r="C77" s="378"/>
      <c r="D77" s="647" t="s">
        <v>275</v>
      </c>
      <c r="E77" s="653"/>
      <c r="F77" s="180" t="s">
        <v>107</v>
      </c>
      <c r="G77" s="106"/>
      <c r="H77" s="386"/>
      <c r="I77" s="388"/>
      <c r="J77" s="77"/>
      <c r="K77" s="116"/>
      <c r="L77" s="72"/>
      <c r="M77" s="310" t="s">
        <v>119</v>
      </c>
      <c r="N77" s="105">
        <v>1166</v>
      </c>
      <c r="O77" s="251">
        <v>1166</v>
      </c>
      <c r="P77" s="387">
        <v>1166</v>
      </c>
    </row>
    <row r="78" spans="1:16" ht="19.5" customHeight="1" x14ac:dyDescent="0.2">
      <c r="A78" s="380"/>
      <c r="B78" s="381"/>
      <c r="C78" s="378"/>
      <c r="D78" s="669" t="s">
        <v>276</v>
      </c>
      <c r="E78" s="670"/>
      <c r="F78" s="1772" t="s">
        <v>235</v>
      </c>
      <c r="G78" s="106"/>
      <c r="H78" s="386"/>
      <c r="I78" s="388"/>
      <c r="J78" s="77"/>
      <c r="K78" s="116"/>
      <c r="L78" s="72"/>
      <c r="M78" s="53" t="s">
        <v>118</v>
      </c>
      <c r="N78" s="390">
        <v>1</v>
      </c>
      <c r="O78" s="391">
        <v>1</v>
      </c>
      <c r="P78" s="392">
        <v>1</v>
      </c>
    </row>
    <row r="79" spans="1:16" s="350" customFormat="1" ht="19.5" customHeight="1" thickBot="1" x14ac:dyDescent="0.25">
      <c r="A79" s="380"/>
      <c r="B79" s="381"/>
      <c r="C79" s="378"/>
      <c r="D79" s="668"/>
      <c r="E79" s="671"/>
      <c r="F79" s="1863"/>
      <c r="G79" s="106"/>
      <c r="H79" s="386"/>
      <c r="I79" s="388"/>
      <c r="J79" s="77"/>
      <c r="K79" s="116"/>
      <c r="L79" s="72"/>
      <c r="M79" s="201" t="s">
        <v>119</v>
      </c>
      <c r="N79" s="395">
        <v>9</v>
      </c>
      <c r="O79" s="396">
        <v>10</v>
      </c>
      <c r="P79" s="397">
        <v>10</v>
      </c>
    </row>
    <row r="80" spans="1:16" ht="18.75" customHeight="1" x14ac:dyDescent="0.2">
      <c r="A80" s="398"/>
      <c r="B80" s="381"/>
      <c r="C80" s="382"/>
      <c r="D80" s="653" t="s">
        <v>277</v>
      </c>
      <c r="E80" s="653"/>
      <c r="F80" s="1772" t="s">
        <v>133</v>
      </c>
      <c r="G80" s="1212"/>
      <c r="H80" s="370"/>
      <c r="I80" s="14"/>
      <c r="J80" s="77"/>
      <c r="K80" s="116"/>
      <c r="L80" s="72"/>
      <c r="M80" s="47" t="s">
        <v>118</v>
      </c>
      <c r="N80" s="101">
        <v>92</v>
      </c>
      <c r="O80" s="41">
        <v>92</v>
      </c>
      <c r="P80" s="948"/>
    </row>
    <row r="81" spans="1:20" ht="25.5" customHeight="1" thickBot="1" x14ac:dyDescent="0.25">
      <c r="A81" s="400"/>
      <c r="B81" s="401"/>
      <c r="C81" s="402"/>
      <c r="D81" s="660"/>
      <c r="E81" s="663"/>
      <c r="F81" s="1773"/>
      <c r="G81" s="1872" t="s">
        <v>51</v>
      </c>
      <c r="H81" s="1873"/>
      <c r="I81" s="1874"/>
      <c r="J81" s="66">
        <f>SUM(J13:J80)</f>
        <v>79195.499999999985</v>
      </c>
      <c r="K81" s="111">
        <f>SUM(K13:K80)</f>
        <v>78534.799999999988</v>
      </c>
      <c r="L81" s="187">
        <f>SUM(L13:L80)</f>
        <v>78168.799999999988</v>
      </c>
      <c r="M81" s="1679"/>
      <c r="N81" s="404"/>
      <c r="O81" s="405"/>
      <c r="P81" s="406"/>
    </row>
    <row r="82" spans="1:20" ht="32.25" customHeight="1" x14ac:dyDescent="0.2">
      <c r="A82" s="407" t="s">
        <v>14</v>
      </c>
      <c r="B82" s="408" t="s">
        <v>14</v>
      </c>
      <c r="C82" s="409" t="s">
        <v>17</v>
      </c>
      <c r="D82" s="645"/>
      <c r="E82" s="645"/>
      <c r="F82" s="1685" t="s">
        <v>82</v>
      </c>
      <c r="G82" s="1209"/>
      <c r="H82" s="410">
        <v>2</v>
      </c>
      <c r="I82" s="411"/>
      <c r="J82" s="790"/>
      <c r="K82" s="787"/>
      <c r="L82" s="788"/>
      <c r="M82" s="146"/>
      <c r="N82" s="250"/>
      <c r="O82" s="251"/>
      <c r="P82" s="252"/>
    </row>
    <row r="83" spans="1:20" ht="40.5" customHeight="1" x14ac:dyDescent="0.2">
      <c r="A83" s="380"/>
      <c r="B83" s="381"/>
      <c r="C83" s="382"/>
      <c r="D83" s="672" t="s">
        <v>14</v>
      </c>
      <c r="E83" s="672"/>
      <c r="F83" s="87" t="s">
        <v>83</v>
      </c>
      <c r="G83" s="1212"/>
      <c r="H83" s="370"/>
      <c r="I83" s="1666" t="s">
        <v>18</v>
      </c>
      <c r="J83" s="620">
        <v>205.4</v>
      </c>
      <c r="K83" s="621">
        <f>+J83</f>
        <v>205.4</v>
      </c>
      <c r="L83" s="622">
        <f>+K83</f>
        <v>205.4</v>
      </c>
      <c r="M83" s="168" t="s">
        <v>119</v>
      </c>
      <c r="N83" s="214">
        <v>2692</v>
      </c>
      <c r="O83" s="181">
        <v>2690</v>
      </c>
      <c r="P83" s="623">
        <v>2690</v>
      </c>
      <c r="T83" s="347" t="s">
        <v>75</v>
      </c>
    </row>
    <row r="84" spans="1:20" s="350" customFormat="1" ht="18" customHeight="1" x14ac:dyDescent="0.2">
      <c r="A84" s="380"/>
      <c r="B84" s="381"/>
      <c r="C84" s="382"/>
      <c r="D84" s="646" t="s">
        <v>17</v>
      </c>
      <c r="E84" s="646"/>
      <c r="F84" s="1684" t="s">
        <v>54</v>
      </c>
      <c r="G84" s="1212"/>
      <c r="H84" s="370"/>
      <c r="I84" s="388" t="s">
        <v>15</v>
      </c>
      <c r="J84" s="1272">
        <f>125.9+30</f>
        <v>155.9</v>
      </c>
      <c r="K84" s="116">
        <f>90-20</f>
        <v>70</v>
      </c>
      <c r="L84" s="72">
        <f>100-30</f>
        <v>70</v>
      </c>
      <c r="M84" s="1714" t="s">
        <v>163</v>
      </c>
      <c r="N84" s="1692">
        <v>4800</v>
      </c>
      <c r="O84" s="1729">
        <v>4801</v>
      </c>
      <c r="P84" s="1733">
        <v>4802</v>
      </c>
      <c r="Q84" s="321"/>
      <c r="R84" s="321"/>
      <c r="S84" s="321"/>
    </row>
    <row r="85" spans="1:20" ht="41.25" customHeight="1" x14ac:dyDescent="0.2">
      <c r="A85" s="366"/>
      <c r="B85" s="381"/>
      <c r="C85" s="382"/>
      <c r="D85" s="672" t="s">
        <v>19</v>
      </c>
      <c r="E85" s="672"/>
      <c r="F85" s="29" t="s">
        <v>87</v>
      </c>
      <c r="G85" s="1212"/>
      <c r="H85" s="386"/>
      <c r="I85" s="265"/>
      <c r="J85" s="804"/>
      <c r="K85" s="520"/>
      <c r="L85" s="521"/>
      <c r="M85" s="168" t="s">
        <v>164</v>
      </c>
      <c r="N85" s="207">
        <v>25</v>
      </c>
      <c r="O85" s="164"/>
      <c r="P85" s="165"/>
      <c r="Q85" s="219"/>
    </row>
    <row r="86" spans="1:20" ht="15.75" customHeight="1" x14ac:dyDescent="0.2">
      <c r="A86" s="366"/>
      <c r="B86" s="381"/>
      <c r="C86" s="382"/>
      <c r="D86" s="646" t="s">
        <v>21</v>
      </c>
      <c r="E86" s="646"/>
      <c r="F86" s="1768" t="s">
        <v>73</v>
      </c>
      <c r="G86" s="1212"/>
      <c r="H86" s="386"/>
      <c r="I86" s="14" t="s">
        <v>101</v>
      </c>
      <c r="J86" s="77">
        <v>889.1</v>
      </c>
      <c r="K86" s="116">
        <v>653.20000000000005</v>
      </c>
      <c r="L86" s="72">
        <v>653.20000000000005</v>
      </c>
      <c r="M86" s="1678" t="s">
        <v>164</v>
      </c>
      <c r="N86" s="93">
        <v>100</v>
      </c>
      <c r="O86" s="65">
        <v>100</v>
      </c>
      <c r="P86" s="30">
        <v>100</v>
      </c>
      <c r="Q86" s="219"/>
    </row>
    <row r="87" spans="1:20" ht="15.75" customHeight="1" x14ac:dyDescent="0.2">
      <c r="A87" s="366"/>
      <c r="B87" s="381"/>
      <c r="C87" s="382"/>
      <c r="D87" s="646"/>
      <c r="E87" s="646"/>
      <c r="F87" s="1791"/>
      <c r="G87" s="1212"/>
      <c r="H87" s="386"/>
      <c r="I87" s="78" t="s">
        <v>712</v>
      </c>
      <c r="J87" s="620">
        <v>0.2</v>
      </c>
      <c r="K87" s="619"/>
      <c r="L87" s="622"/>
      <c r="M87" s="1774" t="s">
        <v>721</v>
      </c>
      <c r="N87" s="93">
        <v>5600</v>
      </c>
      <c r="O87" s="65">
        <v>5600</v>
      </c>
      <c r="P87" s="30">
        <v>5600</v>
      </c>
      <c r="Q87" s="219"/>
    </row>
    <row r="88" spans="1:20" ht="15.75" customHeight="1" thickBot="1" x14ac:dyDescent="0.25">
      <c r="A88" s="414"/>
      <c r="B88" s="415"/>
      <c r="C88" s="416"/>
      <c r="D88" s="649"/>
      <c r="E88" s="649"/>
      <c r="F88" s="1786"/>
      <c r="G88" s="1210"/>
      <c r="H88" s="417"/>
      <c r="I88" s="16" t="s">
        <v>16</v>
      </c>
      <c r="J88" s="66">
        <f>SUM(J83:J87)</f>
        <v>1250.6000000000001</v>
      </c>
      <c r="K88" s="185">
        <f>SUM(K83:K86)</f>
        <v>928.6</v>
      </c>
      <c r="L88" s="187">
        <f>SUM(L83:L86)</f>
        <v>928.6</v>
      </c>
      <c r="M88" s="1775"/>
      <c r="N88" s="216"/>
      <c r="O88" s="177"/>
      <c r="P88" s="75"/>
    </row>
    <row r="89" spans="1:20" ht="29.25" customHeight="1" x14ac:dyDescent="0.2">
      <c r="A89" s="407" t="s">
        <v>14</v>
      </c>
      <c r="B89" s="408" t="s">
        <v>14</v>
      </c>
      <c r="C89" s="409" t="s">
        <v>19</v>
      </c>
      <c r="D89" s="645"/>
      <c r="E89" s="645"/>
      <c r="F89" s="1680" t="s">
        <v>65</v>
      </c>
      <c r="G89" s="1212"/>
      <c r="H89" s="383">
        <v>1</v>
      </c>
      <c r="I89" s="250" t="s">
        <v>15</v>
      </c>
      <c r="J89" s="77">
        <v>3.9</v>
      </c>
      <c r="K89" s="116">
        <v>3.9</v>
      </c>
      <c r="L89" s="116">
        <v>3.9</v>
      </c>
      <c r="M89" s="146" t="s">
        <v>138</v>
      </c>
      <c r="N89" s="250">
        <v>10</v>
      </c>
      <c r="O89" s="251">
        <v>10</v>
      </c>
      <c r="P89" s="252">
        <v>10</v>
      </c>
    </row>
    <row r="90" spans="1:20" ht="18" customHeight="1" thickBot="1" x14ac:dyDescent="0.25">
      <c r="A90" s="418"/>
      <c r="B90" s="401"/>
      <c r="C90" s="416"/>
      <c r="D90" s="649"/>
      <c r="E90" s="649"/>
      <c r="F90" s="202"/>
      <c r="G90" s="1210"/>
      <c r="H90" s="419"/>
      <c r="I90" s="16" t="s">
        <v>16</v>
      </c>
      <c r="J90" s="66">
        <f t="shared" ref="J90:L90" si="1">J89</f>
        <v>3.9</v>
      </c>
      <c r="K90" s="111">
        <f t="shared" si="1"/>
        <v>3.9</v>
      </c>
      <c r="L90" s="111">
        <f t="shared" si="1"/>
        <v>3.9</v>
      </c>
      <c r="M90" s="48" t="s">
        <v>120</v>
      </c>
      <c r="N90" s="93">
        <v>860</v>
      </c>
      <c r="O90" s="65">
        <v>860</v>
      </c>
      <c r="P90" s="30">
        <v>860</v>
      </c>
    </row>
    <row r="91" spans="1:20" ht="18" customHeight="1" x14ac:dyDescent="0.2">
      <c r="A91" s="352" t="s">
        <v>14</v>
      </c>
      <c r="B91" s="408" t="s">
        <v>14</v>
      </c>
      <c r="C91" s="409" t="s">
        <v>21</v>
      </c>
      <c r="D91" s="645"/>
      <c r="E91" s="645"/>
      <c r="F91" s="1790" t="s">
        <v>148</v>
      </c>
      <c r="G91" s="1209"/>
      <c r="H91" s="420">
        <v>2</v>
      </c>
      <c r="I91" s="13" t="s">
        <v>15</v>
      </c>
      <c r="J91" s="77">
        <v>17.8</v>
      </c>
      <c r="K91" s="116">
        <v>17.8</v>
      </c>
      <c r="L91" s="116">
        <v>17.8</v>
      </c>
      <c r="M91" s="1785" t="s">
        <v>165</v>
      </c>
      <c r="N91" s="250">
        <v>39</v>
      </c>
      <c r="O91" s="251">
        <v>39</v>
      </c>
      <c r="P91" s="252">
        <v>39</v>
      </c>
    </row>
    <row r="92" spans="1:20" ht="16.5" customHeight="1" thickBot="1" x14ac:dyDescent="0.25">
      <c r="A92" s="414"/>
      <c r="B92" s="415"/>
      <c r="C92" s="416"/>
      <c r="D92" s="649"/>
      <c r="E92" s="649"/>
      <c r="F92" s="1786"/>
      <c r="G92" s="1210"/>
      <c r="H92" s="417"/>
      <c r="I92" s="16" t="s">
        <v>16</v>
      </c>
      <c r="J92" s="66">
        <f t="shared" ref="J92" si="2">SUM(J91)</f>
        <v>17.8</v>
      </c>
      <c r="K92" s="111">
        <f t="shared" ref="K92:L92" si="3">SUM(K91)</f>
        <v>17.8</v>
      </c>
      <c r="L92" s="111">
        <f t="shared" si="3"/>
        <v>17.8</v>
      </c>
      <c r="M92" s="1775"/>
      <c r="N92" s="216"/>
      <c r="O92" s="177"/>
      <c r="P92" s="75"/>
    </row>
    <row r="93" spans="1:20" ht="41.25" customHeight="1" x14ac:dyDescent="0.2">
      <c r="A93" s="421" t="s">
        <v>14</v>
      </c>
      <c r="B93" s="408" t="s">
        <v>14</v>
      </c>
      <c r="C93" s="409" t="s">
        <v>22</v>
      </c>
      <c r="D93" s="645"/>
      <c r="E93" s="645"/>
      <c r="F93" s="1790" t="s">
        <v>139</v>
      </c>
      <c r="G93" s="1209" t="s">
        <v>47</v>
      </c>
      <c r="H93" s="420">
        <v>2</v>
      </c>
      <c r="I93" s="13" t="s">
        <v>15</v>
      </c>
      <c r="J93" s="833">
        <v>60.5</v>
      </c>
      <c r="K93" s="1101">
        <v>57.7</v>
      </c>
      <c r="L93" s="835">
        <v>53.5</v>
      </c>
      <c r="M93" s="109" t="s">
        <v>90</v>
      </c>
      <c r="N93" s="426">
        <v>7800</v>
      </c>
      <c r="O93" s="425">
        <v>7800</v>
      </c>
      <c r="P93" s="392">
        <v>7800</v>
      </c>
    </row>
    <row r="94" spans="1:20" ht="15.75" customHeight="1" x14ac:dyDescent="0.2">
      <c r="A94" s="363"/>
      <c r="B94" s="381"/>
      <c r="C94" s="382"/>
      <c r="D94" s="646"/>
      <c r="E94" s="646"/>
      <c r="F94" s="1791"/>
      <c r="G94" s="1212"/>
      <c r="H94" s="386"/>
      <c r="I94" s="265"/>
      <c r="J94" s="428"/>
      <c r="K94" s="429"/>
      <c r="L94" s="430"/>
      <c r="M94" s="1766" t="s">
        <v>688</v>
      </c>
      <c r="N94" s="93">
        <v>3</v>
      </c>
      <c r="O94" s="65">
        <v>2</v>
      </c>
      <c r="P94" s="431">
        <v>2</v>
      </c>
    </row>
    <row r="95" spans="1:20" ht="13.5" thickBot="1" x14ac:dyDescent="0.25">
      <c r="A95" s="436"/>
      <c r="B95" s="415"/>
      <c r="C95" s="416"/>
      <c r="D95" s="649"/>
      <c r="E95" s="649"/>
      <c r="F95" s="1786"/>
      <c r="G95" s="1210"/>
      <c r="H95" s="417"/>
      <c r="I95" s="16" t="s">
        <v>16</v>
      </c>
      <c r="J95" s="66">
        <f>SUM(J93:J94)</f>
        <v>60.5</v>
      </c>
      <c r="K95" s="111">
        <f>SUM(K93:K94)</f>
        <v>57.7</v>
      </c>
      <c r="L95" s="437">
        <f>SUM(L93:L94)</f>
        <v>53.5</v>
      </c>
      <c r="M95" s="1875"/>
      <c r="N95" s="216"/>
      <c r="O95" s="177"/>
      <c r="P95" s="1731"/>
    </row>
    <row r="96" spans="1:20" ht="39" customHeight="1" x14ac:dyDescent="0.2">
      <c r="A96" s="421" t="s">
        <v>14</v>
      </c>
      <c r="B96" s="408" t="s">
        <v>14</v>
      </c>
      <c r="C96" s="409" t="s">
        <v>96</v>
      </c>
      <c r="D96" s="645"/>
      <c r="E96" s="645"/>
      <c r="F96" s="1790" t="s">
        <v>166</v>
      </c>
      <c r="G96" s="1209"/>
      <c r="H96" s="438">
        <v>1</v>
      </c>
      <c r="I96" s="14" t="s">
        <v>15</v>
      </c>
      <c r="J96" s="77">
        <v>1.5</v>
      </c>
      <c r="K96" s="116">
        <v>1.5</v>
      </c>
      <c r="L96" s="72">
        <v>1.5</v>
      </c>
      <c r="M96" s="1785" t="s">
        <v>168</v>
      </c>
      <c r="N96" s="250">
        <v>1</v>
      </c>
      <c r="O96" s="251">
        <v>1</v>
      </c>
      <c r="P96" s="252">
        <v>1</v>
      </c>
    </row>
    <row r="97" spans="1:19" ht="15.75" customHeight="1" thickBot="1" x14ac:dyDescent="0.25">
      <c r="A97" s="436"/>
      <c r="B97" s="415"/>
      <c r="C97" s="416"/>
      <c r="D97" s="649"/>
      <c r="E97" s="649"/>
      <c r="F97" s="1786"/>
      <c r="G97" s="1210"/>
      <c r="H97" s="419"/>
      <c r="I97" s="16" t="s">
        <v>16</v>
      </c>
      <c r="J97" s="66">
        <f>+J96</f>
        <v>1.5</v>
      </c>
      <c r="K97" s="111">
        <f>+K96</f>
        <v>1.5</v>
      </c>
      <c r="L97" s="111">
        <f>+L96</f>
        <v>1.5</v>
      </c>
      <c r="M97" s="1775"/>
      <c r="N97" s="216"/>
      <c r="O97" s="177"/>
      <c r="P97" s="75"/>
    </row>
    <row r="98" spans="1:19" ht="18.75" customHeight="1" x14ac:dyDescent="0.2">
      <c r="A98" s="421" t="s">
        <v>14</v>
      </c>
      <c r="B98" s="408" t="s">
        <v>14</v>
      </c>
      <c r="C98" s="409" t="s">
        <v>97</v>
      </c>
      <c r="D98" s="645"/>
      <c r="E98" s="645"/>
      <c r="F98" s="1790" t="s">
        <v>157</v>
      </c>
      <c r="G98" s="1209"/>
      <c r="H98" s="420">
        <v>2</v>
      </c>
      <c r="I98" s="13" t="s">
        <v>15</v>
      </c>
      <c r="J98" s="175">
        <v>5.7</v>
      </c>
      <c r="K98" s="175">
        <v>6.4</v>
      </c>
      <c r="L98" s="290">
        <v>4.3</v>
      </c>
      <c r="M98" s="1196" t="s">
        <v>118</v>
      </c>
      <c r="N98" s="250">
        <v>89</v>
      </c>
      <c r="O98" s="251">
        <v>89</v>
      </c>
      <c r="P98" s="252">
        <v>89</v>
      </c>
    </row>
    <row r="99" spans="1:19" ht="16.5" customHeight="1" thickBot="1" x14ac:dyDescent="0.25">
      <c r="A99" s="436"/>
      <c r="B99" s="415"/>
      <c r="C99" s="416"/>
      <c r="D99" s="649"/>
      <c r="E99" s="649"/>
      <c r="F99" s="1786"/>
      <c r="G99" s="1210"/>
      <c r="H99" s="417"/>
      <c r="I99" s="16" t="s">
        <v>16</v>
      </c>
      <c r="J99" s="66">
        <f>SUM(J98)</f>
        <v>5.7</v>
      </c>
      <c r="K99" s="111">
        <f>SUM(K98)</f>
        <v>6.4</v>
      </c>
      <c r="L99" s="187">
        <f>SUM(L98)</f>
        <v>4.3</v>
      </c>
      <c r="M99" s="1679"/>
      <c r="N99" s="216"/>
      <c r="O99" s="177"/>
      <c r="P99" s="75"/>
    </row>
    <row r="100" spans="1:19" ht="28.5" customHeight="1" x14ac:dyDescent="0.2">
      <c r="A100" s="421" t="s">
        <v>14</v>
      </c>
      <c r="B100" s="408" t="s">
        <v>14</v>
      </c>
      <c r="C100" s="409" t="s">
        <v>267</v>
      </c>
      <c r="D100" s="645"/>
      <c r="E100" s="645"/>
      <c r="F100" s="1780" t="s">
        <v>617</v>
      </c>
      <c r="G100" s="337"/>
      <c r="H100" s="438">
        <v>1</v>
      </c>
      <c r="I100" s="213" t="s">
        <v>15</v>
      </c>
      <c r="J100" s="592"/>
      <c r="K100" s="701">
        <v>50</v>
      </c>
      <c r="L100" s="702">
        <v>6</v>
      </c>
      <c r="M100" s="109" t="s">
        <v>167</v>
      </c>
      <c r="N100" s="439"/>
      <c r="O100" s="440">
        <v>1</v>
      </c>
      <c r="P100" s="375"/>
    </row>
    <row r="101" spans="1:19" ht="28.5" customHeight="1" thickBot="1" x14ac:dyDescent="0.25">
      <c r="A101" s="436"/>
      <c r="B101" s="415"/>
      <c r="C101" s="416"/>
      <c r="D101" s="649"/>
      <c r="E101" s="649"/>
      <c r="F101" s="1773"/>
      <c r="G101" s="338"/>
      <c r="H101" s="419"/>
      <c r="I101" s="16" t="s">
        <v>16</v>
      </c>
      <c r="J101" s="186"/>
      <c r="K101" s="285">
        <f>+K100</f>
        <v>50</v>
      </c>
      <c r="L101" s="258">
        <f>+L100</f>
        <v>6</v>
      </c>
      <c r="M101" s="74" t="s">
        <v>168</v>
      </c>
      <c r="N101" s="215"/>
      <c r="O101" s="293"/>
      <c r="P101" s="68">
        <v>1</v>
      </c>
    </row>
    <row r="102" spans="1:19" ht="13.5" customHeight="1" thickBot="1" x14ac:dyDescent="0.25">
      <c r="A102" s="441" t="s">
        <v>14</v>
      </c>
      <c r="B102" s="442" t="s">
        <v>14</v>
      </c>
      <c r="C102" s="1751" t="s">
        <v>20</v>
      </c>
      <c r="D102" s="1752"/>
      <c r="E102" s="1752"/>
      <c r="F102" s="1752"/>
      <c r="G102" s="1752"/>
      <c r="H102" s="1752"/>
      <c r="I102" s="1890"/>
      <c r="J102" s="806">
        <f>J95+J92+J90+J88+J81+J97+J99+J101</f>
        <v>80535.499999999985</v>
      </c>
      <c r="K102" s="807">
        <f>K95+K92+K90+K88+K81+K97+K99+K101</f>
        <v>79600.699999999983</v>
      </c>
      <c r="L102" s="808">
        <f>L95+L92+L90+L88+L81+L97+L99+L101</f>
        <v>79184.399999999994</v>
      </c>
      <c r="M102" s="443"/>
      <c r="N102" s="444"/>
      <c r="O102" s="444"/>
      <c r="P102" s="445"/>
    </row>
    <row r="103" spans="1:19" ht="15.75" customHeight="1" thickBot="1" x14ac:dyDescent="0.25">
      <c r="A103" s="441" t="s">
        <v>14</v>
      </c>
      <c r="B103" s="1891" t="s">
        <v>6</v>
      </c>
      <c r="C103" s="1892"/>
      <c r="D103" s="1892"/>
      <c r="E103" s="1892"/>
      <c r="F103" s="1892"/>
      <c r="G103" s="1892"/>
      <c r="H103" s="1892"/>
      <c r="I103" s="1893"/>
      <c r="J103" s="810">
        <f t="shared" ref="J103:L103" si="4">J102</f>
        <v>80535.499999999985</v>
      </c>
      <c r="K103" s="811">
        <f t="shared" si="4"/>
        <v>79600.699999999983</v>
      </c>
      <c r="L103" s="811">
        <f t="shared" si="4"/>
        <v>79184.399999999994</v>
      </c>
      <c r="M103" s="446"/>
      <c r="N103" s="340"/>
      <c r="O103" s="340"/>
      <c r="P103" s="341"/>
    </row>
    <row r="104" spans="1:19" ht="15.75" customHeight="1" thickBot="1" x14ac:dyDescent="0.25">
      <c r="A104" s="447" t="s">
        <v>17</v>
      </c>
      <c r="B104" s="1894" t="s">
        <v>37</v>
      </c>
      <c r="C104" s="1895"/>
      <c r="D104" s="1895"/>
      <c r="E104" s="1895"/>
      <c r="F104" s="1895"/>
      <c r="G104" s="1895"/>
      <c r="H104" s="1895"/>
      <c r="I104" s="1895"/>
      <c r="J104" s="1895"/>
      <c r="K104" s="1895"/>
      <c r="L104" s="1895"/>
      <c r="M104" s="1895"/>
      <c r="N104" s="1895"/>
      <c r="O104" s="1895"/>
      <c r="P104" s="1896"/>
    </row>
    <row r="105" spans="1:19" ht="15.75" customHeight="1" thickBot="1" x14ac:dyDescent="0.25">
      <c r="A105" s="448" t="s">
        <v>17</v>
      </c>
      <c r="B105" s="449" t="s">
        <v>14</v>
      </c>
      <c r="C105" s="1897" t="s">
        <v>33</v>
      </c>
      <c r="D105" s="1761"/>
      <c r="E105" s="1761"/>
      <c r="F105" s="1761"/>
      <c r="G105" s="1761"/>
      <c r="H105" s="1761"/>
      <c r="I105" s="1761"/>
      <c r="J105" s="1761"/>
      <c r="K105" s="1761"/>
      <c r="L105" s="1761"/>
      <c r="M105" s="1761"/>
      <c r="N105" s="1761"/>
      <c r="O105" s="1761"/>
      <c r="P105" s="1762"/>
    </row>
    <row r="106" spans="1:19" s="17" customFormat="1" ht="24" customHeight="1" x14ac:dyDescent="0.2">
      <c r="A106" s="1876" t="s">
        <v>17</v>
      </c>
      <c r="B106" s="1879" t="s">
        <v>14</v>
      </c>
      <c r="C106" s="1882" t="s">
        <v>14</v>
      </c>
      <c r="D106" s="650"/>
      <c r="E106" s="650"/>
      <c r="F106" s="1780" t="s">
        <v>241</v>
      </c>
      <c r="G106" s="1885"/>
      <c r="H106" s="952">
        <v>5</v>
      </c>
      <c r="I106" s="1064" t="s">
        <v>15</v>
      </c>
      <c r="J106" s="775">
        <v>218.6</v>
      </c>
      <c r="K106" s="757"/>
      <c r="L106" s="857"/>
      <c r="M106" s="1887" t="s">
        <v>242</v>
      </c>
      <c r="N106" s="318">
        <v>6</v>
      </c>
      <c r="O106" s="1683">
        <v>6</v>
      </c>
      <c r="P106" s="316">
        <v>6</v>
      </c>
    </row>
    <row r="107" spans="1:19" s="17" customFormat="1" ht="16.5" customHeight="1" x14ac:dyDescent="0.2">
      <c r="A107" s="1877"/>
      <c r="B107" s="1880"/>
      <c r="C107" s="1883"/>
      <c r="D107" s="949"/>
      <c r="E107" s="949"/>
      <c r="F107" s="1858"/>
      <c r="G107" s="1864"/>
      <c r="H107" s="952">
        <v>2</v>
      </c>
      <c r="I107" s="1065" t="s">
        <v>15</v>
      </c>
      <c r="J107" s="954"/>
      <c r="K107" s="162">
        <v>65.2</v>
      </c>
      <c r="L107" s="886">
        <v>86.1</v>
      </c>
      <c r="M107" s="1888"/>
      <c r="N107" s="279"/>
      <c r="O107" s="57"/>
      <c r="P107" s="948"/>
    </row>
    <row r="108" spans="1:19" s="17" customFormat="1" ht="15.75" customHeight="1" thickBot="1" x14ac:dyDescent="0.25">
      <c r="A108" s="1878"/>
      <c r="B108" s="1881"/>
      <c r="C108" s="1884"/>
      <c r="D108" s="651"/>
      <c r="E108" s="651"/>
      <c r="F108" s="1773"/>
      <c r="G108" s="1886"/>
      <c r="H108" s="951"/>
      <c r="I108" s="1066" t="s">
        <v>16</v>
      </c>
      <c r="J108" s="703">
        <f>SUM(J106:J107)</f>
        <v>218.6</v>
      </c>
      <c r="K108" s="167">
        <f>SUM(K106:K107)</f>
        <v>65.2</v>
      </c>
      <c r="L108" s="167">
        <f>SUM(L106:L107)</f>
        <v>86.1</v>
      </c>
      <c r="M108" s="1889"/>
      <c r="N108" s="324"/>
      <c r="O108" s="530"/>
      <c r="P108" s="413"/>
    </row>
    <row r="109" spans="1:19" ht="15" customHeight="1" x14ac:dyDescent="0.2">
      <c r="A109" s="407" t="s">
        <v>17</v>
      </c>
      <c r="B109" s="408" t="s">
        <v>14</v>
      </c>
      <c r="C109" s="409" t="s">
        <v>17</v>
      </c>
      <c r="D109" s="652"/>
      <c r="E109" s="652"/>
      <c r="F109" s="1904" t="s">
        <v>169</v>
      </c>
      <c r="G109" s="451" t="s">
        <v>2</v>
      </c>
      <c r="H109" s="410">
        <v>5</v>
      </c>
      <c r="I109" s="515" t="s">
        <v>15</v>
      </c>
      <c r="J109" s="787">
        <f>97+306.8-306.8</f>
        <v>97</v>
      </c>
      <c r="K109" s="787">
        <f>740.6-100+500</f>
        <v>1140.5999999999999</v>
      </c>
      <c r="L109" s="787">
        <f>1733.3+100+2093.2-200</f>
        <v>3726.5</v>
      </c>
      <c r="M109" s="516"/>
      <c r="N109" s="411"/>
      <c r="O109" s="453"/>
      <c r="P109" s="454"/>
      <c r="Q109" s="455"/>
    </row>
    <row r="110" spans="1:19" ht="15" customHeight="1" x14ac:dyDescent="0.2">
      <c r="A110" s="398"/>
      <c r="B110" s="381"/>
      <c r="C110" s="382"/>
      <c r="D110" s="653"/>
      <c r="E110" s="653"/>
      <c r="F110" s="1905"/>
      <c r="G110" s="451"/>
      <c r="H110" s="370"/>
      <c r="I110" s="698" t="s">
        <v>98</v>
      </c>
      <c r="J110" s="621">
        <f>98.3+306.8</f>
        <v>405.1</v>
      </c>
      <c r="K110" s="621"/>
      <c r="L110" s="621"/>
      <c r="M110" s="14"/>
      <c r="N110" s="388"/>
      <c r="O110" s="459"/>
      <c r="P110" s="460"/>
      <c r="Q110" s="455"/>
    </row>
    <row r="111" spans="1:19" ht="15" customHeight="1" x14ac:dyDescent="0.2">
      <c r="A111" s="398"/>
      <c r="B111" s="381"/>
      <c r="C111" s="382"/>
      <c r="D111" s="653"/>
      <c r="E111" s="653"/>
      <c r="F111" s="1905"/>
      <c r="G111" s="172"/>
      <c r="H111" s="370"/>
      <c r="I111" s="1068" t="s">
        <v>101</v>
      </c>
      <c r="J111" s="116">
        <v>613.5</v>
      </c>
      <c r="K111" s="116">
        <v>399.2</v>
      </c>
      <c r="L111" s="116"/>
      <c r="M111" s="14"/>
      <c r="N111" s="388"/>
      <c r="O111" s="459"/>
      <c r="P111" s="460"/>
      <c r="Q111" s="140"/>
      <c r="R111" s="1699"/>
      <c r="S111" s="219"/>
    </row>
    <row r="112" spans="1:19" ht="15" customHeight="1" x14ac:dyDescent="0.2">
      <c r="A112" s="398"/>
      <c r="B112" s="381"/>
      <c r="C112" s="382"/>
      <c r="D112" s="653"/>
      <c r="E112" s="653"/>
      <c r="F112" s="1686"/>
      <c r="G112" s="172"/>
      <c r="H112" s="370"/>
      <c r="I112" s="1068" t="s">
        <v>712</v>
      </c>
      <c r="J112" s="621">
        <v>8.1</v>
      </c>
      <c r="K112" s="621"/>
      <c r="L112" s="621"/>
      <c r="M112" s="14"/>
      <c r="N112" s="388"/>
      <c r="O112" s="459"/>
      <c r="P112" s="460"/>
      <c r="Q112" s="140"/>
      <c r="R112" s="1699"/>
      <c r="S112" s="219"/>
    </row>
    <row r="113" spans="1:19" ht="15" customHeight="1" x14ac:dyDescent="0.2">
      <c r="A113" s="398"/>
      <c r="B113" s="381"/>
      <c r="C113" s="382"/>
      <c r="D113" s="653"/>
      <c r="E113" s="653"/>
      <c r="F113" s="1686"/>
      <c r="G113" s="172"/>
      <c r="H113" s="412"/>
      <c r="I113" s="1067" t="s">
        <v>18</v>
      </c>
      <c r="J113" s="621">
        <v>54.1</v>
      </c>
      <c r="K113" s="621">
        <v>35.200000000000003</v>
      </c>
      <c r="L113" s="621"/>
      <c r="M113" s="14"/>
      <c r="N113" s="388"/>
      <c r="O113" s="459"/>
      <c r="P113" s="460"/>
      <c r="Q113" s="140"/>
      <c r="R113" s="1699"/>
      <c r="S113" s="219"/>
    </row>
    <row r="114" spans="1:19" ht="15" customHeight="1" x14ac:dyDescent="0.2">
      <c r="A114" s="398"/>
      <c r="B114" s="381"/>
      <c r="C114" s="382"/>
      <c r="D114" s="653"/>
      <c r="E114" s="653"/>
      <c r="F114" s="1686"/>
      <c r="G114" s="172"/>
      <c r="H114" s="412"/>
      <c r="I114" s="698" t="s">
        <v>714</v>
      </c>
      <c r="J114" s="524">
        <v>0.7</v>
      </c>
      <c r="K114" s="524"/>
      <c r="L114" s="524"/>
      <c r="M114" s="14"/>
      <c r="N114" s="388"/>
      <c r="O114" s="459"/>
      <c r="P114" s="460"/>
      <c r="Q114" s="140"/>
      <c r="R114" s="1699"/>
      <c r="S114" s="219"/>
    </row>
    <row r="115" spans="1:19" ht="15" customHeight="1" thickBot="1" x14ac:dyDescent="0.25">
      <c r="A115" s="398"/>
      <c r="B115" s="381"/>
      <c r="C115" s="382"/>
      <c r="D115" s="653"/>
      <c r="E115" s="653"/>
      <c r="F115" s="1686"/>
      <c r="G115" s="172"/>
      <c r="H115" s="412"/>
      <c r="I115" s="1103" t="s">
        <v>214</v>
      </c>
      <c r="J115" s="524">
        <v>200</v>
      </c>
      <c r="K115" s="524">
        <v>2900</v>
      </c>
      <c r="L115" s="524">
        <v>2900</v>
      </c>
      <c r="M115" s="14"/>
      <c r="N115" s="388"/>
      <c r="O115" s="459"/>
      <c r="P115" s="460"/>
      <c r="Q115" s="140"/>
      <c r="R115" s="1699"/>
      <c r="S115" s="219"/>
    </row>
    <row r="116" spans="1:19" ht="20.25" customHeight="1" x14ac:dyDescent="0.2">
      <c r="A116" s="398"/>
      <c r="B116" s="381"/>
      <c r="C116" s="382"/>
      <c r="D116" s="670" t="s">
        <v>14</v>
      </c>
      <c r="E116" s="670"/>
      <c r="F116" s="1772" t="s">
        <v>253</v>
      </c>
      <c r="G116" s="123"/>
      <c r="H116" s="451"/>
      <c r="I116" s="1069"/>
      <c r="J116" s="548"/>
      <c r="K116" s="542"/>
      <c r="L116" s="814"/>
      <c r="M116" s="1898" t="s">
        <v>103</v>
      </c>
      <c r="N116" s="958">
        <v>5</v>
      </c>
      <c r="O116" s="959">
        <v>2</v>
      </c>
      <c r="P116" s="558"/>
      <c r="Q116" s="632"/>
      <c r="R116" s="632"/>
      <c r="S116" s="219"/>
    </row>
    <row r="117" spans="1:19" ht="20.25" customHeight="1" x14ac:dyDescent="0.2">
      <c r="A117" s="398"/>
      <c r="B117" s="381"/>
      <c r="C117" s="382"/>
      <c r="D117" s="653"/>
      <c r="E117" s="653"/>
      <c r="F117" s="1858"/>
      <c r="G117" s="462"/>
      <c r="H117" s="370"/>
      <c r="I117" s="1069"/>
      <c r="J117" s="548"/>
      <c r="K117" s="542"/>
      <c r="L117" s="814"/>
      <c r="M117" s="1899"/>
      <c r="N117" s="961"/>
      <c r="O117" s="962"/>
      <c r="P117" s="549"/>
      <c r="Q117" s="632"/>
      <c r="R117" s="632"/>
      <c r="S117" s="219"/>
    </row>
    <row r="118" spans="1:19" ht="20.25" customHeight="1" x14ac:dyDescent="0.2">
      <c r="A118" s="398"/>
      <c r="B118" s="381"/>
      <c r="C118" s="382"/>
      <c r="D118" s="653"/>
      <c r="E118" s="653"/>
      <c r="F118" s="1858"/>
      <c r="G118" s="462"/>
      <c r="H118" s="370"/>
      <c r="I118" s="1069"/>
      <c r="J118" s="548"/>
      <c r="K118" s="542"/>
      <c r="L118" s="814"/>
      <c r="M118" s="1900" t="s">
        <v>170</v>
      </c>
      <c r="N118" s="964">
        <v>5</v>
      </c>
      <c r="O118" s="965">
        <v>2</v>
      </c>
      <c r="P118" s="532"/>
      <c r="Q118" s="632"/>
      <c r="R118" s="632"/>
      <c r="S118" s="219"/>
    </row>
    <row r="119" spans="1:19" ht="20.25" customHeight="1" thickBot="1" x14ac:dyDescent="0.25">
      <c r="A119" s="398"/>
      <c r="B119" s="381"/>
      <c r="C119" s="382"/>
      <c r="D119" s="653"/>
      <c r="E119" s="653"/>
      <c r="F119" s="1863"/>
      <c r="G119" s="462"/>
      <c r="H119" s="370"/>
      <c r="I119" s="1069"/>
      <c r="J119" s="548"/>
      <c r="K119" s="542"/>
      <c r="L119" s="814"/>
      <c r="M119" s="1901"/>
      <c r="N119" s="216"/>
      <c r="O119" s="332"/>
      <c r="P119" s="483"/>
      <c r="Q119" s="632"/>
      <c r="R119" s="632"/>
      <c r="S119" s="219"/>
    </row>
    <row r="120" spans="1:19" ht="20.25" customHeight="1" x14ac:dyDescent="0.2">
      <c r="A120" s="398"/>
      <c r="B120" s="381"/>
      <c r="C120" s="382"/>
      <c r="D120" s="670" t="s">
        <v>17</v>
      </c>
      <c r="E120" s="670"/>
      <c r="F120" s="1772" t="s">
        <v>200</v>
      </c>
      <c r="G120" s="463"/>
      <c r="H120" s="383"/>
      <c r="I120" s="1069"/>
      <c r="J120" s="548"/>
      <c r="K120" s="542"/>
      <c r="L120" s="700"/>
      <c r="M120" s="1902" t="s">
        <v>171</v>
      </c>
      <c r="N120" s="967">
        <v>1</v>
      </c>
      <c r="O120" s="968"/>
      <c r="P120" s="969"/>
      <c r="Q120" s="1719"/>
      <c r="R120" s="219"/>
      <c r="S120" s="219"/>
    </row>
    <row r="121" spans="1:19" ht="20.25" customHeight="1" thickBot="1" x14ac:dyDescent="0.25">
      <c r="A121" s="398"/>
      <c r="B121" s="381"/>
      <c r="C121" s="382"/>
      <c r="D121" s="653"/>
      <c r="E121" s="653"/>
      <c r="F121" s="1858"/>
      <c r="G121" s="463"/>
      <c r="H121" s="383"/>
      <c r="I121" s="1069"/>
      <c r="J121" s="548"/>
      <c r="K121" s="542"/>
      <c r="L121" s="700"/>
      <c r="M121" s="1903"/>
      <c r="N121" s="967"/>
      <c r="O121" s="968"/>
      <c r="P121" s="969"/>
      <c r="Q121" s="632"/>
      <c r="R121" s="219"/>
      <c r="S121" s="219"/>
    </row>
    <row r="122" spans="1:19" ht="27.75" customHeight="1" thickBot="1" x14ac:dyDescent="0.25">
      <c r="A122" s="380"/>
      <c r="B122" s="381"/>
      <c r="C122" s="382"/>
      <c r="D122" s="670" t="s">
        <v>19</v>
      </c>
      <c r="E122" s="670"/>
      <c r="F122" s="1673" t="s">
        <v>201</v>
      </c>
      <c r="G122" s="463"/>
      <c r="H122" s="383"/>
      <c r="I122" s="1069"/>
      <c r="J122" s="548"/>
      <c r="K122" s="542"/>
      <c r="L122" s="700"/>
      <c r="M122" s="1150" t="s">
        <v>60</v>
      </c>
      <c r="N122" s="1151">
        <v>5</v>
      </c>
      <c r="O122" s="1152">
        <v>35</v>
      </c>
      <c r="P122" s="1153">
        <v>100</v>
      </c>
      <c r="Q122" s="632"/>
      <c r="R122" s="219"/>
      <c r="S122" s="219"/>
    </row>
    <row r="123" spans="1:19" ht="21" customHeight="1" x14ac:dyDescent="0.2">
      <c r="A123" s="380"/>
      <c r="B123" s="381"/>
      <c r="C123" s="382"/>
      <c r="D123" s="670" t="s">
        <v>21</v>
      </c>
      <c r="E123" s="670"/>
      <c r="F123" s="1772" t="s">
        <v>208</v>
      </c>
      <c r="G123" s="463"/>
      <c r="H123" s="383"/>
      <c r="I123" s="1069"/>
      <c r="J123" s="548"/>
      <c r="K123" s="1070"/>
      <c r="L123" s="1071"/>
      <c r="M123" s="1898" t="s">
        <v>624</v>
      </c>
      <c r="N123" s="1002">
        <v>100</v>
      </c>
      <c r="O123" s="959"/>
      <c r="P123" s="957"/>
      <c r="Q123" s="632"/>
      <c r="R123" s="219"/>
      <c r="S123" s="219"/>
    </row>
    <row r="124" spans="1:19" ht="21" customHeight="1" x14ac:dyDescent="0.2">
      <c r="A124" s="380"/>
      <c r="B124" s="381"/>
      <c r="C124" s="382"/>
      <c r="D124" s="653"/>
      <c r="E124" s="653"/>
      <c r="F124" s="1858"/>
      <c r="G124" s="463"/>
      <c r="H124" s="383"/>
      <c r="I124" s="1069"/>
      <c r="J124" s="548"/>
      <c r="K124" s="1070"/>
      <c r="L124" s="1071"/>
      <c r="M124" s="1909"/>
      <c r="N124" s="1004"/>
      <c r="O124" s="965"/>
      <c r="P124" s="963"/>
      <c r="Q124" s="632"/>
      <c r="R124" s="219"/>
      <c r="S124" s="219"/>
    </row>
    <row r="125" spans="1:19" ht="27.75" customHeight="1" thickBot="1" x14ac:dyDescent="0.25">
      <c r="A125" s="380"/>
      <c r="B125" s="381"/>
      <c r="C125" s="382"/>
      <c r="D125" s="672" t="s">
        <v>22</v>
      </c>
      <c r="E125" s="672"/>
      <c r="F125" s="180" t="s">
        <v>172</v>
      </c>
      <c r="G125" s="463"/>
      <c r="H125" s="383"/>
      <c r="I125" s="1069"/>
      <c r="J125" s="548"/>
      <c r="K125" s="542"/>
      <c r="L125" s="700"/>
      <c r="M125" s="992" t="s">
        <v>53</v>
      </c>
      <c r="N125" s="994"/>
      <c r="O125" s="995">
        <v>1</v>
      </c>
      <c r="P125" s="1154"/>
      <c r="Q125" s="1722"/>
    </row>
    <row r="126" spans="1:19" s="219" customFormat="1" ht="24.75" customHeight="1" x14ac:dyDescent="0.2">
      <c r="A126" s="380"/>
      <c r="B126" s="381"/>
      <c r="C126" s="484"/>
      <c r="D126" s="917" t="s">
        <v>96</v>
      </c>
      <c r="E126" s="912"/>
      <c r="F126" s="1780" t="s">
        <v>618</v>
      </c>
      <c r="G126" s="913"/>
      <c r="H126" s="438">
        <v>6</v>
      </c>
      <c r="I126" s="1111" t="s">
        <v>15</v>
      </c>
      <c r="J126" s="701">
        <f>1166.7-11</f>
        <v>1155.7</v>
      </c>
      <c r="K126" s="1112">
        <v>1620</v>
      </c>
      <c r="L126" s="290">
        <v>1460</v>
      </c>
      <c r="M126" s="914" t="s">
        <v>59</v>
      </c>
      <c r="N126" s="250">
        <v>1</v>
      </c>
      <c r="O126" s="904"/>
      <c r="P126" s="491"/>
      <c r="Q126" s="140"/>
      <c r="R126" s="140"/>
      <c r="S126" s="140"/>
    </row>
    <row r="127" spans="1:19" s="219" customFormat="1" ht="18" customHeight="1" x14ac:dyDescent="0.2">
      <c r="A127" s="380"/>
      <c r="B127" s="381"/>
      <c r="C127" s="484"/>
      <c r="D127" s="665"/>
      <c r="E127" s="300"/>
      <c r="F127" s="1858"/>
      <c r="G127" s="903"/>
      <c r="H127" s="383"/>
      <c r="I127" s="1734" t="s">
        <v>98</v>
      </c>
      <c r="J127" s="114">
        <v>302.5</v>
      </c>
      <c r="K127" s="281"/>
      <c r="L127" s="814"/>
      <c r="M127" s="1678" t="s">
        <v>116</v>
      </c>
      <c r="N127" s="93"/>
      <c r="O127" s="1729"/>
      <c r="P127" s="287">
        <v>100</v>
      </c>
      <c r="Q127" s="1699"/>
    </row>
    <row r="128" spans="1:19" ht="18.75" customHeight="1" x14ac:dyDescent="0.2">
      <c r="A128" s="380"/>
      <c r="B128" s="381"/>
      <c r="C128" s="378"/>
      <c r="D128" s="669" t="s">
        <v>97</v>
      </c>
      <c r="E128" s="674"/>
      <c r="F128" s="1772" t="s">
        <v>689</v>
      </c>
      <c r="G128" s="475"/>
      <c r="H128" s="361"/>
      <c r="I128" s="1734"/>
      <c r="J128" s="190"/>
      <c r="K128" s="281"/>
      <c r="L128" s="1107"/>
      <c r="M128" s="198" t="s">
        <v>205</v>
      </c>
      <c r="N128" s="85">
        <v>3</v>
      </c>
      <c r="O128" s="1728">
        <v>3</v>
      </c>
      <c r="P128" s="280">
        <v>2</v>
      </c>
      <c r="Q128" s="902"/>
      <c r="R128" s="455"/>
    </row>
    <row r="129" spans="1:19" ht="30" customHeight="1" x14ac:dyDescent="0.2">
      <c r="A129" s="380"/>
      <c r="B129" s="381"/>
      <c r="C129" s="378"/>
      <c r="D129" s="668"/>
      <c r="E129" s="675"/>
      <c r="F129" s="1863"/>
      <c r="G129" s="475"/>
      <c r="H129" s="361"/>
      <c r="I129" s="1711"/>
      <c r="J129" s="1108"/>
      <c r="K129" s="1109"/>
      <c r="L129" s="1110"/>
      <c r="M129" s="208" t="s">
        <v>191</v>
      </c>
      <c r="N129" s="121">
        <v>1</v>
      </c>
      <c r="O129" s="54">
        <v>1</v>
      </c>
      <c r="P129" s="933"/>
      <c r="Q129" s="455"/>
      <c r="R129" s="455"/>
    </row>
    <row r="130" spans="1:19" ht="21" customHeight="1" x14ac:dyDescent="0.2">
      <c r="A130" s="398"/>
      <c r="B130" s="381"/>
      <c r="C130" s="365"/>
      <c r="D130" s="670" t="s">
        <v>267</v>
      </c>
      <c r="E130" s="670"/>
      <c r="F130" s="1839" t="s">
        <v>173</v>
      </c>
      <c r="G130" s="368"/>
      <c r="H130" s="368"/>
      <c r="I130" s="1734"/>
      <c r="J130" s="255"/>
      <c r="K130" s="243"/>
      <c r="L130" s="820"/>
      <c r="M130" s="1910" t="s">
        <v>147</v>
      </c>
      <c r="N130" s="223">
        <v>50</v>
      </c>
      <c r="O130" s="1074">
        <v>100</v>
      </c>
      <c r="P130" s="1075"/>
      <c r="Q130" s="350"/>
    </row>
    <row r="131" spans="1:19" ht="21" customHeight="1" x14ac:dyDescent="0.2">
      <c r="A131" s="398"/>
      <c r="B131" s="381"/>
      <c r="C131" s="365"/>
      <c r="D131" s="653"/>
      <c r="E131" s="653"/>
      <c r="F131" s="1840"/>
      <c r="G131" s="368"/>
      <c r="H131" s="368"/>
      <c r="I131" s="1734"/>
      <c r="J131" s="255"/>
      <c r="K131" s="243"/>
      <c r="L131" s="820"/>
      <c r="M131" s="1911"/>
      <c r="N131" s="233"/>
      <c r="O131" s="1089"/>
      <c r="P131" s="1090"/>
      <c r="Q131" s="350"/>
    </row>
    <row r="132" spans="1:19" ht="30.75" customHeight="1" x14ac:dyDescent="0.2">
      <c r="A132" s="398"/>
      <c r="B132" s="381"/>
      <c r="C132" s="467"/>
      <c r="D132" s="1155" t="s">
        <v>268</v>
      </c>
      <c r="E132" s="684"/>
      <c r="F132" s="1906" t="s">
        <v>202</v>
      </c>
      <c r="G132" s="383"/>
      <c r="H132" s="383"/>
      <c r="I132" s="1703"/>
      <c r="J132" s="1693"/>
      <c r="K132" s="140"/>
      <c r="L132" s="814"/>
      <c r="M132" s="184" t="s">
        <v>93</v>
      </c>
      <c r="N132" s="689"/>
      <c r="O132" s="934"/>
      <c r="P132" s="935" t="s">
        <v>74</v>
      </c>
    </row>
    <row r="133" spans="1:19" ht="25.5" customHeight="1" x14ac:dyDescent="0.2">
      <c r="A133" s="398"/>
      <c r="B133" s="381"/>
      <c r="C133" s="467"/>
      <c r="D133" s="664"/>
      <c r="E133" s="661"/>
      <c r="F133" s="1905"/>
      <c r="G133" s="383"/>
      <c r="H133" s="383"/>
      <c r="I133" s="1703"/>
      <c r="J133" s="1272"/>
      <c r="K133" s="140"/>
      <c r="L133" s="814"/>
      <c r="M133" s="1156"/>
      <c r="N133" s="1157"/>
      <c r="O133" s="1014"/>
      <c r="P133" s="1015"/>
    </row>
    <row r="134" spans="1:19" ht="13.5" customHeight="1" thickBot="1" x14ac:dyDescent="0.25">
      <c r="A134" s="469"/>
      <c r="B134" s="415"/>
      <c r="C134" s="470"/>
      <c r="D134" s="663"/>
      <c r="E134" s="663"/>
      <c r="F134" s="1908"/>
      <c r="G134" s="1912" t="s">
        <v>16</v>
      </c>
      <c r="H134" s="1913"/>
      <c r="I134" s="1914"/>
      <c r="J134" s="703">
        <f>SUM(J109:J131)</f>
        <v>2836.7</v>
      </c>
      <c r="K134" s="167">
        <f>SUM(K109:K131)</f>
        <v>6095</v>
      </c>
      <c r="L134" s="270">
        <f>SUM(L109:L131)</f>
        <v>8086.5</v>
      </c>
      <c r="M134" s="1149"/>
      <c r="N134" s="471"/>
      <c r="O134" s="472"/>
      <c r="P134" s="473"/>
    </row>
    <row r="135" spans="1:19" ht="16.5" customHeight="1" x14ac:dyDescent="0.2">
      <c r="A135" s="407" t="s">
        <v>17</v>
      </c>
      <c r="B135" s="408" t="s">
        <v>14</v>
      </c>
      <c r="C135" s="356" t="s">
        <v>19</v>
      </c>
      <c r="D135" s="652"/>
      <c r="E135" s="652"/>
      <c r="F135" s="1919" t="s">
        <v>174</v>
      </c>
      <c r="G135" s="178" t="s">
        <v>2</v>
      </c>
      <c r="H135" s="474">
        <v>5</v>
      </c>
      <c r="I135" s="1710" t="s">
        <v>15</v>
      </c>
      <c r="J135" s="1113">
        <v>232.9</v>
      </c>
      <c r="K135" s="1114">
        <v>1670.3</v>
      </c>
      <c r="L135" s="1117">
        <f>400-300</f>
        <v>100</v>
      </c>
      <c r="M135" s="299"/>
      <c r="N135" s="411"/>
      <c r="O135" s="453"/>
      <c r="P135" s="454"/>
      <c r="Q135" s="455"/>
      <c r="R135" s="455"/>
    </row>
    <row r="136" spans="1:19" ht="16.5" customHeight="1" x14ac:dyDescent="0.2">
      <c r="A136" s="398"/>
      <c r="B136" s="381"/>
      <c r="C136" s="365"/>
      <c r="D136" s="653"/>
      <c r="E136" s="653"/>
      <c r="F136" s="1840"/>
      <c r="G136" s="189"/>
      <c r="H136" s="475"/>
      <c r="I136" s="1072" t="s">
        <v>98</v>
      </c>
      <c r="J136" s="96">
        <v>125.3</v>
      </c>
      <c r="K136" s="117"/>
      <c r="L136" s="129"/>
      <c r="M136" s="1669"/>
      <c r="N136" s="388"/>
      <c r="O136" s="459"/>
      <c r="P136" s="460"/>
      <c r="Q136" s="455"/>
      <c r="R136" s="455"/>
    </row>
    <row r="137" spans="1:19" ht="16.5" customHeight="1" x14ac:dyDescent="0.2">
      <c r="A137" s="398"/>
      <c r="B137" s="381"/>
      <c r="C137" s="365"/>
      <c r="D137" s="653"/>
      <c r="E137" s="653"/>
      <c r="F137" s="1840"/>
      <c r="G137" s="189"/>
      <c r="H137" s="475"/>
      <c r="I137" s="1711" t="s">
        <v>214</v>
      </c>
      <c r="J137" s="203"/>
      <c r="K137" s="245"/>
      <c r="L137" s="873">
        <v>922.8</v>
      </c>
      <c r="M137" s="1669"/>
      <c r="N137" s="388"/>
      <c r="O137" s="459"/>
      <c r="P137" s="460"/>
    </row>
    <row r="138" spans="1:19" ht="16.5" customHeight="1" x14ac:dyDescent="0.2">
      <c r="A138" s="398"/>
      <c r="B138" s="381"/>
      <c r="C138" s="365"/>
      <c r="D138" s="653"/>
      <c r="E138" s="653"/>
      <c r="F138" s="1667"/>
      <c r="G138" s="189"/>
      <c r="H138" s="475"/>
      <c r="I138" s="1120" t="s">
        <v>101</v>
      </c>
      <c r="J138" s="1121">
        <v>90</v>
      </c>
      <c r="K138" s="1122">
        <v>789.1</v>
      </c>
      <c r="L138" s="248"/>
      <c r="M138" s="1669"/>
      <c r="N138" s="388"/>
      <c r="O138" s="1118"/>
      <c r="P138" s="460"/>
    </row>
    <row r="139" spans="1:19" ht="29.25" customHeight="1" x14ac:dyDescent="0.2">
      <c r="A139" s="398"/>
      <c r="B139" s="381"/>
      <c r="C139" s="382"/>
      <c r="D139" s="670" t="s">
        <v>14</v>
      </c>
      <c r="E139" s="670"/>
      <c r="F139" s="1906" t="s">
        <v>628</v>
      </c>
      <c r="G139" s="123"/>
      <c r="H139" s="451"/>
      <c r="I139" s="1069"/>
      <c r="J139" s="548"/>
      <c r="K139" s="542"/>
      <c r="L139" s="700"/>
      <c r="M139" s="1678" t="s">
        <v>53</v>
      </c>
      <c r="N139" s="93">
        <v>1</v>
      </c>
      <c r="O139" s="1729"/>
      <c r="P139" s="287"/>
      <c r="Q139" s="632"/>
      <c r="R139" s="632"/>
      <c r="S139" s="219"/>
    </row>
    <row r="140" spans="1:19" ht="28.5" customHeight="1" x14ac:dyDescent="0.2">
      <c r="A140" s="1303"/>
      <c r="B140" s="1304"/>
      <c r="C140" s="1305"/>
      <c r="D140" s="671"/>
      <c r="E140" s="671"/>
      <c r="F140" s="1907"/>
      <c r="G140" s="1306"/>
      <c r="H140" s="1307"/>
      <c r="I140" s="1308"/>
      <c r="J140" s="1105"/>
      <c r="K140" s="1106"/>
      <c r="L140" s="1123"/>
      <c r="M140" s="73" t="s">
        <v>93</v>
      </c>
      <c r="N140" s="207"/>
      <c r="O140" s="292"/>
      <c r="P140" s="464">
        <v>35</v>
      </c>
      <c r="Q140" s="632"/>
      <c r="R140" s="632"/>
      <c r="S140" s="219"/>
    </row>
    <row r="141" spans="1:19" ht="18.75" customHeight="1" x14ac:dyDescent="0.2">
      <c r="A141" s="398"/>
      <c r="B141" s="381"/>
      <c r="C141" s="365"/>
      <c r="D141" s="653" t="s">
        <v>17</v>
      </c>
      <c r="E141" s="653"/>
      <c r="F141" s="1858" t="s">
        <v>690</v>
      </c>
      <c r="G141" s="148"/>
      <c r="H141" s="368"/>
      <c r="I141" s="1073"/>
      <c r="J141" s="1124"/>
      <c r="K141" s="1125"/>
      <c r="L141" s="1071"/>
      <c r="M141" s="1920" t="s">
        <v>53</v>
      </c>
      <c r="N141" s="1021">
        <v>1</v>
      </c>
      <c r="O141" s="1022"/>
      <c r="P141" s="122"/>
    </row>
    <row r="142" spans="1:19" ht="18.75" customHeight="1" x14ac:dyDescent="0.2">
      <c r="A142" s="398"/>
      <c r="B142" s="381"/>
      <c r="C142" s="365"/>
      <c r="D142" s="653"/>
      <c r="E142" s="653"/>
      <c r="F142" s="1858"/>
      <c r="G142" s="148"/>
      <c r="H142" s="368"/>
      <c r="I142" s="1073"/>
      <c r="J142" s="548"/>
      <c r="K142" s="1126"/>
      <c r="L142" s="700"/>
      <c r="M142" s="1921"/>
      <c r="N142" s="1017"/>
      <c r="O142" s="1018"/>
      <c r="P142" s="122"/>
    </row>
    <row r="143" spans="1:19" ht="18.75" customHeight="1" x14ac:dyDescent="0.2">
      <c r="A143" s="398"/>
      <c r="B143" s="381"/>
      <c r="C143" s="365"/>
      <c r="D143" s="653"/>
      <c r="E143" s="653"/>
      <c r="F143" s="1858"/>
      <c r="G143" s="148"/>
      <c r="H143" s="368"/>
      <c r="I143" s="1073"/>
      <c r="J143" s="548"/>
      <c r="K143" s="542"/>
      <c r="L143" s="700"/>
      <c r="M143" s="1076" t="s">
        <v>117</v>
      </c>
      <c r="N143" s="1077">
        <v>15</v>
      </c>
      <c r="O143" s="1078">
        <v>100</v>
      </c>
      <c r="P143" s="933"/>
    </row>
    <row r="144" spans="1:19" ht="26.25" customHeight="1" x14ac:dyDescent="0.2">
      <c r="A144" s="398"/>
      <c r="B144" s="381"/>
      <c r="C144" s="382"/>
      <c r="D144" s="670" t="s">
        <v>19</v>
      </c>
      <c r="E144" s="670"/>
      <c r="F144" s="230" t="s">
        <v>691</v>
      </c>
      <c r="G144" s="148"/>
      <c r="H144" s="368"/>
      <c r="I144" s="1073"/>
      <c r="J144" s="548"/>
      <c r="K144" s="542"/>
      <c r="L144" s="700"/>
      <c r="M144" s="1029" t="s">
        <v>53</v>
      </c>
      <c r="N144" s="1031">
        <v>2</v>
      </c>
      <c r="O144" s="1032">
        <v>5</v>
      </c>
      <c r="P144" s="1033"/>
      <c r="R144" s="91"/>
      <c r="S144" s="91"/>
    </row>
    <row r="145" spans="1:20" ht="26.25" customHeight="1" x14ac:dyDescent="0.2">
      <c r="A145" s="398"/>
      <c r="B145" s="381"/>
      <c r="C145" s="382"/>
      <c r="D145" s="653"/>
      <c r="E145" s="653"/>
      <c r="F145" s="1858" t="s">
        <v>692</v>
      </c>
      <c r="G145" s="148"/>
      <c r="H145" s="57"/>
      <c r="I145" s="1073"/>
      <c r="J145" s="548"/>
      <c r="K145" s="542"/>
      <c r="L145" s="700"/>
      <c r="M145" s="1116" t="s">
        <v>62</v>
      </c>
      <c r="N145" s="1091"/>
      <c r="O145" s="1092">
        <v>10</v>
      </c>
      <c r="P145" s="1093">
        <v>30</v>
      </c>
      <c r="R145" s="91"/>
      <c r="S145" s="91"/>
    </row>
    <row r="146" spans="1:20" ht="26.25" customHeight="1" x14ac:dyDescent="0.2">
      <c r="A146" s="380"/>
      <c r="B146" s="381"/>
      <c r="C146" s="382"/>
      <c r="D146" s="653"/>
      <c r="E146" s="653"/>
      <c r="F146" s="1863"/>
      <c r="G146" s="148"/>
      <c r="H146" s="57"/>
      <c r="I146" s="1073"/>
      <c r="J146" s="548"/>
      <c r="K146" s="542"/>
      <c r="L146" s="700"/>
      <c r="M146" s="1034"/>
      <c r="N146" s="991"/>
      <c r="O146" s="972"/>
      <c r="P146" s="1036"/>
      <c r="R146" s="91"/>
      <c r="S146" s="91"/>
    </row>
    <row r="147" spans="1:20" ht="15.75" customHeight="1" x14ac:dyDescent="0.2">
      <c r="A147" s="398"/>
      <c r="B147" s="381"/>
      <c r="C147" s="382"/>
      <c r="D147" s="670" t="s">
        <v>21</v>
      </c>
      <c r="E147" s="670"/>
      <c r="F147" s="1768" t="s">
        <v>175</v>
      </c>
      <c r="G147" s="462"/>
      <c r="H147" s="370"/>
      <c r="I147" s="1073"/>
      <c r="J147" s="548"/>
      <c r="K147" s="542"/>
      <c r="L147" s="700"/>
      <c r="M147" s="1916" t="s">
        <v>59</v>
      </c>
      <c r="N147" s="1038">
        <v>1</v>
      </c>
      <c r="O147" s="1000"/>
      <c r="P147" s="1039"/>
      <c r="Q147" s="477"/>
    </row>
    <row r="148" spans="1:20" ht="15.75" customHeight="1" x14ac:dyDescent="0.2">
      <c r="A148" s="380"/>
      <c r="B148" s="381"/>
      <c r="C148" s="478"/>
      <c r="D148" s="653"/>
      <c r="E148" s="653"/>
      <c r="F148" s="1791"/>
      <c r="G148" s="462"/>
      <c r="H148" s="370"/>
      <c r="I148" s="1073"/>
      <c r="J148" s="548"/>
      <c r="K148" s="542"/>
      <c r="L148" s="700"/>
      <c r="M148" s="1917"/>
      <c r="N148" s="1040"/>
      <c r="O148" s="965"/>
      <c r="P148" s="1041"/>
      <c r="Q148" s="477"/>
    </row>
    <row r="149" spans="1:20" ht="15.75" customHeight="1" x14ac:dyDescent="0.2">
      <c r="A149" s="380"/>
      <c r="B149" s="381"/>
      <c r="C149" s="478"/>
      <c r="D149" s="653"/>
      <c r="E149" s="653"/>
      <c r="F149" s="1791"/>
      <c r="G149" s="479"/>
      <c r="H149" s="480"/>
      <c r="I149" s="1073"/>
      <c r="J149" s="707"/>
      <c r="K149" s="710"/>
      <c r="L149" s="711"/>
      <c r="M149" s="1922" t="s">
        <v>77</v>
      </c>
      <c r="N149" s="1146"/>
      <c r="O149" s="1092"/>
      <c r="P149" s="1147">
        <v>100</v>
      </c>
    </row>
    <row r="150" spans="1:20" ht="13.5" customHeight="1" thickBot="1" x14ac:dyDescent="0.25">
      <c r="A150" s="469"/>
      <c r="B150" s="415"/>
      <c r="C150" s="416"/>
      <c r="D150" s="663"/>
      <c r="E150" s="663"/>
      <c r="F150" s="1681"/>
      <c r="G150" s="1787" t="s">
        <v>16</v>
      </c>
      <c r="H150" s="1788"/>
      <c r="I150" s="1789"/>
      <c r="J150" s="66">
        <f>SUM(J135:J149)</f>
        <v>448.2</v>
      </c>
      <c r="K150" s="1115">
        <f t="shared" ref="K150" si="5">SUM(K135:K149)</f>
        <v>2459.4</v>
      </c>
      <c r="L150" s="437">
        <f>SUM(L135:L149)</f>
        <v>1022.8</v>
      </c>
      <c r="M150" s="1923"/>
      <c r="N150" s="216"/>
      <c r="O150" s="332"/>
      <c r="P150" s="483"/>
      <c r="Q150" s="455"/>
      <c r="R150" s="455"/>
      <c r="S150" s="104"/>
      <c r="T150" s="1918"/>
    </row>
    <row r="151" spans="1:20" ht="15.75" customHeight="1" x14ac:dyDescent="0.2">
      <c r="A151" s="407" t="s">
        <v>17</v>
      </c>
      <c r="B151" s="408" t="s">
        <v>14</v>
      </c>
      <c r="C151" s="409" t="s">
        <v>21</v>
      </c>
      <c r="D151" s="652"/>
      <c r="E151" s="652"/>
      <c r="F151" s="1904" t="s">
        <v>176</v>
      </c>
      <c r="G151" s="24" t="s">
        <v>2</v>
      </c>
      <c r="H151" s="482">
        <v>5</v>
      </c>
      <c r="I151" s="1735" t="s">
        <v>15</v>
      </c>
      <c r="J151" s="543">
        <f>225.9-45.1</f>
        <v>180.8</v>
      </c>
      <c r="K151" s="1081">
        <v>634.29999999999995</v>
      </c>
      <c r="L151" s="835"/>
      <c r="M151" s="580"/>
      <c r="N151" s="411"/>
      <c r="O151" s="453"/>
      <c r="P151" s="454"/>
      <c r="R151" s="104"/>
      <c r="S151" s="104"/>
      <c r="T151" s="1918"/>
    </row>
    <row r="152" spans="1:20" ht="15.75" customHeight="1" x14ac:dyDescent="0.2">
      <c r="A152" s="398"/>
      <c r="B152" s="381"/>
      <c r="C152" s="382"/>
      <c r="D152" s="653"/>
      <c r="E152" s="653"/>
      <c r="F152" s="1905"/>
      <c r="G152" s="231"/>
      <c r="H152" s="451"/>
      <c r="I152" s="1079" t="s">
        <v>101</v>
      </c>
      <c r="J152" s="543">
        <v>423.6</v>
      </c>
      <c r="K152" s="1081">
        <v>106.3</v>
      </c>
      <c r="L152" s="1128"/>
      <c r="M152" s="581"/>
      <c r="N152" s="388"/>
      <c r="O152" s="459"/>
      <c r="P152" s="460"/>
      <c r="R152" s="1688"/>
      <c r="S152" s="1688"/>
      <c r="T152" s="1688"/>
    </row>
    <row r="153" spans="1:20" ht="15.75" customHeight="1" x14ac:dyDescent="0.2">
      <c r="A153" s="398"/>
      <c r="B153" s="381"/>
      <c r="C153" s="382"/>
      <c r="D153" s="653"/>
      <c r="E153" s="653"/>
      <c r="F153" s="1686"/>
      <c r="G153" s="231"/>
      <c r="H153" s="451"/>
      <c r="I153" s="1079" t="s">
        <v>712</v>
      </c>
      <c r="J153" s="544">
        <v>3.1</v>
      </c>
      <c r="K153" s="547"/>
      <c r="L153" s="1364"/>
      <c r="M153" s="581"/>
      <c r="N153" s="388"/>
      <c r="O153" s="459"/>
      <c r="P153" s="460"/>
      <c r="R153" s="1688"/>
      <c r="S153" s="1688"/>
      <c r="T153" s="1688"/>
    </row>
    <row r="154" spans="1:20" ht="15.75" customHeight="1" x14ac:dyDescent="0.2">
      <c r="A154" s="398"/>
      <c r="B154" s="381"/>
      <c r="C154" s="382"/>
      <c r="D154" s="653"/>
      <c r="E154" s="653"/>
      <c r="F154" s="1686"/>
      <c r="G154" s="231"/>
      <c r="H154" s="451"/>
      <c r="I154" s="1120" t="s">
        <v>214</v>
      </c>
      <c r="J154" s="1127"/>
      <c r="K154" s="547">
        <v>86.5</v>
      </c>
      <c r="L154" s="551">
        <f>1255.8-178.6</f>
        <v>1077.2</v>
      </c>
      <c r="M154" s="581"/>
      <c r="N154" s="388"/>
      <c r="O154" s="459"/>
      <c r="P154" s="460"/>
      <c r="R154" s="1688"/>
      <c r="S154" s="1688"/>
      <c r="T154" s="1688"/>
    </row>
    <row r="155" spans="1:20" ht="15.75" customHeight="1" x14ac:dyDescent="0.2">
      <c r="A155" s="398"/>
      <c r="B155" s="381"/>
      <c r="C155" s="382"/>
      <c r="D155" s="653"/>
      <c r="E155" s="653"/>
      <c r="F155" s="1686"/>
      <c r="G155" s="231"/>
      <c r="H155" s="451"/>
      <c r="I155" s="1120" t="s">
        <v>98</v>
      </c>
      <c r="J155" s="1127">
        <v>2.8</v>
      </c>
      <c r="K155" s="547"/>
      <c r="L155" s="551"/>
      <c r="M155" s="581"/>
      <c r="N155" s="388"/>
      <c r="O155" s="459"/>
      <c r="P155" s="460"/>
      <c r="R155" s="1688"/>
      <c r="S155" s="1688"/>
      <c r="T155" s="1688"/>
    </row>
    <row r="156" spans="1:20" ht="27.75" customHeight="1" x14ac:dyDescent="0.2">
      <c r="A156" s="398"/>
      <c r="B156" s="381"/>
      <c r="C156" s="382"/>
      <c r="D156" s="670" t="s">
        <v>14</v>
      </c>
      <c r="E156" s="670"/>
      <c r="F156" s="1768" t="s">
        <v>177</v>
      </c>
      <c r="G156" s="462"/>
      <c r="H156" s="370"/>
      <c r="I156" s="1080"/>
      <c r="J156" s="548"/>
      <c r="K156" s="1126"/>
      <c r="L156" s="700"/>
      <c r="M156" s="1043" t="s">
        <v>92</v>
      </c>
      <c r="N156" s="999">
        <v>100</v>
      </c>
      <c r="O156" s="1729"/>
      <c r="P156" s="287"/>
      <c r="R156" s="1688"/>
      <c r="S156" s="1688"/>
      <c r="T156" s="1688"/>
    </row>
    <row r="157" spans="1:20" ht="29.25" customHeight="1" x14ac:dyDescent="0.2">
      <c r="A157" s="380"/>
      <c r="B157" s="381"/>
      <c r="C157" s="478"/>
      <c r="D157" s="653"/>
      <c r="E157" s="653"/>
      <c r="F157" s="1791"/>
      <c r="G157" s="462"/>
      <c r="H157" s="370"/>
      <c r="I157" s="1080"/>
      <c r="J157" s="548"/>
      <c r="K157" s="1126"/>
      <c r="L157" s="700"/>
      <c r="M157" s="1046" t="s">
        <v>115</v>
      </c>
      <c r="N157" s="1048">
        <v>100</v>
      </c>
      <c r="O157" s="1729"/>
      <c r="P157" s="287"/>
      <c r="R157" s="1688"/>
      <c r="S157" s="1688"/>
      <c r="T157" s="1688"/>
    </row>
    <row r="158" spans="1:20" ht="27" customHeight="1" x14ac:dyDescent="0.2">
      <c r="A158" s="398"/>
      <c r="B158" s="381"/>
      <c r="C158" s="382"/>
      <c r="D158" s="670" t="s">
        <v>17</v>
      </c>
      <c r="E158" s="670"/>
      <c r="F158" s="1768" t="s">
        <v>178</v>
      </c>
      <c r="G158" s="462"/>
      <c r="H158" s="370"/>
      <c r="I158" s="1080"/>
      <c r="J158" s="548"/>
      <c r="K158" s="542"/>
      <c r="L158" s="700"/>
      <c r="M158" s="1736" t="s">
        <v>93</v>
      </c>
      <c r="N158" s="999"/>
      <c r="O158" s="1000">
        <v>35</v>
      </c>
      <c r="P158" s="998">
        <v>100</v>
      </c>
      <c r="R158" s="1688"/>
      <c r="S158" s="1688"/>
      <c r="T158" s="1688"/>
    </row>
    <row r="159" spans="1:20" ht="30" customHeight="1" x14ac:dyDescent="0.2">
      <c r="A159" s="380"/>
      <c r="B159" s="381"/>
      <c r="C159" s="478"/>
      <c r="D159" s="653"/>
      <c r="E159" s="653"/>
      <c r="F159" s="1791"/>
      <c r="G159" s="462"/>
      <c r="H159" s="370"/>
      <c r="I159" s="1119"/>
      <c r="J159" s="1105"/>
      <c r="K159" s="1106"/>
      <c r="L159" s="1123"/>
      <c r="M159" s="1922" t="s">
        <v>749</v>
      </c>
      <c r="N159" s="1737">
        <v>100</v>
      </c>
      <c r="O159" s="1738"/>
      <c r="P159" s="1093"/>
      <c r="R159" s="1688"/>
      <c r="S159" s="1688"/>
      <c r="T159" s="1688"/>
    </row>
    <row r="160" spans="1:20" ht="15.75" customHeight="1" thickBot="1" x14ac:dyDescent="0.25">
      <c r="A160" s="418"/>
      <c r="B160" s="415"/>
      <c r="C160" s="416"/>
      <c r="D160" s="663"/>
      <c r="E160" s="663"/>
      <c r="F160" s="1786"/>
      <c r="G160" s="1787" t="s">
        <v>51</v>
      </c>
      <c r="H160" s="1788"/>
      <c r="I160" s="1915"/>
      <c r="J160" s="66">
        <f>SUM(J151:J159)</f>
        <v>610.30000000000007</v>
      </c>
      <c r="K160" s="111">
        <f t="shared" ref="K160:L160" si="6">SUM(K151:K159)</f>
        <v>827.09999999999991</v>
      </c>
      <c r="L160" s="269">
        <f t="shared" si="6"/>
        <v>1077.2</v>
      </c>
      <c r="M160" s="1923"/>
      <c r="N160" s="216"/>
      <c r="O160" s="332"/>
      <c r="P160" s="75"/>
      <c r="Q160" s="455"/>
      <c r="R160" s="455"/>
      <c r="S160" s="104"/>
      <c r="T160" s="1918"/>
    </row>
    <row r="161" spans="1:20" ht="29.25" customHeight="1" x14ac:dyDescent="0.2">
      <c r="A161" s="407" t="s">
        <v>17</v>
      </c>
      <c r="B161" s="408" t="s">
        <v>14</v>
      </c>
      <c r="C161" s="409" t="s">
        <v>22</v>
      </c>
      <c r="D161" s="652"/>
      <c r="E161" s="652"/>
      <c r="F161" s="1685" t="s">
        <v>94</v>
      </c>
      <c r="G161" s="138"/>
      <c r="H161" s="438">
        <v>2</v>
      </c>
      <c r="I161" s="1735" t="s">
        <v>15</v>
      </c>
      <c r="J161" s="833">
        <v>386.3</v>
      </c>
      <c r="K161" s="834">
        <v>293.5</v>
      </c>
      <c r="L161" s="835">
        <v>330.1</v>
      </c>
      <c r="M161" s="1714"/>
      <c r="N161" s="411"/>
      <c r="O161" s="453"/>
      <c r="P161" s="454"/>
      <c r="R161" s="104"/>
      <c r="S161" s="104"/>
      <c r="T161" s="1918"/>
    </row>
    <row r="162" spans="1:20" ht="21" customHeight="1" x14ac:dyDescent="0.2">
      <c r="A162" s="398"/>
      <c r="B162" s="381"/>
      <c r="C162" s="378"/>
      <c r="D162" s="669" t="s">
        <v>14</v>
      </c>
      <c r="E162" s="670"/>
      <c r="F162" s="1768" t="s">
        <v>693</v>
      </c>
      <c r="G162" s="179"/>
      <c r="H162" s="383"/>
      <c r="I162" s="1718"/>
      <c r="J162" s="1704"/>
      <c r="K162" s="263"/>
      <c r="L162" s="36"/>
      <c r="M162" s="1678" t="s">
        <v>118</v>
      </c>
      <c r="N162" s="27">
        <v>7</v>
      </c>
      <c r="O162" s="699">
        <v>12</v>
      </c>
      <c r="P162" s="20">
        <v>12</v>
      </c>
    </row>
    <row r="163" spans="1:20" ht="21" customHeight="1" x14ac:dyDescent="0.2">
      <c r="A163" s="398"/>
      <c r="B163" s="381"/>
      <c r="C163" s="378"/>
      <c r="D163" s="668"/>
      <c r="E163" s="671"/>
      <c r="F163" s="1769"/>
      <c r="G163" s="179"/>
      <c r="H163" s="383"/>
      <c r="I163" s="1703"/>
      <c r="J163" s="1272"/>
      <c r="K163" s="140"/>
      <c r="L163" s="814"/>
      <c r="M163" s="53"/>
      <c r="N163" s="95"/>
      <c r="O163" s="1730"/>
      <c r="P163" s="288"/>
    </row>
    <row r="164" spans="1:20" ht="30" customHeight="1" x14ac:dyDescent="0.2">
      <c r="A164" s="380"/>
      <c r="B164" s="381"/>
      <c r="C164" s="484"/>
      <c r="D164" s="678" t="s">
        <v>17</v>
      </c>
      <c r="E164" s="678"/>
      <c r="F164" s="1684" t="s">
        <v>694</v>
      </c>
      <c r="G164" s="192"/>
      <c r="H164" s="383"/>
      <c r="I164" s="1703"/>
      <c r="J164" s="1704"/>
      <c r="K164" s="1694"/>
      <c r="L164" s="1705"/>
      <c r="M164" s="1714" t="s">
        <v>118</v>
      </c>
      <c r="N164" s="8">
        <v>25</v>
      </c>
      <c r="O164" s="240">
        <v>22</v>
      </c>
      <c r="P164" s="32">
        <v>22</v>
      </c>
    </row>
    <row r="165" spans="1:20" s="17" customFormat="1" ht="18.75" customHeight="1" x14ac:dyDescent="0.2">
      <c r="A165" s="1696"/>
      <c r="B165" s="1709"/>
      <c r="C165" s="90"/>
      <c r="D165" s="666" t="s">
        <v>19</v>
      </c>
      <c r="E165" s="666"/>
      <c r="F165" s="1768" t="s">
        <v>621</v>
      </c>
      <c r="G165" s="192"/>
      <c r="H165" s="1717"/>
      <c r="I165" s="1926"/>
      <c r="J165" s="1927"/>
      <c r="K165" s="1928"/>
      <c r="L165" s="1929"/>
      <c r="M165" s="168" t="s">
        <v>211</v>
      </c>
      <c r="N165" s="620">
        <v>757.2</v>
      </c>
      <c r="O165" s="58"/>
      <c r="P165" s="19"/>
    </row>
    <row r="166" spans="1:20" s="17" customFormat="1" ht="20.25" customHeight="1" x14ac:dyDescent="0.2">
      <c r="A166" s="1696"/>
      <c r="B166" s="1709"/>
      <c r="C166" s="90"/>
      <c r="D166" s="666"/>
      <c r="E166" s="666"/>
      <c r="F166" s="1769"/>
      <c r="G166" s="192"/>
      <c r="H166" s="1717"/>
      <c r="I166" s="1926"/>
      <c r="J166" s="1927"/>
      <c r="K166" s="1928"/>
      <c r="L166" s="1929"/>
      <c r="M166" s="168" t="s">
        <v>145</v>
      </c>
      <c r="N166" s="26">
        <v>20</v>
      </c>
      <c r="O166" s="58"/>
      <c r="P166" s="19"/>
    </row>
    <row r="167" spans="1:20" s="17" customFormat="1" ht="28.5" customHeight="1" x14ac:dyDescent="0.2">
      <c r="A167" s="1682"/>
      <c r="B167" s="1709"/>
      <c r="C167" s="1214"/>
      <c r="D167" s="679" t="s">
        <v>21</v>
      </c>
      <c r="E167" s="679"/>
      <c r="F167" s="29" t="s">
        <v>613</v>
      </c>
      <c r="G167" s="383"/>
      <c r="H167" s="383"/>
      <c r="I167" s="1703"/>
      <c r="J167" s="1704"/>
      <c r="K167" s="1694"/>
      <c r="L167" s="1705"/>
      <c r="M167" s="1739" t="s">
        <v>244</v>
      </c>
      <c r="N167" s="8">
        <v>3</v>
      </c>
      <c r="O167" s="240"/>
      <c r="P167" s="242"/>
      <c r="R167" s="104"/>
      <c r="S167" s="104"/>
      <c r="T167" s="1688"/>
    </row>
    <row r="168" spans="1:20" s="17" customFormat="1" ht="16.5" customHeight="1" x14ac:dyDescent="0.2">
      <c r="A168" s="1696"/>
      <c r="B168" s="1709"/>
      <c r="C168" s="1533"/>
      <c r="D168" s="667" t="s">
        <v>22</v>
      </c>
      <c r="E168" s="667"/>
      <c r="F168" s="1768" t="s">
        <v>725</v>
      </c>
      <c r="G168" s="903"/>
      <c r="H168" s="383"/>
      <c r="I168" s="1703"/>
      <c r="J168" s="1704"/>
      <c r="K168" s="1694"/>
      <c r="L168" s="1705"/>
      <c r="M168" s="1774" t="s">
        <v>726</v>
      </c>
      <c r="N168" s="27">
        <v>1</v>
      </c>
      <c r="O168" s="56"/>
      <c r="P168" s="1707"/>
      <c r="R168" s="104"/>
      <c r="S168" s="104"/>
      <c r="T168" s="1688"/>
    </row>
    <row r="169" spans="1:20" ht="16.5" customHeight="1" thickBot="1" x14ac:dyDescent="0.25">
      <c r="A169" s="380"/>
      <c r="B169" s="381"/>
      <c r="C169" s="478"/>
      <c r="D169" s="663"/>
      <c r="E169" s="663"/>
      <c r="F169" s="1786"/>
      <c r="G169" s="1787" t="s">
        <v>51</v>
      </c>
      <c r="H169" s="1788"/>
      <c r="I169" s="1789"/>
      <c r="J169" s="66">
        <f>SUM(J161:J167)</f>
        <v>386.3</v>
      </c>
      <c r="K169" s="111">
        <f t="shared" ref="K169:L169" si="7">SUM(K161:K167)</f>
        <v>293.5</v>
      </c>
      <c r="L169" s="437">
        <f t="shared" si="7"/>
        <v>330.1</v>
      </c>
      <c r="M169" s="1775"/>
      <c r="N169" s="216"/>
      <c r="O169" s="332"/>
      <c r="P169" s="483"/>
    </row>
    <row r="170" spans="1:20" ht="15.75" customHeight="1" thickBot="1" x14ac:dyDescent="0.25">
      <c r="A170" s="485" t="s">
        <v>17</v>
      </c>
      <c r="B170" s="486" t="s">
        <v>14</v>
      </c>
      <c r="C170" s="1751" t="s">
        <v>20</v>
      </c>
      <c r="D170" s="1752"/>
      <c r="E170" s="1752"/>
      <c r="F170" s="1752"/>
      <c r="G170" s="1752"/>
      <c r="H170" s="1752"/>
      <c r="I170" s="1752"/>
      <c r="J170" s="806">
        <f>J160+J150+J134+J169+J108</f>
        <v>4500.1000000000004</v>
      </c>
      <c r="K170" s="807">
        <f>K160+K150+K134+K169+K108</f>
        <v>9740.2000000000007</v>
      </c>
      <c r="L170" s="843">
        <f>L160+L150+L134+L169+L108</f>
        <v>10602.7</v>
      </c>
      <c r="M170" s="443"/>
      <c r="N170" s="444"/>
      <c r="O170" s="444"/>
      <c r="P170" s="445"/>
    </row>
    <row r="171" spans="1:20" ht="17.25" customHeight="1" thickBot="1" x14ac:dyDescent="0.25">
      <c r="A171" s="380" t="s">
        <v>17</v>
      </c>
      <c r="B171" s="442" t="s">
        <v>17</v>
      </c>
      <c r="C171" s="1760" t="s">
        <v>69</v>
      </c>
      <c r="D171" s="1761"/>
      <c r="E171" s="1761"/>
      <c r="F171" s="1761"/>
      <c r="G171" s="1761"/>
      <c r="H171" s="1761"/>
      <c r="I171" s="1761"/>
      <c r="J171" s="1761"/>
      <c r="K171" s="1761"/>
      <c r="L171" s="1761"/>
      <c r="M171" s="1761"/>
      <c r="N171" s="1761"/>
      <c r="O171" s="1761"/>
      <c r="P171" s="1762"/>
    </row>
    <row r="172" spans="1:20" ht="15.75" customHeight="1" x14ac:dyDescent="0.2">
      <c r="A172" s="487" t="s">
        <v>17</v>
      </c>
      <c r="B172" s="488" t="s">
        <v>17</v>
      </c>
      <c r="C172" s="450" t="s">
        <v>14</v>
      </c>
      <c r="D172" s="652"/>
      <c r="E172" s="652"/>
      <c r="F172" s="1790" t="s">
        <v>180</v>
      </c>
      <c r="G172" s="1701"/>
      <c r="H172" s="420">
        <v>2</v>
      </c>
      <c r="I172" s="490" t="s">
        <v>15</v>
      </c>
      <c r="J172" s="289">
        <v>44</v>
      </c>
      <c r="K172" s="175">
        <v>17.2</v>
      </c>
      <c r="L172" s="290"/>
      <c r="M172" s="146" t="s">
        <v>118</v>
      </c>
      <c r="N172" s="887">
        <v>8</v>
      </c>
      <c r="O172" s="616">
        <v>4</v>
      </c>
      <c r="P172" s="491"/>
    </row>
    <row r="173" spans="1:20" ht="17.25" customHeight="1" thickBot="1" x14ac:dyDescent="0.25">
      <c r="A173" s="492"/>
      <c r="B173" s="401"/>
      <c r="C173" s="416"/>
      <c r="D173" s="649"/>
      <c r="E173" s="649"/>
      <c r="F173" s="1786"/>
      <c r="G173" s="1698"/>
      <c r="H173" s="417"/>
      <c r="I173" s="16" t="s">
        <v>16</v>
      </c>
      <c r="J173" s="66">
        <f t="shared" ref="J173:K173" si="8">J172</f>
        <v>44</v>
      </c>
      <c r="K173" s="111">
        <f t="shared" si="8"/>
        <v>17.2</v>
      </c>
      <c r="L173" s="187"/>
      <c r="M173" s="201" t="s">
        <v>184</v>
      </c>
      <c r="N173" s="888">
        <v>586</v>
      </c>
      <c r="O173" s="617">
        <v>235</v>
      </c>
      <c r="P173" s="481"/>
    </row>
    <row r="174" spans="1:20" ht="16.5" customHeight="1" x14ac:dyDescent="0.2">
      <c r="A174" s="407" t="s">
        <v>17</v>
      </c>
      <c r="B174" s="408" t="s">
        <v>17</v>
      </c>
      <c r="C174" s="681" t="s">
        <v>17</v>
      </c>
      <c r="D174" s="656"/>
      <c r="E174" s="652"/>
      <c r="F174" s="83" t="s">
        <v>84</v>
      </c>
      <c r="G174" s="891"/>
      <c r="H174" s="420">
        <v>2</v>
      </c>
      <c r="I174" s="411" t="s">
        <v>15</v>
      </c>
      <c r="J174" s="142">
        <v>77.2</v>
      </c>
      <c r="K174" s="143">
        <v>72.5</v>
      </c>
      <c r="L174" s="247"/>
      <c r="M174" s="1196"/>
      <c r="N174" s="411"/>
      <c r="O174" s="453"/>
      <c r="P174" s="454"/>
    </row>
    <row r="175" spans="1:20" s="17" customFormat="1" ht="18" customHeight="1" x14ac:dyDescent="0.2">
      <c r="A175" s="1682"/>
      <c r="B175" s="1709"/>
      <c r="C175" s="2"/>
      <c r="D175" s="894" t="s">
        <v>14</v>
      </c>
      <c r="E175" s="680"/>
      <c r="F175" s="1768" t="s">
        <v>88</v>
      </c>
      <c r="G175" s="892"/>
      <c r="H175" s="1717"/>
      <c r="I175" s="1692"/>
      <c r="J175" s="1272"/>
      <c r="K175" s="116"/>
      <c r="L175" s="72"/>
      <c r="M175" s="526" t="s">
        <v>118</v>
      </c>
      <c r="N175" s="26">
        <v>31</v>
      </c>
      <c r="O175" s="58">
        <v>6</v>
      </c>
      <c r="P175" s="19"/>
      <c r="Q175" s="31"/>
    </row>
    <row r="176" spans="1:20" s="17" customFormat="1" ht="14.25" customHeight="1" x14ac:dyDescent="0.2">
      <c r="A176" s="1682"/>
      <c r="B176" s="1709"/>
      <c r="C176" s="2"/>
      <c r="D176" s="655"/>
      <c r="E176" s="667"/>
      <c r="F176" s="1791"/>
      <c r="G176" s="892"/>
      <c r="H176" s="1717"/>
      <c r="I176" s="1692"/>
      <c r="J176" s="1272"/>
      <c r="K176" s="116"/>
      <c r="L176" s="72"/>
      <c r="M176" s="526" t="s">
        <v>66</v>
      </c>
      <c r="N176" s="8">
        <v>39</v>
      </c>
      <c r="O176" s="240">
        <v>9</v>
      </c>
      <c r="P176" s="1707"/>
      <c r="Q176" s="1792"/>
      <c r="R176" s="1793"/>
    </row>
    <row r="177" spans="1:18" s="17" customFormat="1" ht="43.5" customHeight="1" x14ac:dyDescent="0.2">
      <c r="A177" s="1682"/>
      <c r="B177" s="1709"/>
      <c r="C177" s="2"/>
      <c r="D177" s="894" t="s">
        <v>17</v>
      </c>
      <c r="E177" s="894"/>
      <c r="F177" s="1687" t="s">
        <v>695</v>
      </c>
      <c r="G177" s="892"/>
      <c r="H177" s="1717"/>
      <c r="I177" s="1692"/>
      <c r="J177" s="1129"/>
      <c r="K177" s="115"/>
      <c r="L177" s="103"/>
      <c r="M177" s="517" t="s">
        <v>212</v>
      </c>
      <c r="N177" s="26">
        <v>5</v>
      </c>
      <c r="O177" s="58">
        <v>50</v>
      </c>
      <c r="P177" s="33"/>
      <c r="Q177" s="1792"/>
      <c r="R177" s="1793"/>
    </row>
    <row r="178" spans="1:18" s="17" customFormat="1" ht="15.75" customHeight="1" x14ac:dyDescent="0.2">
      <c r="A178" s="1682"/>
      <c r="B178" s="1709"/>
      <c r="C178" s="2"/>
      <c r="D178" s="657"/>
      <c r="E178" s="655"/>
      <c r="F178" s="1684" t="s">
        <v>251</v>
      </c>
      <c r="G178" s="892"/>
      <c r="H178" s="1717"/>
      <c r="I178" s="95"/>
      <c r="J178" s="1721"/>
      <c r="K178" s="1713"/>
      <c r="L178" s="45"/>
      <c r="M178" s="48" t="s">
        <v>128</v>
      </c>
      <c r="N178" s="27">
        <v>1</v>
      </c>
      <c r="O178" s="56">
        <v>10</v>
      </c>
      <c r="P178" s="20"/>
      <c r="Q178" s="1792"/>
      <c r="R178" s="1793"/>
    </row>
    <row r="179" spans="1:18" s="17" customFormat="1" ht="15" customHeight="1" x14ac:dyDescent="0.2">
      <c r="A179" s="1682"/>
      <c r="B179" s="1709"/>
      <c r="C179" s="2"/>
      <c r="D179" s="657"/>
      <c r="E179" s="655"/>
      <c r="F179" s="87" t="s">
        <v>249</v>
      </c>
      <c r="G179" s="892"/>
      <c r="H179" s="1716">
        <v>1</v>
      </c>
      <c r="I179" s="93" t="s">
        <v>15</v>
      </c>
      <c r="J179" s="1720">
        <v>158</v>
      </c>
      <c r="K179" s="1712">
        <f>252.8-80</f>
        <v>172.8</v>
      </c>
      <c r="L179" s="42">
        <f>185.5-30+104</f>
        <v>259.5</v>
      </c>
      <c r="M179" s="168" t="s">
        <v>118</v>
      </c>
      <c r="N179" s="26">
        <v>10</v>
      </c>
      <c r="O179" s="593">
        <v>11</v>
      </c>
      <c r="P179" s="19">
        <v>12</v>
      </c>
      <c r="Q179" s="1792"/>
      <c r="R179" s="1793"/>
    </row>
    <row r="180" spans="1:18" s="17" customFormat="1" ht="15.75" customHeight="1" x14ac:dyDescent="0.2">
      <c r="A180" s="1682"/>
      <c r="B180" s="1709"/>
      <c r="C180" s="2"/>
      <c r="D180" s="657"/>
      <c r="E180" s="667"/>
      <c r="F180" s="1768" t="s">
        <v>696</v>
      </c>
      <c r="G180" s="892"/>
      <c r="H180" s="1717"/>
      <c r="I180" s="1692"/>
      <c r="J180" s="1693"/>
      <c r="K180" s="1694"/>
      <c r="L180" s="1705"/>
      <c r="M180" s="47" t="s">
        <v>118</v>
      </c>
      <c r="N180" s="8"/>
      <c r="O180" s="240"/>
      <c r="P180" s="1707">
        <v>52</v>
      </c>
      <c r="Q180" s="1792"/>
      <c r="R180" s="1793"/>
    </row>
    <row r="181" spans="1:18" s="17" customFormat="1" ht="15.75" customHeight="1" thickBot="1" x14ac:dyDescent="0.25">
      <c r="A181" s="1682"/>
      <c r="B181" s="1709"/>
      <c r="C181" s="2"/>
      <c r="D181" s="657"/>
      <c r="E181" s="667"/>
      <c r="F181" s="1791"/>
      <c r="G181" s="892"/>
      <c r="H181" s="1717"/>
      <c r="I181" s="1084" t="s">
        <v>16</v>
      </c>
      <c r="J181" s="39">
        <f>SUM(J174:J180)</f>
        <v>235.2</v>
      </c>
      <c r="K181" s="113">
        <f t="shared" ref="K181:L181" si="9">SUM(K174:K180)</f>
        <v>245.3</v>
      </c>
      <c r="L181" s="40">
        <f t="shared" si="9"/>
        <v>259.5</v>
      </c>
      <c r="M181" s="47"/>
      <c r="N181" s="8"/>
      <c r="O181" s="240"/>
      <c r="P181" s="63"/>
    </row>
    <row r="182" spans="1:18" ht="15.75" customHeight="1" thickBot="1" x14ac:dyDescent="0.25">
      <c r="A182" s="441" t="s">
        <v>17</v>
      </c>
      <c r="B182" s="442" t="s">
        <v>17</v>
      </c>
      <c r="C182" s="1751" t="s">
        <v>20</v>
      </c>
      <c r="D182" s="1752"/>
      <c r="E182" s="1752"/>
      <c r="F182" s="1752"/>
      <c r="G182" s="1752"/>
      <c r="H182" s="1752"/>
      <c r="I182" s="1759"/>
      <c r="J182" s="1082">
        <f>+J173+J181</f>
        <v>279.2</v>
      </c>
      <c r="K182" s="847">
        <f>+K173+K181</f>
        <v>262.5</v>
      </c>
      <c r="L182" s="1083">
        <f>+L173+L181</f>
        <v>259.5</v>
      </c>
      <c r="M182" s="443"/>
      <c r="N182" s="444"/>
      <c r="O182" s="444"/>
      <c r="P182" s="445"/>
    </row>
    <row r="183" spans="1:18" ht="15.75" customHeight="1" thickBot="1" x14ac:dyDescent="0.25">
      <c r="A183" s="441" t="s">
        <v>17</v>
      </c>
      <c r="B183" s="496" t="s">
        <v>19</v>
      </c>
      <c r="C183" s="1760" t="s">
        <v>34</v>
      </c>
      <c r="D183" s="1761"/>
      <c r="E183" s="1761"/>
      <c r="F183" s="1761"/>
      <c r="G183" s="1761"/>
      <c r="H183" s="1761"/>
      <c r="I183" s="1761"/>
      <c r="J183" s="1761"/>
      <c r="K183" s="1761"/>
      <c r="L183" s="1761"/>
      <c r="M183" s="1761"/>
      <c r="N183" s="1761"/>
      <c r="O183" s="1761"/>
      <c r="P183" s="1762"/>
    </row>
    <row r="184" spans="1:18" ht="15.75" customHeight="1" x14ac:dyDescent="0.2">
      <c r="A184" s="407" t="s">
        <v>17</v>
      </c>
      <c r="B184" s="408" t="s">
        <v>19</v>
      </c>
      <c r="C184" s="409" t="s">
        <v>14</v>
      </c>
      <c r="D184" s="645"/>
      <c r="E184" s="645"/>
      <c r="F184" s="1763" t="s">
        <v>35</v>
      </c>
      <c r="G184" s="1701"/>
      <c r="H184" s="410">
        <v>6</v>
      </c>
      <c r="I184" s="13" t="s">
        <v>15</v>
      </c>
      <c r="J184" s="1562">
        <f>2143.7-10.1</f>
        <v>2133.6</v>
      </c>
      <c r="K184" s="850">
        <v>1897.2</v>
      </c>
      <c r="L184" s="851">
        <v>1859.2</v>
      </c>
      <c r="M184" s="497"/>
      <c r="N184" s="411"/>
      <c r="O184" s="453"/>
      <c r="P184" s="454"/>
    </row>
    <row r="185" spans="1:18" ht="15.75" customHeight="1" x14ac:dyDescent="0.2">
      <c r="A185" s="398"/>
      <c r="B185" s="381"/>
      <c r="C185" s="382"/>
      <c r="D185" s="646"/>
      <c r="E185" s="646"/>
      <c r="F185" s="1764"/>
      <c r="G185" s="1697"/>
      <c r="H185" s="370"/>
      <c r="I185" s="79" t="s">
        <v>98</v>
      </c>
      <c r="J185" s="1132">
        <v>102.5</v>
      </c>
      <c r="K185" s="1136"/>
      <c r="L185" s="1134"/>
      <c r="M185" s="461"/>
      <c r="N185" s="388"/>
      <c r="O185" s="459"/>
      <c r="P185" s="460"/>
    </row>
    <row r="186" spans="1:18" ht="15.75" customHeight="1" x14ac:dyDescent="0.2">
      <c r="A186" s="1303"/>
      <c r="B186" s="1304"/>
      <c r="C186" s="1305"/>
      <c r="D186" s="675"/>
      <c r="E186" s="675"/>
      <c r="F186" s="1765"/>
      <c r="G186" s="1702"/>
      <c r="H186" s="1740"/>
      <c r="I186" s="78" t="s">
        <v>18</v>
      </c>
      <c r="J186" s="1741">
        <v>40.200000000000003</v>
      </c>
      <c r="K186" s="854">
        <v>7.4</v>
      </c>
      <c r="L186" s="1742">
        <v>7.4</v>
      </c>
      <c r="M186" s="1743"/>
      <c r="N186" s="1744"/>
      <c r="O186" s="1118"/>
      <c r="P186" s="1745"/>
    </row>
    <row r="187" spans="1:18" ht="102" customHeight="1" x14ac:dyDescent="0.2">
      <c r="A187" s="398"/>
      <c r="B187" s="381"/>
      <c r="C187" s="456"/>
      <c r="D187" s="671" t="s">
        <v>14</v>
      </c>
      <c r="E187" s="671"/>
      <c r="F187" s="249" t="s">
        <v>697</v>
      </c>
      <c r="G187" s="1697"/>
      <c r="H187" s="370"/>
      <c r="I187" s="14"/>
      <c r="J187" s="1704"/>
      <c r="K187" s="1694"/>
      <c r="L187" s="1705"/>
      <c r="M187" s="1689" t="s">
        <v>186</v>
      </c>
      <c r="N187" s="15">
        <v>16</v>
      </c>
      <c r="O187" s="596">
        <v>15</v>
      </c>
      <c r="P187" s="597">
        <v>15</v>
      </c>
    </row>
    <row r="188" spans="1:18" s="104" customFormat="1" ht="30.75" customHeight="1" x14ac:dyDescent="0.2">
      <c r="A188" s="398"/>
      <c r="B188" s="381"/>
      <c r="C188" s="456"/>
      <c r="D188" s="653" t="s">
        <v>17</v>
      </c>
      <c r="E188" s="653"/>
      <c r="F188" s="21" t="s">
        <v>86</v>
      </c>
      <c r="G188" s="1697"/>
      <c r="H188" s="370"/>
      <c r="I188" s="14"/>
      <c r="J188" s="1704"/>
      <c r="K188" s="1694"/>
      <c r="L188" s="1705"/>
      <c r="M188" s="1678" t="s">
        <v>118</v>
      </c>
      <c r="N188" s="27">
        <v>93</v>
      </c>
      <c r="O188" s="5">
        <v>93</v>
      </c>
      <c r="P188" s="598">
        <f>+N188</f>
        <v>93</v>
      </c>
    </row>
    <row r="189" spans="1:18" ht="28.5" customHeight="1" x14ac:dyDescent="0.2">
      <c r="A189" s="398"/>
      <c r="B189" s="381"/>
      <c r="C189" s="456"/>
      <c r="D189" s="682" t="s">
        <v>19</v>
      </c>
      <c r="E189" s="672"/>
      <c r="F189" s="28" t="s">
        <v>39</v>
      </c>
      <c r="G189" s="1697"/>
      <c r="H189" s="370"/>
      <c r="I189" s="14"/>
      <c r="J189" s="1704"/>
      <c r="K189" s="1694"/>
      <c r="L189" s="1705"/>
      <c r="M189" s="73" t="s">
        <v>187</v>
      </c>
      <c r="N189" s="26">
        <v>30</v>
      </c>
      <c r="O189" s="593">
        <v>30</v>
      </c>
      <c r="P189" s="594">
        <v>30</v>
      </c>
    </row>
    <row r="190" spans="1:18" ht="29.25" customHeight="1" x14ac:dyDescent="0.2">
      <c r="A190" s="398"/>
      <c r="B190" s="381"/>
      <c r="C190" s="456"/>
      <c r="D190" s="653" t="s">
        <v>21</v>
      </c>
      <c r="E190" s="653"/>
      <c r="F190" s="249" t="s">
        <v>41</v>
      </c>
      <c r="G190" s="1697"/>
      <c r="H190" s="370"/>
      <c r="I190" s="14"/>
      <c r="J190" s="1704"/>
      <c r="K190" s="1694"/>
      <c r="L190" s="1705"/>
      <c r="M190" s="1689" t="s">
        <v>188</v>
      </c>
      <c r="N190" s="15">
        <v>3</v>
      </c>
      <c r="O190" s="596">
        <v>3</v>
      </c>
      <c r="P190" s="597">
        <f>+N190</f>
        <v>3</v>
      </c>
    </row>
    <row r="191" spans="1:18" ht="18" customHeight="1" x14ac:dyDescent="0.2">
      <c r="A191" s="398"/>
      <c r="B191" s="381"/>
      <c r="C191" s="456"/>
      <c r="D191" s="672" t="s">
        <v>22</v>
      </c>
      <c r="E191" s="672"/>
      <c r="F191" s="28" t="s">
        <v>38</v>
      </c>
      <c r="G191" s="1697"/>
      <c r="H191" s="370"/>
      <c r="I191" s="14"/>
      <c r="J191" s="1704"/>
      <c r="K191" s="1694"/>
      <c r="L191" s="1705"/>
      <c r="M191" s="73" t="s">
        <v>42</v>
      </c>
      <c r="N191" s="26">
        <v>35</v>
      </c>
      <c r="O191" s="593">
        <v>37</v>
      </c>
      <c r="P191" s="594">
        <v>38</v>
      </c>
      <c r="Q191" s="104"/>
      <c r="R191" s="1723"/>
    </row>
    <row r="192" spans="1:18" ht="30.75" customHeight="1" x14ac:dyDescent="0.2">
      <c r="A192" s="398"/>
      <c r="B192" s="381"/>
      <c r="C192" s="382"/>
      <c r="D192" s="646" t="s">
        <v>96</v>
      </c>
      <c r="E192" s="646"/>
      <c r="F192" s="108" t="s">
        <v>114</v>
      </c>
      <c r="G192" s="1697"/>
      <c r="H192" s="370"/>
      <c r="I192" s="14"/>
      <c r="J192" s="1704"/>
      <c r="K192" s="1694"/>
      <c r="L192" s="1705"/>
      <c r="M192" s="1678" t="s">
        <v>189</v>
      </c>
      <c r="N192" s="26">
        <v>7</v>
      </c>
      <c r="O192" s="593">
        <v>3</v>
      </c>
      <c r="P192" s="594"/>
      <c r="Q192" s="104"/>
      <c r="R192" s="1723"/>
    </row>
    <row r="193" spans="1:18" ht="14.25" customHeight="1" x14ac:dyDescent="0.2">
      <c r="A193" s="398"/>
      <c r="B193" s="381"/>
      <c r="C193" s="382"/>
      <c r="D193" s="674" t="s">
        <v>97</v>
      </c>
      <c r="E193" s="674"/>
      <c r="F193" s="1187" t="s">
        <v>40</v>
      </c>
      <c r="G193" s="1697"/>
      <c r="H193" s="370"/>
      <c r="I193" s="14"/>
      <c r="J193" s="1704"/>
      <c r="K193" s="1694"/>
      <c r="L193" s="1705"/>
      <c r="M193" s="1766" t="s">
        <v>190</v>
      </c>
      <c r="N193" s="8">
        <v>101</v>
      </c>
      <c r="O193" s="239">
        <v>101</v>
      </c>
      <c r="P193" s="595">
        <f>+N193</f>
        <v>101</v>
      </c>
      <c r="Q193" s="104"/>
      <c r="R193" s="1723"/>
    </row>
    <row r="194" spans="1:18" ht="14.25" customHeight="1" x14ac:dyDescent="0.2">
      <c r="A194" s="398"/>
      <c r="B194" s="381"/>
      <c r="C194" s="382"/>
      <c r="D194" s="675"/>
      <c r="E194" s="675"/>
      <c r="F194" s="238"/>
      <c r="G194" s="1697"/>
      <c r="H194" s="370"/>
      <c r="I194" s="8"/>
      <c r="J194" s="1704"/>
      <c r="K194" s="1694"/>
      <c r="L194" s="1705"/>
      <c r="M194" s="1767"/>
      <c r="N194" s="8"/>
      <c r="O194" s="239"/>
      <c r="P194" s="595"/>
      <c r="Q194" s="104"/>
      <c r="R194" s="1723"/>
    </row>
    <row r="195" spans="1:18" ht="27" customHeight="1" x14ac:dyDescent="0.2">
      <c r="A195" s="398"/>
      <c r="B195" s="381"/>
      <c r="C195" s="456"/>
      <c r="D195" s="653" t="s">
        <v>267</v>
      </c>
      <c r="E195" s="653"/>
      <c r="F195" s="46" t="s">
        <v>49</v>
      </c>
      <c r="G195" s="22"/>
      <c r="H195" s="41"/>
      <c r="I195" s="8"/>
      <c r="J195" s="1704"/>
      <c r="K195" s="1694"/>
      <c r="L195" s="1705"/>
      <c r="M195" s="168" t="s">
        <v>118</v>
      </c>
      <c r="N195" s="26">
        <v>14</v>
      </c>
      <c r="O195" s="593">
        <v>10</v>
      </c>
      <c r="P195" s="594">
        <v>5</v>
      </c>
      <c r="Q195" s="1699"/>
      <c r="R195" s="1723"/>
    </row>
    <row r="196" spans="1:18" ht="29.25" customHeight="1" x14ac:dyDescent="0.2">
      <c r="A196" s="398"/>
      <c r="B196" s="381"/>
      <c r="C196" s="456"/>
      <c r="D196" s="672" t="s">
        <v>268</v>
      </c>
      <c r="E196" s="672"/>
      <c r="F196" s="87" t="s">
        <v>627</v>
      </c>
      <c r="G196" s="22"/>
      <c r="H196" s="41"/>
      <c r="I196" s="8"/>
      <c r="J196" s="1704"/>
      <c r="K196" s="1694"/>
      <c r="L196" s="1705"/>
      <c r="M196" s="168" t="s">
        <v>118</v>
      </c>
      <c r="N196" s="26"/>
      <c r="O196" s="593"/>
      <c r="P196" s="594">
        <v>1</v>
      </c>
      <c r="Q196" s="1699"/>
      <c r="R196" s="1723"/>
    </row>
    <row r="197" spans="1:18" ht="30.75" customHeight="1" x14ac:dyDescent="0.2">
      <c r="A197" s="398"/>
      <c r="B197" s="381"/>
      <c r="C197" s="456"/>
      <c r="D197" s="672" t="s">
        <v>5</v>
      </c>
      <c r="E197" s="672"/>
      <c r="F197" s="87" t="s">
        <v>58</v>
      </c>
      <c r="G197" s="22"/>
      <c r="H197" s="41"/>
      <c r="I197" s="8"/>
      <c r="J197" s="1704"/>
      <c r="K197" s="1694"/>
      <c r="L197" s="1705"/>
      <c r="M197" s="168" t="s">
        <v>118</v>
      </c>
      <c r="N197" s="15">
        <v>10</v>
      </c>
      <c r="O197" s="596">
        <v>10</v>
      </c>
      <c r="P197" s="597">
        <v>10</v>
      </c>
    </row>
    <row r="198" spans="1:18" ht="18" customHeight="1" x14ac:dyDescent="0.2">
      <c r="A198" s="398"/>
      <c r="B198" s="381"/>
      <c r="C198" s="456"/>
      <c r="D198" s="672" t="s">
        <v>269</v>
      </c>
      <c r="E198" s="672"/>
      <c r="F198" s="1690" t="s">
        <v>79</v>
      </c>
      <c r="G198" s="1730"/>
      <c r="H198" s="41"/>
      <c r="I198" s="8"/>
      <c r="J198" s="1704"/>
      <c r="K198" s="1694"/>
      <c r="L198" s="1705"/>
      <c r="M198" s="168" t="s">
        <v>118</v>
      </c>
      <c r="N198" s="15">
        <v>12</v>
      </c>
      <c r="O198" s="596">
        <v>6</v>
      </c>
      <c r="P198" s="597">
        <v>6</v>
      </c>
    </row>
    <row r="199" spans="1:18" ht="27.75" customHeight="1" x14ac:dyDescent="0.2">
      <c r="A199" s="398"/>
      <c r="B199" s="381"/>
      <c r="C199" s="382"/>
      <c r="D199" s="646" t="s">
        <v>270</v>
      </c>
      <c r="E199" s="646"/>
      <c r="F199" s="1768" t="s">
        <v>701</v>
      </c>
      <c r="G199" s="1770" t="s">
        <v>48</v>
      </c>
      <c r="H199" s="370"/>
      <c r="I199" s="14"/>
      <c r="J199" s="1704"/>
      <c r="K199" s="1694"/>
      <c r="L199" s="1705"/>
      <c r="M199" s="1714" t="s">
        <v>192</v>
      </c>
      <c r="N199" s="15">
        <v>2</v>
      </c>
      <c r="O199" s="596">
        <v>2</v>
      </c>
      <c r="P199" s="597">
        <v>2</v>
      </c>
    </row>
    <row r="200" spans="1:18" ht="27.75" customHeight="1" x14ac:dyDescent="0.2">
      <c r="A200" s="398"/>
      <c r="B200" s="381"/>
      <c r="C200" s="382"/>
      <c r="D200" s="646"/>
      <c r="E200" s="646"/>
      <c r="F200" s="1769"/>
      <c r="G200" s="1771"/>
      <c r="H200" s="370"/>
      <c r="I200" s="14"/>
      <c r="J200" s="1704"/>
      <c r="K200" s="1694"/>
      <c r="L200" s="1705"/>
      <c r="M200" s="73" t="s">
        <v>203</v>
      </c>
      <c r="N200" s="27">
        <v>5</v>
      </c>
      <c r="O200" s="5">
        <v>2</v>
      </c>
      <c r="P200" s="598">
        <v>2</v>
      </c>
    </row>
    <row r="201" spans="1:18" ht="28.5" customHeight="1" x14ac:dyDescent="0.2">
      <c r="A201" s="398"/>
      <c r="B201" s="381"/>
      <c r="C201" s="382"/>
      <c r="D201" s="682" t="s">
        <v>271</v>
      </c>
      <c r="E201" s="682"/>
      <c r="F201" s="1663" t="s">
        <v>156</v>
      </c>
      <c r="G201" s="1664"/>
      <c r="H201" s="383"/>
      <c r="I201" s="1692"/>
      <c r="J201" s="1704"/>
      <c r="K201" s="1694"/>
      <c r="L201" s="1705"/>
      <c r="M201" s="1678" t="s">
        <v>118</v>
      </c>
      <c r="N201" s="27">
        <v>33</v>
      </c>
      <c r="O201" s="5">
        <v>33</v>
      </c>
      <c r="P201" s="598">
        <v>33</v>
      </c>
    </row>
    <row r="202" spans="1:18" ht="14.25" customHeight="1" x14ac:dyDescent="0.2">
      <c r="A202" s="398"/>
      <c r="B202" s="381"/>
      <c r="C202" s="382"/>
      <c r="D202" s="646" t="s">
        <v>272</v>
      </c>
      <c r="E202" s="646"/>
      <c r="F202" s="1772" t="s">
        <v>732</v>
      </c>
      <c r="G202" s="188"/>
      <c r="H202" s="903"/>
      <c r="I202" s="1692"/>
      <c r="J202" s="1704"/>
      <c r="K202" s="1694"/>
      <c r="L202" s="1705"/>
      <c r="M202" s="1774" t="s">
        <v>186</v>
      </c>
      <c r="N202" s="27">
        <v>2</v>
      </c>
      <c r="O202" s="5"/>
      <c r="P202" s="598"/>
    </row>
    <row r="203" spans="1:18" ht="14.25" customHeight="1" thickBot="1" x14ac:dyDescent="0.25">
      <c r="A203" s="469"/>
      <c r="B203" s="415"/>
      <c r="C203" s="416"/>
      <c r="D203" s="649"/>
      <c r="E203" s="649"/>
      <c r="F203" s="1773"/>
      <c r="G203" s="1698"/>
      <c r="H203" s="498"/>
      <c r="I203" s="16" t="s">
        <v>16</v>
      </c>
      <c r="J203" s="66">
        <f>SUM(J184:J201)</f>
        <v>2276.2999999999997</v>
      </c>
      <c r="K203" s="111">
        <f>SUM(K184:K201)</f>
        <v>1904.6000000000001</v>
      </c>
      <c r="L203" s="437">
        <f>SUM(L184:L201)</f>
        <v>1866.6000000000001</v>
      </c>
      <c r="M203" s="1775"/>
      <c r="N203" s="393"/>
      <c r="O203" s="493"/>
      <c r="P203" s="494"/>
    </row>
    <row r="204" spans="1:18" s="17" customFormat="1" ht="26.25" customHeight="1" x14ac:dyDescent="0.2">
      <c r="A204" s="1776" t="s">
        <v>17</v>
      </c>
      <c r="B204" s="1778" t="s">
        <v>19</v>
      </c>
      <c r="C204" s="2" t="s">
        <v>17</v>
      </c>
      <c r="D204" s="1096"/>
      <c r="E204" s="1097"/>
      <c r="F204" s="1780" t="s">
        <v>625</v>
      </c>
      <c r="G204" s="1781"/>
      <c r="H204" s="1783">
        <v>2</v>
      </c>
      <c r="I204" s="898" t="s">
        <v>15</v>
      </c>
      <c r="J204" s="151">
        <v>31.3</v>
      </c>
      <c r="K204" s="112">
        <v>31.3</v>
      </c>
      <c r="L204" s="38">
        <v>31.3</v>
      </c>
      <c r="M204" s="1785" t="s">
        <v>626</v>
      </c>
      <c r="N204" s="898">
        <v>300</v>
      </c>
      <c r="O204" s="61">
        <v>300</v>
      </c>
      <c r="P204" s="236">
        <v>300</v>
      </c>
    </row>
    <row r="205" spans="1:18" s="17" customFormat="1" ht="16.5" customHeight="1" thickBot="1" x14ac:dyDescent="0.25">
      <c r="A205" s="1777"/>
      <c r="B205" s="1779"/>
      <c r="C205" s="86"/>
      <c r="D205" s="659"/>
      <c r="E205" s="676"/>
      <c r="F205" s="1773"/>
      <c r="G205" s="1782"/>
      <c r="H205" s="1784"/>
      <c r="I205" s="16" t="s">
        <v>16</v>
      </c>
      <c r="J205" s="39">
        <f>SUM(J204:J204)</f>
        <v>31.3</v>
      </c>
      <c r="K205" s="124">
        <f>SUM(K204:K204)</f>
        <v>31.3</v>
      </c>
      <c r="L205" s="133">
        <f>SUM(L204:L204)</f>
        <v>31.3</v>
      </c>
      <c r="M205" s="1775"/>
      <c r="N205" s="225"/>
      <c r="O205" s="62"/>
      <c r="P205" s="237"/>
    </row>
    <row r="206" spans="1:18" ht="19.5" customHeight="1" x14ac:dyDescent="0.2">
      <c r="A206" s="407" t="s">
        <v>17</v>
      </c>
      <c r="B206" s="408" t="s">
        <v>19</v>
      </c>
      <c r="C206" s="495" t="s">
        <v>19</v>
      </c>
      <c r="D206" s="656"/>
      <c r="E206" s="652"/>
      <c r="F206" s="1790" t="s">
        <v>155</v>
      </c>
      <c r="G206" s="1939" t="s">
        <v>46</v>
      </c>
      <c r="H206" s="138">
        <v>2</v>
      </c>
      <c r="I206" s="13" t="s">
        <v>15</v>
      </c>
      <c r="J206" s="833">
        <f>35-15</f>
        <v>20</v>
      </c>
      <c r="K206" s="834"/>
      <c r="L206" s="835"/>
      <c r="M206" s="146" t="s">
        <v>193</v>
      </c>
      <c r="N206" s="105">
        <v>2</v>
      </c>
      <c r="O206" s="453"/>
      <c r="P206" s="454"/>
    </row>
    <row r="207" spans="1:18" ht="19.5" customHeight="1" x14ac:dyDescent="0.2">
      <c r="A207" s="398"/>
      <c r="B207" s="381"/>
      <c r="C207" s="466"/>
      <c r="D207" s="647"/>
      <c r="E207" s="653"/>
      <c r="F207" s="1791"/>
      <c r="G207" s="1940"/>
      <c r="H207" s="137"/>
      <c r="I207" s="14"/>
      <c r="J207" s="837"/>
      <c r="K207" s="838"/>
      <c r="L207" s="839"/>
      <c r="M207" s="47"/>
      <c r="N207" s="500"/>
      <c r="O207" s="459"/>
      <c r="P207" s="460"/>
    </row>
    <row r="208" spans="1:18" ht="15" customHeight="1" thickBot="1" x14ac:dyDescent="0.25">
      <c r="A208" s="469"/>
      <c r="B208" s="415"/>
      <c r="C208" s="499"/>
      <c r="D208" s="660"/>
      <c r="E208" s="663"/>
      <c r="F208" s="1681"/>
      <c r="G208" s="176" t="s">
        <v>206</v>
      </c>
      <c r="H208" s="501"/>
      <c r="I208" s="125" t="s">
        <v>16</v>
      </c>
      <c r="J208" s="150">
        <f t="shared" ref="J208" si="10">+J206</f>
        <v>20</v>
      </c>
      <c r="K208" s="856"/>
      <c r="L208" s="270"/>
      <c r="M208" s="74"/>
      <c r="N208" s="388"/>
      <c r="O208" s="459"/>
      <c r="P208" s="460"/>
    </row>
    <row r="209" spans="1:28" ht="15" customHeight="1" x14ac:dyDescent="0.2">
      <c r="A209" s="407" t="s">
        <v>17</v>
      </c>
      <c r="B209" s="408" t="s">
        <v>19</v>
      </c>
      <c r="C209" s="450" t="s">
        <v>21</v>
      </c>
      <c r="D209" s="652"/>
      <c r="E209" s="652"/>
      <c r="F209" s="1919" t="s">
        <v>89</v>
      </c>
      <c r="G209" s="84"/>
      <c r="H209" s="138">
        <v>6</v>
      </c>
      <c r="I209" s="105" t="s">
        <v>15</v>
      </c>
      <c r="J209" s="858">
        <f>1856.2-68.8-14</f>
        <v>1773.4</v>
      </c>
      <c r="K209" s="757">
        <v>2182.8000000000002</v>
      </c>
      <c r="L209" s="758">
        <v>2119.9</v>
      </c>
      <c r="M209" s="1196"/>
      <c r="N209" s="411"/>
      <c r="O209" s="453"/>
      <c r="P209" s="454"/>
      <c r="Q209" s="1700"/>
    </row>
    <row r="210" spans="1:28" ht="15" customHeight="1" x14ac:dyDescent="0.2">
      <c r="A210" s="398"/>
      <c r="B210" s="381"/>
      <c r="C210" s="456"/>
      <c r="D210" s="653"/>
      <c r="E210" s="653"/>
      <c r="F210" s="1840"/>
      <c r="G210" s="106"/>
      <c r="H210" s="137"/>
      <c r="I210" s="121" t="s">
        <v>98</v>
      </c>
      <c r="J210" s="954">
        <v>388.8</v>
      </c>
      <c r="K210" s="162"/>
      <c r="L210" s="760"/>
      <c r="M210" s="1714"/>
      <c r="N210" s="388"/>
      <c r="O210" s="459"/>
      <c r="P210" s="460"/>
      <c r="Q210" s="1700"/>
    </row>
    <row r="211" spans="1:28" ht="15" customHeight="1" x14ac:dyDescent="0.2">
      <c r="A211" s="398"/>
      <c r="B211" s="381"/>
      <c r="C211" s="456"/>
      <c r="D211" s="653"/>
      <c r="E211" s="653"/>
      <c r="F211" s="1667"/>
      <c r="G211" s="106"/>
      <c r="H211" s="137"/>
      <c r="I211" s="938" t="s">
        <v>3</v>
      </c>
      <c r="J211" s="1720">
        <f>143-70</f>
        <v>73</v>
      </c>
      <c r="K211" s="1712">
        <v>127.7</v>
      </c>
      <c r="L211" s="1715"/>
      <c r="M211" s="1714"/>
      <c r="N211" s="388"/>
      <c r="O211" s="459"/>
      <c r="P211" s="460"/>
      <c r="Q211" s="1700"/>
    </row>
    <row r="212" spans="1:28" ht="15" customHeight="1" x14ac:dyDescent="0.2">
      <c r="A212" s="398"/>
      <c r="B212" s="381"/>
      <c r="C212" s="456"/>
      <c r="D212" s="653"/>
      <c r="E212" s="653"/>
      <c r="F212" s="1667"/>
      <c r="G212" s="106"/>
      <c r="H212" s="1637">
        <v>2</v>
      </c>
      <c r="I212" s="938" t="s">
        <v>15</v>
      </c>
      <c r="J212" s="261">
        <v>14</v>
      </c>
      <c r="K212" s="1712"/>
      <c r="L212" s="1715"/>
      <c r="M212" s="1714"/>
      <c r="N212" s="388"/>
      <c r="O212" s="459"/>
      <c r="P212" s="460"/>
      <c r="Q212" s="1700"/>
    </row>
    <row r="213" spans="1:28" ht="15" customHeight="1" x14ac:dyDescent="0.2">
      <c r="A213" s="398"/>
      <c r="B213" s="381"/>
      <c r="C213" s="456"/>
      <c r="D213" s="653"/>
      <c r="E213" s="653"/>
      <c r="F213" s="1667"/>
      <c r="G213" s="106"/>
      <c r="H213" s="1638"/>
      <c r="I213" s="609" t="s">
        <v>3</v>
      </c>
      <c r="J213" s="1651">
        <v>70</v>
      </c>
      <c r="K213" s="936"/>
      <c r="L213" s="600"/>
      <c r="M213" s="1714"/>
      <c r="N213" s="388"/>
      <c r="O213" s="459"/>
      <c r="P213" s="460"/>
      <c r="Q213" s="1700"/>
    </row>
    <row r="214" spans="1:28" s="503" customFormat="1" ht="18" customHeight="1" x14ac:dyDescent="0.2">
      <c r="A214" s="398"/>
      <c r="B214" s="381"/>
      <c r="C214" s="466"/>
      <c r="D214" s="1088" t="s">
        <v>14</v>
      </c>
      <c r="E214" s="672"/>
      <c r="F214" s="180" t="s">
        <v>78</v>
      </c>
      <c r="G214" s="172"/>
      <c r="H214" s="137"/>
      <c r="I214" s="14"/>
      <c r="J214" s="1704"/>
      <c r="K214" s="1694"/>
      <c r="L214" s="1695"/>
      <c r="M214" s="73" t="s">
        <v>194</v>
      </c>
      <c r="N214" s="211">
        <v>92</v>
      </c>
      <c r="O214" s="54">
        <v>92</v>
      </c>
      <c r="P214" s="256">
        <v>92</v>
      </c>
      <c r="Q214" s="455"/>
      <c r="R214" s="502"/>
      <c r="S214" s="502"/>
      <c r="T214" s="502"/>
      <c r="U214" s="502"/>
      <c r="V214" s="502"/>
      <c r="W214" s="502"/>
      <c r="X214" s="502"/>
      <c r="Y214" s="502"/>
      <c r="Z214" s="502"/>
      <c r="AA214" s="502"/>
      <c r="AB214" s="502"/>
    </row>
    <row r="215" spans="1:28" s="503" customFormat="1" ht="28.5" customHeight="1" x14ac:dyDescent="0.2">
      <c r="A215" s="398"/>
      <c r="B215" s="381"/>
      <c r="C215" s="81"/>
      <c r="D215" s="661" t="s">
        <v>17</v>
      </c>
      <c r="E215" s="661"/>
      <c r="F215" s="1748" t="s">
        <v>85</v>
      </c>
      <c r="G215" s="173"/>
      <c r="H215" s="137"/>
      <c r="I215" s="80"/>
      <c r="J215" s="1138"/>
      <c r="K215" s="1139"/>
      <c r="L215" s="1705"/>
      <c r="M215" s="199" t="s">
        <v>195</v>
      </c>
      <c r="N215" s="1220">
        <v>59</v>
      </c>
      <c r="O215" s="6">
        <v>79</v>
      </c>
      <c r="P215" s="604">
        <v>89</v>
      </c>
      <c r="Q215" s="502"/>
      <c r="R215" s="502"/>
      <c r="S215" s="502"/>
      <c r="T215" s="502"/>
      <c r="U215" s="502"/>
      <c r="V215" s="502"/>
      <c r="W215" s="502"/>
      <c r="X215" s="502"/>
      <c r="Y215" s="502"/>
      <c r="Z215" s="502"/>
      <c r="AA215" s="502"/>
      <c r="AB215" s="502"/>
    </row>
    <row r="216" spans="1:28" s="503" customFormat="1" ht="29.25" customHeight="1" x14ac:dyDescent="0.2">
      <c r="A216" s="398"/>
      <c r="B216" s="381"/>
      <c r="C216" s="81"/>
      <c r="D216" s="661"/>
      <c r="E216" s="661"/>
      <c r="F216" s="1941"/>
      <c r="G216" s="172"/>
      <c r="H216" s="137"/>
      <c r="I216" s="1140"/>
      <c r="J216" s="1141"/>
      <c r="K216" s="1142"/>
      <c r="L216" s="1143"/>
      <c r="M216" s="226" t="s">
        <v>196</v>
      </c>
      <c r="N216" s="210">
        <v>20</v>
      </c>
      <c r="O216" s="10">
        <v>10</v>
      </c>
      <c r="P216" s="955"/>
      <c r="Q216" s="502"/>
      <c r="R216" s="502"/>
      <c r="S216" s="502"/>
      <c r="T216" s="502"/>
      <c r="U216" s="502"/>
      <c r="V216" s="502"/>
      <c r="W216" s="502"/>
      <c r="X216" s="502"/>
      <c r="Y216" s="502"/>
      <c r="Z216" s="502"/>
      <c r="AA216" s="502"/>
      <c r="AB216" s="502"/>
    </row>
    <row r="217" spans="1:28" s="3" customFormat="1" ht="42" customHeight="1" x14ac:dyDescent="0.2">
      <c r="A217" s="1682"/>
      <c r="B217" s="1709"/>
      <c r="C217" s="81"/>
      <c r="D217" s="683" t="s">
        <v>19</v>
      </c>
      <c r="E217" s="683"/>
      <c r="F217" s="1691" t="s">
        <v>698</v>
      </c>
      <c r="G217" s="173"/>
      <c r="H217" s="166"/>
      <c r="I217" s="80"/>
      <c r="J217" s="1704"/>
      <c r="K217" s="630"/>
      <c r="L217" s="1085"/>
      <c r="M217" s="199" t="s">
        <v>194</v>
      </c>
      <c r="N217" s="227">
        <v>1</v>
      </c>
      <c r="O217" s="239"/>
      <c r="P217" s="1054"/>
      <c r="Q217" s="1"/>
      <c r="R217" s="1"/>
      <c r="S217" s="1"/>
      <c r="T217" s="1"/>
      <c r="U217" s="1"/>
      <c r="V217" s="1"/>
      <c r="W217" s="1"/>
      <c r="X217" s="1"/>
      <c r="Y217" s="1"/>
      <c r="Z217" s="1"/>
      <c r="AA217" s="1"/>
      <c r="AB217" s="1"/>
    </row>
    <row r="218" spans="1:28" s="503" customFormat="1" ht="31.5" customHeight="1" x14ac:dyDescent="0.2">
      <c r="A218" s="398"/>
      <c r="B218" s="377"/>
      <c r="C218" s="81"/>
      <c r="D218" s="661" t="s">
        <v>21</v>
      </c>
      <c r="E218" s="661"/>
      <c r="F218" s="1747" t="s">
        <v>700</v>
      </c>
      <c r="G218" s="173"/>
      <c r="H218" s="137"/>
      <c r="I218" s="80"/>
      <c r="J218" s="1704"/>
      <c r="K218" s="1694"/>
      <c r="L218" s="1705"/>
      <c r="M218" s="1137" t="s">
        <v>197</v>
      </c>
      <c r="N218" s="221">
        <v>4</v>
      </c>
      <c r="O218" s="593"/>
      <c r="P218" s="464"/>
      <c r="Q218" s="502"/>
      <c r="R218" s="502"/>
      <c r="S218" s="502"/>
      <c r="T218" s="502"/>
      <c r="U218" s="502"/>
      <c r="V218" s="502"/>
      <c r="W218" s="502"/>
      <c r="X218" s="502"/>
      <c r="Y218" s="502"/>
      <c r="Z218" s="502"/>
      <c r="AA218" s="502"/>
      <c r="AB218" s="502"/>
    </row>
    <row r="219" spans="1:28" s="503" customFormat="1" ht="20.25" customHeight="1" x14ac:dyDescent="0.2">
      <c r="A219" s="398"/>
      <c r="B219" s="377"/>
      <c r="C219" s="81"/>
      <c r="D219" s="661"/>
      <c r="E219" s="661"/>
      <c r="F219" s="1748"/>
      <c r="G219" s="173"/>
      <c r="H219" s="137"/>
      <c r="I219" s="80"/>
      <c r="J219" s="1704"/>
      <c r="K219" s="1694"/>
      <c r="L219" s="1705"/>
      <c r="M219" s="1746" t="s">
        <v>262</v>
      </c>
      <c r="N219" s="918">
        <v>2</v>
      </c>
      <c r="O219" s="919">
        <v>2</v>
      </c>
      <c r="P219" s="1733"/>
      <c r="Q219" s="502"/>
      <c r="R219" s="502"/>
      <c r="S219" s="502"/>
      <c r="T219" s="502"/>
      <c r="U219" s="502"/>
      <c r="V219" s="502"/>
      <c r="W219" s="502"/>
      <c r="X219" s="502"/>
      <c r="Y219" s="502"/>
      <c r="Z219" s="502"/>
      <c r="AA219" s="502"/>
      <c r="AB219" s="502"/>
    </row>
    <row r="220" spans="1:28" s="503" customFormat="1" ht="20.25" customHeight="1" x14ac:dyDescent="0.2">
      <c r="A220" s="398"/>
      <c r="B220" s="377"/>
      <c r="C220" s="81"/>
      <c r="D220" s="661"/>
      <c r="E220" s="661"/>
      <c r="F220" s="1748"/>
      <c r="G220" s="173"/>
      <c r="H220" s="137"/>
      <c r="I220" s="80"/>
      <c r="J220" s="1704"/>
      <c r="K220" s="1694"/>
      <c r="L220" s="1705"/>
      <c r="M220" s="1746"/>
      <c r="N220" s="8"/>
      <c r="O220" s="239"/>
      <c r="P220" s="1733"/>
      <c r="Q220" s="502"/>
      <c r="R220" s="502"/>
      <c r="S220" s="502"/>
      <c r="T220" s="502"/>
      <c r="U220" s="502"/>
      <c r="V220" s="502"/>
      <c r="W220" s="502"/>
      <c r="X220" s="502"/>
      <c r="Y220" s="502"/>
      <c r="Z220" s="502"/>
      <c r="AA220" s="502"/>
      <c r="AB220" s="502"/>
    </row>
    <row r="221" spans="1:28" ht="42.75" customHeight="1" x14ac:dyDescent="0.2">
      <c r="A221" s="398"/>
      <c r="B221" s="377"/>
      <c r="C221" s="81"/>
      <c r="D221" s="661"/>
      <c r="E221" s="661"/>
      <c r="F221" s="1941"/>
      <c r="G221" s="172"/>
      <c r="H221" s="137"/>
      <c r="I221" s="605"/>
      <c r="J221" s="253"/>
      <c r="K221" s="1713"/>
      <c r="L221" s="45"/>
      <c r="M221" s="226" t="s">
        <v>631</v>
      </c>
      <c r="N221" s="221">
        <v>2</v>
      </c>
      <c r="O221" s="593">
        <v>2</v>
      </c>
      <c r="P221" s="505"/>
    </row>
    <row r="222" spans="1:28" ht="29.25" customHeight="1" x14ac:dyDescent="0.2">
      <c r="A222" s="398"/>
      <c r="B222" s="381"/>
      <c r="C222" s="81"/>
      <c r="D222" s="684" t="s">
        <v>22</v>
      </c>
      <c r="E222" s="684"/>
      <c r="F222" s="1747" t="s">
        <v>699</v>
      </c>
      <c r="G222" s="173"/>
      <c r="H222" s="1706">
        <v>5</v>
      </c>
      <c r="I222" s="938" t="s">
        <v>15</v>
      </c>
      <c r="J222" s="939">
        <v>237.1</v>
      </c>
      <c r="K222" s="1712">
        <v>692.9</v>
      </c>
      <c r="L222" s="1715"/>
      <c r="M222" s="217" t="s">
        <v>263</v>
      </c>
      <c r="N222" s="227">
        <v>30</v>
      </c>
      <c r="O222" s="5">
        <v>100</v>
      </c>
      <c r="P222" s="287"/>
      <c r="Q222" s="455"/>
    </row>
    <row r="223" spans="1:28" ht="16.5" customHeight="1" x14ac:dyDescent="0.2">
      <c r="A223" s="398"/>
      <c r="B223" s="506"/>
      <c r="C223" s="82"/>
      <c r="D223" s="662"/>
      <c r="E223" s="662"/>
      <c r="F223" s="1748"/>
      <c r="G223" s="173"/>
      <c r="H223" s="1706">
        <v>6</v>
      </c>
      <c r="I223" s="609" t="s">
        <v>98</v>
      </c>
      <c r="J223" s="141">
        <v>5</v>
      </c>
      <c r="K223" s="936"/>
      <c r="L223" s="600"/>
      <c r="M223" s="1746"/>
      <c r="N223" s="222"/>
      <c r="O223" s="240"/>
      <c r="P223" s="23"/>
    </row>
    <row r="224" spans="1:28" ht="14.25" customHeight="1" thickBot="1" x14ac:dyDescent="0.25">
      <c r="A224" s="398"/>
      <c r="B224" s="506"/>
      <c r="C224" s="82"/>
      <c r="D224" s="662"/>
      <c r="E224" s="662"/>
      <c r="F224" s="1749"/>
      <c r="G224" s="174"/>
      <c r="H224" s="501"/>
      <c r="I224" s="4" t="s">
        <v>16</v>
      </c>
      <c r="J224" s="66">
        <f>SUM(J209:J223)</f>
        <v>2561.3000000000002</v>
      </c>
      <c r="K224" s="111">
        <f>SUM(K209:K223)</f>
        <v>3003.4</v>
      </c>
      <c r="L224" s="437">
        <f t="shared" ref="L224" si="11">SUM(L209:L223)</f>
        <v>2119.9</v>
      </c>
      <c r="M224" s="1750"/>
      <c r="N224" s="216"/>
      <c r="O224" s="332"/>
      <c r="P224" s="483"/>
    </row>
    <row r="225" spans="1:23" s="508" customFormat="1" ht="14.25" customHeight="1" thickBot="1" x14ac:dyDescent="0.25">
      <c r="A225" s="507" t="s">
        <v>17</v>
      </c>
      <c r="B225" s="486" t="s">
        <v>21</v>
      </c>
      <c r="C225" s="1751" t="s">
        <v>20</v>
      </c>
      <c r="D225" s="1752"/>
      <c r="E225" s="1752"/>
      <c r="F225" s="1752"/>
      <c r="G225" s="1752"/>
      <c r="H225" s="1752"/>
      <c r="I225" s="1752"/>
      <c r="J225" s="806">
        <f>+J203+J208+J224+J205</f>
        <v>4888.9000000000005</v>
      </c>
      <c r="K225" s="807">
        <f>+K203+K208+K224+K205</f>
        <v>4939.3</v>
      </c>
      <c r="L225" s="843">
        <f>+L203+L208+L224+L205</f>
        <v>4017.8</v>
      </c>
      <c r="M225" s="443"/>
      <c r="N225" s="606"/>
      <c r="O225" s="606"/>
      <c r="P225" s="607"/>
    </row>
    <row r="226" spans="1:23" s="344" customFormat="1" ht="14.25" customHeight="1" thickBot="1" x14ac:dyDescent="0.25">
      <c r="A226" s="507" t="s">
        <v>17</v>
      </c>
      <c r="B226" s="1891" t="s">
        <v>6</v>
      </c>
      <c r="C226" s="1892"/>
      <c r="D226" s="1892"/>
      <c r="E226" s="1892"/>
      <c r="F226" s="1892"/>
      <c r="G226" s="1892"/>
      <c r="H226" s="1892"/>
      <c r="I226" s="1892"/>
      <c r="J226" s="1086">
        <f>J225+J182+J170</f>
        <v>9668.2000000000007</v>
      </c>
      <c r="K226" s="865">
        <f>K225+K182+K170</f>
        <v>14942</v>
      </c>
      <c r="L226" s="866">
        <f>L225+L182+L170</f>
        <v>14880</v>
      </c>
      <c r="M226" s="446"/>
      <c r="N226" s="340"/>
      <c r="O226" s="340"/>
      <c r="P226" s="341"/>
      <c r="R226" s="347"/>
      <c r="T226" s="347"/>
    </row>
    <row r="227" spans="1:23" s="344" customFormat="1" ht="14.25" customHeight="1" thickBot="1" x14ac:dyDescent="0.25">
      <c r="A227" s="509" t="s">
        <v>5</v>
      </c>
      <c r="B227" s="1753" t="s">
        <v>7</v>
      </c>
      <c r="C227" s="1754"/>
      <c r="D227" s="1754"/>
      <c r="E227" s="1754"/>
      <c r="F227" s="1754"/>
      <c r="G227" s="1754"/>
      <c r="H227" s="1754"/>
      <c r="I227" s="1754"/>
      <c r="J227" s="1087">
        <f>J226+J103</f>
        <v>90203.699999999983</v>
      </c>
      <c r="K227" s="869">
        <f>K226+K103</f>
        <v>94542.699999999983</v>
      </c>
      <c r="L227" s="870">
        <f>L226+L103</f>
        <v>94064.4</v>
      </c>
      <c r="M227" s="510"/>
      <c r="N227" s="511"/>
      <c r="O227" s="511"/>
      <c r="P227" s="512"/>
    </row>
    <row r="228" spans="1:23" s="344" customFormat="1" ht="23.25" customHeight="1" thickBot="1" x14ac:dyDescent="0.25">
      <c r="A228" s="1755" t="s">
        <v>0</v>
      </c>
      <c r="B228" s="1755"/>
      <c r="C228" s="1755"/>
      <c r="D228" s="1755"/>
      <c r="E228" s="1755"/>
      <c r="F228" s="1755"/>
      <c r="G228" s="1755"/>
      <c r="H228" s="1755"/>
      <c r="I228" s="1755"/>
      <c r="J228" s="1755"/>
      <c r="K228" s="1755"/>
      <c r="L228" s="1755"/>
      <c r="M228" s="1144"/>
      <c r="N228" s="1144"/>
      <c r="O228" s="1144"/>
      <c r="P228" s="1144"/>
    </row>
    <row r="229" spans="1:23" s="344" customFormat="1" ht="59.25" customHeight="1" thickBot="1" x14ac:dyDescent="0.25">
      <c r="A229" s="1930" t="s">
        <v>1</v>
      </c>
      <c r="B229" s="1931"/>
      <c r="C229" s="1931"/>
      <c r="D229" s="1931"/>
      <c r="E229" s="1931"/>
      <c r="F229" s="1931"/>
      <c r="G229" s="1931"/>
      <c r="H229" s="1931"/>
      <c r="I229" s="1932"/>
      <c r="J229" s="329" t="s">
        <v>703</v>
      </c>
      <c r="K229" s="642" t="s">
        <v>113</v>
      </c>
      <c r="L229" s="640" t="s">
        <v>265</v>
      </c>
      <c r="M229" s="89"/>
      <c r="N229" s="342"/>
      <c r="O229" s="342"/>
      <c r="P229" s="342"/>
      <c r="S229" s="347"/>
    </row>
    <row r="230" spans="1:23" s="344" customFormat="1" ht="13.5" customHeight="1" x14ac:dyDescent="0.2">
      <c r="A230" s="1924" t="s">
        <v>24</v>
      </c>
      <c r="B230" s="1925"/>
      <c r="C230" s="1925"/>
      <c r="D230" s="1925"/>
      <c r="E230" s="1925"/>
      <c r="F230" s="1925"/>
      <c r="G230" s="1925"/>
      <c r="H230" s="1925"/>
      <c r="I230" s="1925"/>
      <c r="J230" s="639">
        <f>+J231+J238+J239+J240+J241</f>
        <v>89547.499999999985</v>
      </c>
      <c r="K230" s="643">
        <f t="shared" ref="K230:L230" ca="1" si="12">+K231+K238+K239+K240+K241</f>
        <v>93904.900000000023</v>
      </c>
      <c r="L230" s="641">
        <f t="shared" ca="1" si="12"/>
        <v>94064.400000000009</v>
      </c>
      <c r="M230" s="89"/>
      <c r="N230" s="342"/>
      <c r="O230" s="342"/>
      <c r="P230" s="342"/>
    </row>
    <row r="231" spans="1:23" s="344" customFormat="1" ht="13.5" customHeight="1" x14ac:dyDescent="0.2">
      <c r="A231" s="1933" t="s">
        <v>711</v>
      </c>
      <c r="B231" s="1934"/>
      <c r="C231" s="1934"/>
      <c r="D231" s="1934"/>
      <c r="E231" s="1934"/>
      <c r="F231" s="1934"/>
      <c r="G231" s="1934"/>
      <c r="H231" s="1934"/>
      <c r="I231" s="1934"/>
      <c r="J231" s="1353">
        <f>SUM(J232:J237)</f>
        <v>87721.099999999991</v>
      </c>
      <c r="K231" s="1408">
        <f>SUM(K232:K237)</f>
        <v>93904.900000000023</v>
      </c>
      <c r="L231" s="1415">
        <f t="shared" ref="L231" si="13">SUM(L232:L237)</f>
        <v>94064.400000000009</v>
      </c>
      <c r="M231" s="89"/>
      <c r="N231" s="342"/>
      <c r="O231" s="342"/>
      <c r="P231" s="342"/>
    </row>
    <row r="232" spans="1:23" s="344" customFormat="1" ht="14.25" customHeight="1" x14ac:dyDescent="0.2">
      <c r="A232" s="1937" t="s">
        <v>27</v>
      </c>
      <c r="B232" s="1938"/>
      <c r="C232" s="1938"/>
      <c r="D232" s="1938"/>
      <c r="E232" s="1938"/>
      <c r="F232" s="1938"/>
      <c r="G232" s="1938"/>
      <c r="H232" s="1938"/>
      <c r="I232" s="1938"/>
      <c r="J232" s="96">
        <f>SUMIF(I13:I223,"sb",J13:J223)</f>
        <v>39197.500000000007</v>
      </c>
      <c r="K232" s="117">
        <f>SUMIF(I13:I223,"sb",K13:K223)</f>
        <v>42497.300000000017</v>
      </c>
      <c r="L232" s="129">
        <f>SUMIF(I13:I223,"sb",L13:L223)</f>
        <v>41934.800000000003</v>
      </c>
      <c r="M232" s="163"/>
      <c r="N232" s="342"/>
      <c r="O232" s="342"/>
      <c r="P232" s="342"/>
    </row>
    <row r="233" spans="1:23" s="344" customFormat="1" ht="15.75" customHeight="1" x14ac:dyDescent="0.2">
      <c r="A233" s="1937" t="s">
        <v>32</v>
      </c>
      <c r="B233" s="1938"/>
      <c r="C233" s="1938"/>
      <c r="D233" s="1938"/>
      <c r="E233" s="1938"/>
      <c r="F233" s="1938"/>
      <c r="G233" s="1938"/>
      <c r="H233" s="1938"/>
      <c r="I233" s="1938"/>
      <c r="J233" s="96">
        <f>SUMIF(I13:I223,"sb(sp)",J13:J223)</f>
        <v>5544.9</v>
      </c>
      <c r="K233" s="117">
        <f>SUMIF(I13:I223,"sb(sp)",K13:K223)</f>
        <v>5544.9</v>
      </c>
      <c r="L233" s="129">
        <f>SUMIF(I13:I223,"sb(sp)",L13:L223)</f>
        <v>5544.9</v>
      </c>
      <c r="M233" s="88"/>
      <c r="N233" s="342"/>
      <c r="O233" s="342"/>
      <c r="P233" s="342"/>
    </row>
    <row r="234" spans="1:23" s="344" customFormat="1" ht="15.75" customHeight="1" x14ac:dyDescent="0.2">
      <c r="A234" s="1937" t="s">
        <v>215</v>
      </c>
      <c r="B234" s="1938"/>
      <c r="C234" s="1938"/>
      <c r="D234" s="1938"/>
      <c r="E234" s="1938"/>
      <c r="F234" s="1938"/>
      <c r="G234" s="1938"/>
      <c r="H234" s="1938"/>
      <c r="I234" s="1938"/>
      <c r="J234" s="96">
        <f>SUMIF(I13:I223,"sb(p)",J13:J223)</f>
        <v>200</v>
      </c>
      <c r="K234" s="117">
        <f>SUMIF(I13:I223,"sb(p)",K13:K223)</f>
        <v>2986.5</v>
      </c>
      <c r="L234" s="129">
        <f>SUMIF(I13:I223,"sb(p)",L13:L223)</f>
        <v>4900</v>
      </c>
      <c r="M234" s="88"/>
      <c r="N234" s="342"/>
      <c r="O234" s="342"/>
      <c r="P234" s="342"/>
    </row>
    <row r="235" spans="1:23" s="344" customFormat="1" ht="15.75" customHeight="1" x14ac:dyDescent="0.2">
      <c r="A235" s="1948" t="s">
        <v>28</v>
      </c>
      <c r="B235" s="1949"/>
      <c r="C235" s="1949"/>
      <c r="D235" s="1949"/>
      <c r="E235" s="1949"/>
      <c r="F235" s="1949"/>
      <c r="G235" s="1949"/>
      <c r="H235" s="1949"/>
      <c r="I235" s="1949"/>
      <c r="J235" s="97">
        <f>SUMIF(I13:I223,"sb(vb)",J13:J223)</f>
        <v>40762.499999999993</v>
      </c>
      <c r="K235" s="118">
        <f>SUMIF(I13:I223,"sb(vb)",K13:K223)</f>
        <v>40920.699999999997</v>
      </c>
      <c r="L235" s="154">
        <f>SUMIF(I13:I223,"sb(vb)",L13:L223)</f>
        <v>41031.5</v>
      </c>
      <c r="M235" s="88"/>
      <c r="N235" s="342"/>
      <c r="O235" s="342"/>
      <c r="P235" s="342"/>
      <c r="T235" s="347"/>
    </row>
    <row r="236" spans="1:23" ht="30" customHeight="1" x14ac:dyDescent="0.2">
      <c r="A236" s="1937" t="s">
        <v>199</v>
      </c>
      <c r="B236" s="1938"/>
      <c r="C236" s="1938"/>
      <c r="D236" s="1938"/>
      <c r="E236" s="1938"/>
      <c r="F236" s="1938"/>
      <c r="G236" s="1938"/>
      <c r="H236" s="1938"/>
      <c r="I236" s="1938"/>
      <c r="J236" s="203">
        <f>SUMIF(I12:I223,"sb(esa)",J12:J223)</f>
        <v>0</v>
      </c>
      <c r="K236" s="245">
        <f>SUMIF(I13:I224,"sb(esa)",K13:K224)</f>
        <v>7.7</v>
      </c>
      <c r="L236" s="873">
        <f>SUMIF(I13:I224,"sb(esa)",L13:L224)</f>
        <v>0</v>
      </c>
      <c r="M236" s="88"/>
      <c r="N236" s="342"/>
      <c r="O236" s="342"/>
      <c r="P236" s="342"/>
      <c r="Q236" s="344"/>
      <c r="R236" s="344"/>
      <c r="S236" s="344"/>
      <c r="T236" s="344"/>
      <c r="U236" s="344"/>
      <c r="V236" s="344"/>
      <c r="W236" s="344"/>
    </row>
    <row r="237" spans="1:23" ht="28.5" customHeight="1" x14ac:dyDescent="0.2">
      <c r="A237" s="1935" t="s">
        <v>702</v>
      </c>
      <c r="B237" s="1936"/>
      <c r="C237" s="1936"/>
      <c r="D237" s="1936"/>
      <c r="E237" s="1936"/>
      <c r="F237" s="1936"/>
      <c r="G237" s="1936"/>
      <c r="H237" s="1936"/>
      <c r="I237" s="1936"/>
      <c r="J237" s="1354">
        <f>SUMIF(I12:I223,"sb(es)",J12:J223)</f>
        <v>2016.1999999999998</v>
      </c>
      <c r="K237" s="1355">
        <f>SUMIF(I13:I224,"sb(es)",K13:K224)</f>
        <v>1947.8</v>
      </c>
      <c r="L237" s="248">
        <f>SUMIF(I13:I224,"sb(es)",L13:L224)</f>
        <v>653.20000000000005</v>
      </c>
      <c r="M237" s="88"/>
      <c r="N237" s="342"/>
      <c r="O237" s="342"/>
      <c r="P237" s="342"/>
      <c r="Q237" s="344"/>
      <c r="R237" s="344"/>
      <c r="S237" s="344"/>
      <c r="T237" s="344"/>
      <c r="U237" s="344"/>
      <c r="V237" s="344"/>
      <c r="W237" s="344"/>
    </row>
    <row r="238" spans="1:23" ht="16.5" customHeight="1" x14ac:dyDescent="0.2">
      <c r="A238" s="1942" t="s">
        <v>99</v>
      </c>
      <c r="B238" s="1942"/>
      <c r="C238" s="1942"/>
      <c r="D238" s="1942"/>
      <c r="E238" s="1942"/>
      <c r="F238" s="1942"/>
      <c r="G238" s="1942"/>
      <c r="H238" s="1942"/>
      <c r="I238" s="1943"/>
      <c r="J238" s="1424">
        <f>SUMIF(I13:I223,"sb(l)",J13:J223)</f>
        <v>1332</v>
      </c>
      <c r="K238" s="1423">
        <f>SUMIF(I13:I223,"sb(l)",K13:K223)</f>
        <v>0</v>
      </c>
      <c r="L238" s="1425">
        <f>SUMIF(I13:I223,"sb(l)",L13:L223)</f>
        <v>0</v>
      </c>
      <c r="M238" s="88"/>
      <c r="N238" s="342"/>
      <c r="O238" s="342"/>
      <c r="P238" s="342"/>
      <c r="Q238" s="344"/>
      <c r="R238" s="344"/>
      <c r="S238" s="344"/>
      <c r="T238" s="344"/>
      <c r="U238" s="344"/>
      <c r="V238" s="344"/>
      <c r="W238" s="344"/>
    </row>
    <row r="239" spans="1:23" ht="30.75" customHeight="1" x14ac:dyDescent="0.2">
      <c r="A239" s="1942" t="s">
        <v>709</v>
      </c>
      <c r="B239" s="1942"/>
      <c r="C239" s="1942"/>
      <c r="D239" s="1942"/>
      <c r="E239" s="1942"/>
      <c r="F239" s="1942"/>
      <c r="G239" s="1942"/>
      <c r="H239" s="1942"/>
      <c r="I239" s="1943"/>
      <c r="J239" s="1424">
        <f>SUMIF(I14:I223,"sb(esl)",J14:J223)</f>
        <v>11.399999999999999</v>
      </c>
      <c r="K239" s="1423">
        <f>SUMIF(I15:I224,"sb(esl)",K15:K224)</f>
        <v>0</v>
      </c>
      <c r="L239" s="1425">
        <f>SUMIF(I15:I224,"sb(esl)",L15:L224)</f>
        <v>0</v>
      </c>
      <c r="M239" s="88"/>
      <c r="N239" s="342"/>
      <c r="O239" s="342"/>
      <c r="P239" s="342"/>
      <c r="Q239" s="344"/>
      <c r="R239" s="344"/>
      <c r="S239" s="344"/>
      <c r="T239" s="344"/>
      <c r="U239" s="344"/>
      <c r="V239" s="344"/>
      <c r="W239" s="344"/>
    </row>
    <row r="240" spans="1:23" ht="16.5" customHeight="1" x14ac:dyDescent="0.2">
      <c r="A240" s="1942" t="s">
        <v>67</v>
      </c>
      <c r="B240" s="1942"/>
      <c r="C240" s="1942"/>
      <c r="D240" s="1942"/>
      <c r="E240" s="1942"/>
      <c r="F240" s="1942"/>
      <c r="G240" s="1942"/>
      <c r="H240" s="1942"/>
      <c r="I240" s="1943"/>
      <c r="J240" s="1424">
        <f>SUMIF(I14:I223,"sb(spl)",J14:J223)</f>
        <v>482.3</v>
      </c>
      <c r="K240" s="1423">
        <f>SUMIF(I16:I225,"sb(spl)",K16:K225)</f>
        <v>0</v>
      </c>
      <c r="L240" s="1425">
        <f>SUMIF(I16:I225,"sb(spl)",L16:L225)</f>
        <v>0</v>
      </c>
      <c r="M240" s="88"/>
      <c r="N240" s="342"/>
      <c r="O240" s="342"/>
      <c r="P240" s="342"/>
      <c r="Q240" s="344"/>
      <c r="R240" s="344"/>
      <c r="S240" s="344"/>
      <c r="T240" s="344"/>
      <c r="U240" s="344"/>
      <c r="V240" s="344"/>
      <c r="W240" s="344"/>
    </row>
    <row r="241" spans="1:23" ht="16.5" customHeight="1" x14ac:dyDescent="0.2">
      <c r="A241" s="1942" t="s">
        <v>722</v>
      </c>
      <c r="B241" s="1942"/>
      <c r="C241" s="1942"/>
      <c r="D241" s="1942"/>
      <c r="E241" s="1942"/>
      <c r="F241" s="1942"/>
      <c r="G241" s="1942"/>
      <c r="H241" s="1942"/>
      <c r="I241" s="1943"/>
      <c r="J241" s="1424">
        <f>SUMIF(I11:I223,"sb(vbl)",J11:J223)</f>
        <v>0.7</v>
      </c>
      <c r="K241" s="1423">
        <f ca="1">SUMIF(I14:I226,"sb(vbl)",K17:K226)</f>
        <v>0</v>
      </c>
      <c r="L241" s="1425">
        <f ca="1">SUMIF(I14:I226,"sb(vbl)",L17:L226)</f>
        <v>0</v>
      </c>
      <c r="M241" s="88"/>
      <c r="N241" s="342"/>
      <c r="O241" s="342"/>
      <c r="P241" s="342"/>
      <c r="Q241" s="344"/>
      <c r="R241" s="344"/>
      <c r="S241" s="344"/>
      <c r="T241" s="344"/>
      <c r="U241" s="344"/>
      <c r="V241" s="344"/>
      <c r="W241" s="344"/>
    </row>
    <row r="242" spans="1:23" ht="17.25" customHeight="1" thickBot="1" x14ac:dyDescent="0.25">
      <c r="A242" s="1944" t="s">
        <v>25</v>
      </c>
      <c r="B242" s="1945"/>
      <c r="C242" s="1945"/>
      <c r="D242" s="1945"/>
      <c r="E242" s="1945"/>
      <c r="F242" s="1945"/>
      <c r="G242" s="1945"/>
      <c r="H242" s="1945"/>
      <c r="I242" s="1945"/>
      <c r="J242" s="1420">
        <f>SUM(J243:J244)</f>
        <v>656.2</v>
      </c>
      <c r="K242" s="1421">
        <f>SUM(K243:K244)</f>
        <v>637.79999999999995</v>
      </c>
      <c r="L242" s="1422">
        <f>SUM(L243:L243)</f>
        <v>0</v>
      </c>
      <c r="M242" s="89"/>
      <c r="N242" s="342"/>
      <c r="O242" s="342"/>
      <c r="P242" s="342"/>
      <c r="Q242" s="344"/>
      <c r="R242" s="344"/>
      <c r="S242" s="344"/>
      <c r="T242" s="344"/>
      <c r="V242" s="344"/>
      <c r="W242" s="344"/>
    </row>
    <row r="243" spans="1:23" ht="15" customHeight="1" x14ac:dyDescent="0.2">
      <c r="A243" s="1794" t="s">
        <v>105</v>
      </c>
      <c r="B243" s="1795"/>
      <c r="C243" s="1795"/>
      <c r="D243" s="1795"/>
      <c r="E243" s="1795"/>
      <c r="F243" s="1795"/>
      <c r="G243" s="1795"/>
      <c r="H243" s="1795"/>
      <c r="I243" s="1795"/>
      <c r="J243" s="98">
        <f>SUMIF(I13:I223,"lrvb",J13:J223)</f>
        <v>146.80000000000001</v>
      </c>
      <c r="K243" s="132">
        <f>SUMIF(I13:I223,"lrvb",K13:K223)</f>
        <v>128.4</v>
      </c>
      <c r="L243" s="155">
        <f>SUMIF(I13:I223,"lrvb",L13:L223)</f>
        <v>0</v>
      </c>
      <c r="M243" s="88"/>
      <c r="N243" s="342"/>
      <c r="O243" s="342"/>
      <c r="P243" s="342"/>
    </row>
    <row r="244" spans="1:23" ht="15" customHeight="1" thickBot="1" x14ac:dyDescent="0.25">
      <c r="A244" s="1946" t="s">
        <v>638</v>
      </c>
      <c r="B244" s="1947"/>
      <c r="C244" s="1947"/>
      <c r="D244" s="1947"/>
      <c r="E244" s="1947"/>
      <c r="F244" s="1947"/>
      <c r="G244" s="1947"/>
      <c r="H244" s="1947"/>
      <c r="I244" s="1947"/>
      <c r="J244" s="98">
        <f>SUMIF(I15:I224,"es",J15:J224)</f>
        <v>509.4</v>
      </c>
      <c r="K244" s="1182">
        <f>SUMIF(I15:I224,"es",K15:K224)</f>
        <v>509.4</v>
      </c>
      <c r="L244" s="1183"/>
      <c r="M244" s="88"/>
      <c r="N244" s="342"/>
      <c r="O244" s="342"/>
      <c r="P244" s="342"/>
    </row>
    <row r="245" spans="1:23" ht="16.5" customHeight="1" thickBot="1" x14ac:dyDescent="0.25">
      <c r="A245" s="1756" t="s">
        <v>26</v>
      </c>
      <c r="B245" s="1757"/>
      <c r="C245" s="1757"/>
      <c r="D245" s="1757"/>
      <c r="E245" s="1757"/>
      <c r="F245" s="1757"/>
      <c r="G245" s="1757"/>
      <c r="H245" s="1757"/>
      <c r="I245" s="1757"/>
      <c r="J245" s="100">
        <f>J242+J230</f>
        <v>90203.699999999983</v>
      </c>
      <c r="K245" s="120">
        <f ca="1">K242+K230</f>
        <v>94542.700000000026</v>
      </c>
      <c r="L245" s="157">
        <f ca="1">L242+L230</f>
        <v>94064.400000000009</v>
      </c>
      <c r="M245" s="89"/>
    </row>
    <row r="246" spans="1:23" ht="22.5" customHeight="1" x14ac:dyDescent="0.2">
      <c r="A246" s="1758" t="s">
        <v>216</v>
      </c>
      <c r="B246" s="1758"/>
      <c r="C246" s="1758"/>
      <c r="D246" s="1758"/>
      <c r="E246" s="1758"/>
      <c r="F246" s="1758"/>
      <c r="G246" s="1758"/>
      <c r="H246" s="1758"/>
      <c r="I246" s="1758"/>
      <c r="J246" s="1758"/>
      <c r="K246" s="1758"/>
      <c r="L246" s="1758"/>
      <c r="M246" s="1758"/>
      <c r="N246" s="1758"/>
      <c r="O246" s="1758"/>
      <c r="P246" s="1758"/>
    </row>
    <row r="247" spans="1:23" x14ac:dyDescent="0.2">
      <c r="F247" s="347"/>
      <c r="G247" s="1700"/>
      <c r="H247" s="1700"/>
      <c r="I247" s="457"/>
      <c r="J247" s="504"/>
      <c r="K247" s="504"/>
      <c r="L247" s="504"/>
    </row>
    <row r="248" spans="1:23" x14ac:dyDescent="0.2">
      <c r="F248" s="347"/>
      <c r="G248" s="1700"/>
      <c r="H248" s="1700"/>
      <c r="I248" s="457"/>
      <c r="J248" s="504"/>
      <c r="K248" s="504"/>
      <c r="L248" s="504"/>
    </row>
    <row r="249" spans="1:23" x14ac:dyDescent="0.2">
      <c r="F249" s="347"/>
      <c r="G249" s="1700"/>
      <c r="H249" s="1700"/>
      <c r="I249" s="457"/>
      <c r="J249" s="504"/>
      <c r="K249" s="504"/>
      <c r="L249" s="504"/>
    </row>
    <row r="250" spans="1:23" x14ac:dyDescent="0.2">
      <c r="F250" s="347"/>
      <c r="G250" s="1700"/>
      <c r="H250" s="1700"/>
      <c r="I250" s="457"/>
      <c r="J250" s="504"/>
      <c r="K250" s="504"/>
      <c r="L250" s="504"/>
    </row>
    <row r="251" spans="1:23" x14ac:dyDescent="0.2">
      <c r="F251" s="347"/>
      <c r="G251" s="1700"/>
      <c r="H251" s="1700"/>
      <c r="I251" s="457"/>
      <c r="J251" s="504"/>
      <c r="K251" s="504"/>
      <c r="L251" s="504"/>
    </row>
    <row r="252" spans="1:23" x14ac:dyDescent="0.2">
      <c r="F252" s="347"/>
      <c r="G252" s="1700"/>
      <c r="H252" s="1700"/>
      <c r="I252" s="457"/>
      <c r="J252" s="504"/>
      <c r="K252" s="504"/>
      <c r="L252" s="504"/>
    </row>
    <row r="253" spans="1:23" x14ac:dyDescent="0.2">
      <c r="F253" s="347"/>
      <c r="G253" s="1700"/>
      <c r="H253" s="1700"/>
      <c r="I253" s="457"/>
      <c r="J253" s="504"/>
      <c r="K253" s="504"/>
      <c r="L253" s="504"/>
    </row>
    <row r="254" spans="1:23" x14ac:dyDescent="0.2">
      <c r="F254" s="347"/>
      <c r="G254" s="1700"/>
      <c r="H254" s="1700"/>
      <c r="I254" s="457"/>
      <c r="J254" s="504"/>
      <c r="K254" s="504"/>
      <c r="L254" s="504"/>
    </row>
    <row r="255" spans="1:23" x14ac:dyDescent="0.2">
      <c r="F255" s="347"/>
      <c r="G255" s="1700"/>
      <c r="H255" s="1700"/>
      <c r="I255" s="457"/>
      <c r="J255" s="504"/>
      <c r="K255" s="504"/>
      <c r="L255" s="504"/>
    </row>
    <row r="256" spans="1:23" x14ac:dyDescent="0.2">
      <c r="A256" s="467"/>
      <c r="B256" s="467"/>
      <c r="C256" s="467"/>
      <c r="D256" s="654"/>
      <c r="E256" s="677"/>
      <c r="F256" s="347"/>
      <c r="G256" s="1700"/>
      <c r="H256" s="1700"/>
      <c r="I256" s="457"/>
      <c r="J256" s="504"/>
      <c r="K256" s="504"/>
      <c r="L256" s="504"/>
      <c r="M256" s="347"/>
    </row>
    <row r="257" spans="1:13" x14ac:dyDescent="0.2">
      <c r="A257" s="467"/>
      <c r="B257" s="467"/>
      <c r="C257" s="467"/>
      <c r="D257" s="654"/>
      <c r="E257" s="677"/>
      <c r="F257" s="347"/>
      <c r="G257" s="1700"/>
      <c r="H257" s="1700"/>
      <c r="I257" s="457"/>
      <c r="J257" s="504"/>
      <c r="K257" s="504"/>
      <c r="L257" s="504"/>
      <c r="M257" s="347"/>
    </row>
    <row r="258" spans="1:13" x14ac:dyDescent="0.2">
      <c r="A258" s="467"/>
      <c r="B258" s="467"/>
      <c r="C258" s="467"/>
      <c r="D258" s="654"/>
      <c r="E258" s="677"/>
      <c r="F258" s="347"/>
      <c r="G258" s="1700"/>
      <c r="H258" s="1700"/>
      <c r="I258" s="457"/>
      <c r="J258" s="504"/>
      <c r="K258" s="504"/>
      <c r="L258" s="504"/>
      <c r="M258" s="347"/>
    </row>
    <row r="259" spans="1:13" x14ac:dyDescent="0.2">
      <c r="A259" s="467"/>
      <c r="B259" s="467"/>
      <c r="C259" s="467"/>
      <c r="D259" s="654"/>
      <c r="E259" s="677"/>
      <c r="F259" s="347"/>
      <c r="G259" s="1700"/>
      <c r="H259" s="1700"/>
      <c r="I259" s="457"/>
      <c r="J259" s="504"/>
      <c r="K259" s="504"/>
      <c r="L259" s="504"/>
      <c r="M259" s="347"/>
    </row>
    <row r="260" spans="1:13" x14ac:dyDescent="0.2">
      <c r="A260" s="467"/>
      <c r="B260" s="467"/>
      <c r="C260" s="467"/>
      <c r="D260" s="654"/>
      <c r="E260" s="677"/>
      <c r="F260" s="347"/>
      <c r="G260" s="1700"/>
      <c r="H260" s="1700"/>
      <c r="I260" s="457"/>
      <c r="J260" s="504"/>
      <c r="K260" s="504"/>
      <c r="L260" s="504"/>
      <c r="M260" s="347"/>
    </row>
    <row r="261" spans="1:13" x14ac:dyDescent="0.2">
      <c r="A261" s="467"/>
      <c r="B261" s="467"/>
      <c r="C261" s="467"/>
      <c r="D261" s="654"/>
      <c r="E261" s="677"/>
      <c r="F261" s="347"/>
      <c r="G261" s="1700"/>
      <c r="H261" s="1700"/>
      <c r="I261" s="457"/>
      <c r="J261" s="504"/>
      <c r="K261" s="504"/>
      <c r="L261" s="504"/>
      <c r="M261" s="347"/>
    </row>
    <row r="262" spans="1:13" x14ac:dyDescent="0.2">
      <c r="A262" s="467"/>
      <c r="B262" s="467"/>
      <c r="C262" s="467"/>
      <c r="D262" s="654"/>
      <c r="E262" s="677"/>
      <c r="F262" s="347"/>
      <c r="G262" s="1700"/>
      <c r="H262" s="1700"/>
      <c r="I262" s="457"/>
      <c r="J262" s="504"/>
      <c r="K262" s="504"/>
      <c r="L262" s="504"/>
      <c r="M262" s="347"/>
    </row>
    <row r="263" spans="1:13" x14ac:dyDescent="0.2">
      <c r="A263" s="467"/>
      <c r="B263" s="467"/>
      <c r="C263" s="467"/>
      <c r="D263" s="654"/>
      <c r="E263" s="677"/>
      <c r="F263" s="347"/>
      <c r="G263" s="1700"/>
      <c r="H263" s="1700"/>
      <c r="I263" s="457"/>
      <c r="J263" s="504"/>
      <c r="K263" s="504"/>
      <c r="L263" s="504"/>
      <c r="M263" s="347"/>
    </row>
    <row r="264" spans="1:13" x14ac:dyDescent="0.2">
      <c r="A264" s="467"/>
      <c r="B264" s="467"/>
      <c r="C264" s="467"/>
      <c r="D264" s="654"/>
      <c r="E264" s="677"/>
      <c r="F264" s="347"/>
      <c r="G264" s="1700"/>
      <c r="H264" s="1700"/>
      <c r="I264" s="457"/>
      <c r="J264" s="504"/>
      <c r="K264" s="504"/>
      <c r="L264" s="504"/>
      <c r="M264" s="347"/>
    </row>
    <row r="265" spans="1:13" x14ac:dyDescent="0.2">
      <c r="A265" s="467"/>
      <c r="B265" s="467"/>
      <c r="C265" s="467"/>
      <c r="D265" s="654"/>
      <c r="E265" s="677"/>
      <c r="F265" s="347"/>
      <c r="G265" s="1700"/>
      <c r="H265" s="1700"/>
      <c r="I265" s="457"/>
      <c r="J265" s="504"/>
      <c r="K265" s="504"/>
      <c r="L265" s="504"/>
      <c r="M265" s="347"/>
    </row>
    <row r="266" spans="1:13" x14ac:dyDescent="0.2">
      <c r="A266" s="467"/>
      <c r="B266" s="467"/>
      <c r="C266" s="467"/>
      <c r="D266" s="654"/>
      <c r="E266" s="677"/>
      <c r="F266" s="347"/>
      <c r="G266" s="1700"/>
      <c r="H266" s="1700"/>
      <c r="I266" s="457"/>
      <c r="J266" s="504"/>
      <c r="K266" s="504"/>
      <c r="L266" s="504"/>
      <c r="M266" s="347"/>
    </row>
    <row r="267" spans="1:13" x14ac:dyDescent="0.2">
      <c r="A267" s="467"/>
      <c r="B267" s="467"/>
      <c r="C267" s="467"/>
      <c r="D267" s="654"/>
      <c r="E267" s="677"/>
      <c r="F267" s="347"/>
      <c r="G267" s="1700"/>
      <c r="H267" s="1700"/>
      <c r="I267" s="457"/>
      <c r="J267" s="504"/>
      <c r="K267" s="504"/>
      <c r="L267" s="504"/>
      <c r="M267" s="347"/>
    </row>
    <row r="268" spans="1:13" x14ac:dyDescent="0.2">
      <c r="A268" s="467"/>
      <c r="B268" s="467"/>
      <c r="C268" s="467"/>
      <c r="D268" s="654"/>
      <c r="E268" s="677"/>
      <c r="F268" s="347"/>
      <c r="G268" s="1700"/>
      <c r="H268" s="1700"/>
      <c r="I268" s="457"/>
      <c r="J268" s="504"/>
      <c r="K268" s="504"/>
      <c r="L268" s="504"/>
      <c r="M268" s="347"/>
    </row>
  </sheetData>
  <mergeCells count="158">
    <mergeCell ref="A238:I238"/>
    <mergeCell ref="A239:I239"/>
    <mergeCell ref="A240:I240"/>
    <mergeCell ref="M51:M52"/>
    <mergeCell ref="A242:I242"/>
    <mergeCell ref="A244:I244"/>
    <mergeCell ref="A241:I241"/>
    <mergeCell ref="B226:I226"/>
    <mergeCell ref="A233:I233"/>
    <mergeCell ref="A234:I234"/>
    <mergeCell ref="A235:I235"/>
    <mergeCell ref="A236:I236"/>
    <mergeCell ref="F162:F163"/>
    <mergeCell ref="F165:F166"/>
    <mergeCell ref="I165:I166"/>
    <mergeCell ref="J165:J166"/>
    <mergeCell ref="K165:K166"/>
    <mergeCell ref="L165:L166"/>
    <mergeCell ref="A229:I229"/>
    <mergeCell ref="A231:I231"/>
    <mergeCell ref="A237:I237"/>
    <mergeCell ref="A232:I232"/>
    <mergeCell ref="F206:F207"/>
    <mergeCell ref="G206:G207"/>
    <mergeCell ref="F209:F210"/>
    <mergeCell ref="F215:F216"/>
    <mergeCell ref="F218:F221"/>
    <mergeCell ref="F156:F157"/>
    <mergeCell ref="G160:I160"/>
    <mergeCell ref="F158:F160"/>
    <mergeCell ref="M147:M148"/>
    <mergeCell ref="G150:I150"/>
    <mergeCell ref="T150:T151"/>
    <mergeCell ref="F151:F152"/>
    <mergeCell ref="F135:F137"/>
    <mergeCell ref="F141:F143"/>
    <mergeCell ref="M141:M142"/>
    <mergeCell ref="F145:F146"/>
    <mergeCell ref="F147:F149"/>
    <mergeCell ref="M149:M150"/>
    <mergeCell ref="M159:M160"/>
    <mergeCell ref="T160:T161"/>
    <mergeCell ref="M116:M117"/>
    <mergeCell ref="M118:M119"/>
    <mergeCell ref="F120:F121"/>
    <mergeCell ref="M120:M121"/>
    <mergeCell ref="F109:F111"/>
    <mergeCell ref="F139:F140"/>
    <mergeCell ref="F116:F119"/>
    <mergeCell ref="F132:F134"/>
    <mergeCell ref="F126:F127"/>
    <mergeCell ref="F128:F129"/>
    <mergeCell ref="F123:F124"/>
    <mergeCell ref="M123:M124"/>
    <mergeCell ref="F130:F131"/>
    <mergeCell ref="M130:M131"/>
    <mergeCell ref="G134:I134"/>
    <mergeCell ref="M94:M95"/>
    <mergeCell ref="F96:F97"/>
    <mergeCell ref="F100:F101"/>
    <mergeCell ref="M96:M97"/>
    <mergeCell ref="F80:F81"/>
    <mergeCell ref="F93:F95"/>
    <mergeCell ref="M91:M92"/>
    <mergeCell ref="A106:A108"/>
    <mergeCell ref="B106:B108"/>
    <mergeCell ref="C106:C108"/>
    <mergeCell ref="F106:F108"/>
    <mergeCell ref="G106:G108"/>
    <mergeCell ref="M106:M108"/>
    <mergeCell ref="F98:F99"/>
    <mergeCell ref="C102:I102"/>
    <mergeCell ref="B103:I103"/>
    <mergeCell ref="B104:P104"/>
    <mergeCell ref="C105:P105"/>
    <mergeCell ref="F91:F92"/>
    <mergeCell ref="F86:F88"/>
    <mergeCell ref="M87:M88"/>
    <mergeCell ref="F56:F57"/>
    <mergeCell ref="F58:F60"/>
    <mergeCell ref="F65:F66"/>
    <mergeCell ref="F68:F69"/>
    <mergeCell ref="G68:G69"/>
    <mergeCell ref="F78:F79"/>
    <mergeCell ref="F13:F15"/>
    <mergeCell ref="G13:G15"/>
    <mergeCell ref="G81:I81"/>
    <mergeCell ref="F51:F52"/>
    <mergeCell ref="A9:P9"/>
    <mergeCell ref="F48:F50"/>
    <mergeCell ref="R40:R41"/>
    <mergeCell ref="S40:S41"/>
    <mergeCell ref="F46:F47"/>
    <mergeCell ref="A10:P10"/>
    <mergeCell ref="B11:P11"/>
    <mergeCell ref="C12:P12"/>
    <mergeCell ref="F20:F23"/>
    <mergeCell ref="F24:F26"/>
    <mergeCell ref="F27:F29"/>
    <mergeCell ref="F30:F33"/>
    <mergeCell ref="F35:F36"/>
    <mergeCell ref="F37:F38"/>
    <mergeCell ref="M37:M38"/>
    <mergeCell ref="F39:F45"/>
    <mergeCell ref="M46:M47"/>
    <mergeCell ref="M1:P1"/>
    <mergeCell ref="A2:P2"/>
    <mergeCell ref="A3:P3"/>
    <mergeCell ref="A4:P4"/>
    <mergeCell ref="O5:P5"/>
    <mergeCell ref="A6:A8"/>
    <mergeCell ref="B6:B8"/>
    <mergeCell ref="C6:C8"/>
    <mergeCell ref="D6:D8"/>
    <mergeCell ref="E6:E8"/>
    <mergeCell ref="J6:J8"/>
    <mergeCell ref="K6:K8"/>
    <mergeCell ref="L6:L8"/>
    <mergeCell ref="M6:P6"/>
    <mergeCell ref="N7:P7"/>
    <mergeCell ref="M7:M8"/>
    <mergeCell ref="F6:F8"/>
    <mergeCell ref="G6:G8"/>
    <mergeCell ref="H6:H8"/>
    <mergeCell ref="I6:I8"/>
    <mergeCell ref="F168:F169"/>
    <mergeCell ref="M168:M169"/>
    <mergeCell ref="G169:I169"/>
    <mergeCell ref="C170:I170"/>
    <mergeCell ref="C171:P171"/>
    <mergeCell ref="F172:F173"/>
    <mergeCell ref="F175:F176"/>
    <mergeCell ref="Q176:R180"/>
    <mergeCell ref="F180:F181"/>
    <mergeCell ref="M219:M220"/>
    <mergeCell ref="F222:F224"/>
    <mergeCell ref="M223:M224"/>
    <mergeCell ref="C225:I225"/>
    <mergeCell ref="B227:I227"/>
    <mergeCell ref="A228:L228"/>
    <mergeCell ref="A245:I245"/>
    <mergeCell ref="A246:P246"/>
    <mergeCell ref="C182:I182"/>
    <mergeCell ref="C183:P183"/>
    <mergeCell ref="F184:F186"/>
    <mergeCell ref="M193:M194"/>
    <mergeCell ref="F199:F200"/>
    <mergeCell ref="G199:G200"/>
    <mergeCell ref="F202:F203"/>
    <mergeCell ref="M202:M203"/>
    <mergeCell ref="A204:A205"/>
    <mergeCell ref="B204:B205"/>
    <mergeCell ref="F204:F205"/>
    <mergeCell ref="G204:G205"/>
    <mergeCell ref="H204:H205"/>
    <mergeCell ref="M204:M205"/>
    <mergeCell ref="A243:I243"/>
    <mergeCell ref="A230:I230"/>
  </mergeCells>
  <printOptions horizontalCentered="1"/>
  <pageMargins left="0.70866141732283472" right="0.39370078740157483" top="0.39370078740157483" bottom="0.39370078740157483" header="0.31496062992125984" footer="0.31496062992125984"/>
  <pageSetup paperSize="9" scale="72" orientation="portrait" r:id="rId1"/>
  <rowBreaks count="3" manualBreakCount="3">
    <brk id="53" max="15" man="1"/>
    <brk id="92" max="15" man="1"/>
    <brk id="186" max="15" man="1"/>
  </rowBreaks>
  <colBreaks count="1" manualBreakCount="1">
    <brk id="16"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72"/>
  <sheetViews>
    <sheetView zoomScaleNormal="100" workbookViewId="0"/>
  </sheetViews>
  <sheetFormatPr defaultRowHeight="12.75" x14ac:dyDescent="0.2"/>
  <cols>
    <col min="1" max="3" width="2.7109375" style="343" customWidth="1"/>
    <col min="4" max="4" width="2.7109375" style="644" customWidth="1"/>
    <col min="5" max="5" width="2.7109375" style="673" customWidth="1"/>
    <col min="6" max="6" width="32.28515625" style="344" customWidth="1"/>
    <col min="7" max="8" width="3" style="342" customWidth="1"/>
    <col min="9" max="9" width="8.28515625" style="345" customWidth="1"/>
    <col min="10" max="18" width="8.85546875" style="346" customWidth="1"/>
    <col min="19" max="19" width="23.5703125" style="344" customWidth="1"/>
    <col min="20" max="22" width="6.42578125" style="1473" customWidth="1"/>
    <col min="23" max="23" width="28.85546875" style="1473" customWidth="1"/>
    <col min="24" max="24" width="11.140625" style="347" customWidth="1"/>
    <col min="25" max="25" width="7.85546875" style="347" customWidth="1"/>
    <col min="26" max="16384" width="9.140625" style="347"/>
  </cols>
  <sheetData>
    <row r="1" spans="1:25" ht="33" customHeight="1" x14ac:dyDescent="0.2">
      <c r="S1" s="1986" t="s">
        <v>706</v>
      </c>
      <c r="T1" s="1986"/>
      <c r="U1" s="1986"/>
      <c r="V1" s="1986"/>
      <c r="W1" s="1986"/>
    </row>
    <row r="2" spans="1:25" s="348" customFormat="1" ht="15.75" x14ac:dyDescent="0.2">
      <c r="A2" s="1797" t="s">
        <v>635</v>
      </c>
      <c r="B2" s="1797"/>
      <c r="C2" s="1797"/>
      <c r="D2" s="1797"/>
      <c r="E2" s="1797"/>
      <c r="F2" s="1797"/>
      <c r="G2" s="1797"/>
      <c r="H2" s="1797"/>
      <c r="I2" s="1797"/>
      <c r="J2" s="1797"/>
      <c r="K2" s="1797"/>
      <c r="L2" s="1797"/>
      <c r="M2" s="1797"/>
      <c r="N2" s="1797"/>
      <c r="O2" s="1797"/>
      <c r="P2" s="1797"/>
      <c r="Q2" s="1797"/>
      <c r="R2" s="1797"/>
      <c r="S2" s="1797"/>
      <c r="T2" s="1797"/>
      <c r="U2" s="1797"/>
      <c r="V2" s="1797"/>
      <c r="W2" s="1797"/>
    </row>
    <row r="3" spans="1:25" s="348" customFormat="1" ht="19.5" customHeight="1" x14ac:dyDescent="0.2">
      <c r="A3" s="1798" t="s">
        <v>30</v>
      </c>
      <c r="B3" s="1798"/>
      <c r="C3" s="1798"/>
      <c r="D3" s="1798"/>
      <c r="E3" s="1798"/>
      <c r="F3" s="1798"/>
      <c r="G3" s="1798"/>
      <c r="H3" s="1798"/>
      <c r="I3" s="1798"/>
      <c r="J3" s="1798"/>
      <c r="K3" s="1798"/>
      <c r="L3" s="1798"/>
      <c r="M3" s="1798"/>
      <c r="N3" s="1798"/>
      <c r="O3" s="1798"/>
      <c r="P3" s="1798"/>
      <c r="Q3" s="1798"/>
      <c r="R3" s="1798"/>
      <c r="S3" s="1798"/>
      <c r="T3" s="1798"/>
      <c r="U3" s="1798"/>
      <c r="V3" s="1798"/>
      <c r="W3" s="1798"/>
    </row>
    <row r="4" spans="1:25" s="348" customFormat="1" ht="19.5" customHeight="1" x14ac:dyDescent="0.2">
      <c r="A4" s="1799" t="s">
        <v>52</v>
      </c>
      <c r="B4" s="1799"/>
      <c r="C4" s="1799"/>
      <c r="D4" s="1799"/>
      <c r="E4" s="1799"/>
      <c r="F4" s="1799"/>
      <c r="G4" s="1799"/>
      <c r="H4" s="1799"/>
      <c r="I4" s="1799"/>
      <c r="J4" s="1799"/>
      <c r="K4" s="1799"/>
      <c r="L4" s="1799"/>
      <c r="M4" s="1799"/>
      <c r="N4" s="1799"/>
      <c r="O4" s="1799"/>
      <c r="P4" s="1799"/>
      <c r="Q4" s="1799"/>
      <c r="R4" s="1799"/>
      <c r="S4" s="1799"/>
      <c r="T4" s="1799"/>
      <c r="U4" s="1799"/>
      <c r="V4" s="1799"/>
      <c r="W4" s="1799"/>
    </row>
    <row r="5" spans="1:25" ht="15.75" customHeight="1" thickBot="1" x14ac:dyDescent="0.25">
      <c r="A5" s="34"/>
      <c r="B5" s="34"/>
      <c r="F5" s="1438"/>
      <c r="G5" s="1438"/>
      <c r="H5" s="1438"/>
      <c r="I5" s="533"/>
      <c r="J5" s="1438"/>
      <c r="K5" s="1438"/>
      <c r="L5" s="1438"/>
      <c r="M5" s="1438"/>
      <c r="N5" s="1438"/>
      <c r="O5" s="1438"/>
      <c r="P5" s="1438"/>
      <c r="Q5" s="1438"/>
      <c r="R5" s="1438"/>
      <c r="S5" s="1438"/>
      <c r="T5" s="1503"/>
      <c r="U5" s="1800" t="s">
        <v>72</v>
      </c>
      <c r="V5" s="1800"/>
      <c r="W5" s="1800"/>
    </row>
    <row r="6" spans="1:25" ht="21" customHeight="1" x14ac:dyDescent="0.2">
      <c r="A6" s="1801" t="s">
        <v>8</v>
      </c>
      <c r="B6" s="1804" t="s">
        <v>9</v>
      </c>
      <c r="C6" s="1807" t="s">
        <v>10</v>
      </c>
      <c r="D6" s="1807" t="s">
        <v>281</v>
      </c>
      <c r="E6" s="1807" t="s">
        <v>282</v>
      </c>
      <c r="F6" s="1827" t="s">
        <v>109</v>
      </c>
      <c r="G6" s="1830" t="s">
        <v>11</v>
      </c>
      <c r="H6" s="1833" t="s">
        <v>12</v>
      </c>
      <c r="I6" s="1833" t="s">
        <v>13</v>
      </c>
      <c r="J6" s="1810" t="s">
        <v>703</v>
      </c>
      <c r="K6" s="1813" t="s">
        <v>707</v>
      </c>
      <c r="L6" s="1962" t="s">
        <v>708</v>
      </c>
      <c r="M6" s="1810" t="s">
        <v>111</v>
      </c>
      <c r="N6" s="1813" t="s">
        <v>717</v>
      </c>
      <c r="O6" s="1990" t="s">
        <v>708</v>
      </c>
      <c r="P6" s="1987" t="s">
        <v>217</v>
      </c>
      <c r="Q6" s="1813" t="s">
        <v>719</v>
      </c>
      <c r="R6" s="1994" t="s">
        <v>708</v>
      </c>
      <c r="S6" s="1819" t="s">
        <v>112</v>
      </c>
      <c r="T6" s="1951"/>
      <c r="U6" s="1951"/>
      <c r="V6" s="1951"/>
      <c r="W6" s="1952" t="s">
        <v>713</v>
      </c>
    </row>
    <row r="7" spans="1:25" ht="15.75" customHeight="1" x14ac:dyDescent="0.2">
      <c r="A7" s="1802"/>
      <c r="B7" s="1805"/>
      <c r="C7" s="1808"/>
      <c r="D7" s="1808"/>
      <c r="E7" s="1808"/>
      <c r="F7" s="1828"/>
      <c r="G7" s="1831"/>
      <c r="H7" s="1834"/>
      <c r="I7" s="1834"/>
      <c r="J7" s="1811"/>
      <c r="K7" s="1814"/>
      <c r="L7" s="1963"/>
      <c r="M7" s="1811"/>
      <c r="N7" s="1814"/>
      <c r="O7" s="1991"/>
      <c r="P7" s="1988"/>
      <c r="Q7" s="1814"/>
      <c r="R7" s="1995"/>
      <c r="S7" s="1825" t="s">
        <v>23</v>
      </c>
      <c r="T7" s="1822" t="s">
        <v>56</v>
      </c>
      <c r="U7" s="1823"/>
      <c r="V7" s="1823"/>
      <c r="W7" s="1953"/>
    </row>
    <row r="8" spans="1:25" ht="93.75" customHeight="1" thickBot="1" x14ac:dyDescent="0.25">
      <c r="A8" s="1803"/>
      <c r="B8" s="1806"/>
      <c r="C8" s="1809"/>
      <c r="D8" s="1809"/>
      <c r="E8" s="1809"/>
      <c r="F8" s="1829"/>
      <c r="G8" s="1832"/>
      <c r="H8" s="1835"/>
      <c r="I8" s="1835"/>
      <c r="J8" s="1812"/>
      <c r="K8" s="1815"/>
      <c r="L8" s="1964"/>
      <c r="M8" s="1812"/>
      <c r="N8" s="1815"/>
      <c r="O8" s="1992"/>
      <c r="P8" s="1989"/>
      <c r="Q8" s="1815"/>
      <c r="R8" s="1996"/>
      <c r="S8" s="1826"/>
      <c r="T8" s="297" t="s">
        <v>76</v>
      </c>
      <c r="U8" s="159" t="s">
        <v>108</v>
      </c>
      <c r="V8" s="159" t="s">
        <v>218</v>
      </c>
      <c r="W8" s="1826"/>
    </row>
    <row r="9" spans="1:25" ht="15.75" customHeight="1" x14ac:dyDescent="0.2">
      <c r="A9" s="1997" t="s">
        <v>64</v>
      </c>
      <c r="B9" s="1998"/>
      <c r="C9" s="1998"/>
      <c r="D9" s="1998"/>
      <c r="E9" s="1998"/>
      <c r="F9" s="1998"/>
      <c r="G9" s="1998"/>
      <c r="H9" s="1998"/>
      <c r="I9" s="1998"/>
      <c r="J9" s="1998"/>
      <c r="K9" s="1998"/>
      <c r="L9" s="1998"/>
      <c r="M9" s="1998"/>
      <c r="N9" s="1998"/>
      <c r="O9" s="1998"/>
      <c r="P9" s="1998"/>
      <c r="Q9" s="1998"/>
      <c r="R9" s="1998"/>
      <c r="S9" s="1998"/>
      <c r="T9" s="1998"/>
      <c r="U9" s="1998"/>
      <c r="V9" s="1998"/>
      <c r="W9" s="1999"/>
    </row>
    <row r="10" spans="1:25" s="350" customFormat="1" ht="15.75" customHeight="1" x14ac:dyDescent="0.2">
      <c r="A10" s="2000" t="s">
        <v>31</v>
      </c>
      <c r="B10" s="2001"/>
      <c r="C10" s="2001"/>
      <c r="D10" s="2001"/>
      <c r="E10" s="2001"/>
      <c r="F10" s="2001"/>
      <c r="G10" s="2001"/>
      <c r="H10" s="2001"/>
      <c r="I10" s="2001"/>
      <c r="J10" s="2001"/>
      <c r="K10" s="2001"/>
      <c r="L10" s="2001"/>
      <c r="M10" s="2001"/>
      <c r="N10" s="2001"/>
      <c r="O10" s="2001"/>
      <c r="P10" s="2001"/>
      <c r="Q10" s="2001"/>
      <c r="R10" s="2001"/>
      <c r="S10" s="2001"/>
      <c r="T10" s="2001"/>
      <c r="U10" s="2001"/>
      <c r="V10" s="2001"/>
      <c r="W10" s="2002"/>
      <c r="X10" s="349"/>
    </row>
    <row r="11" spans="1:25" s="350" customFormat="1" ht="15.75" customHeight="1" x14ac:dyDescent="0.2">
      <c r="A11" s="358" t="s">
        <v>14</v>
      </c>
      <c r="B11" s="2004" t="s">
        <v>36</v>
      </c>
      <c r="C11" s="2005"/>
      <c r="D11" s="2005"/>
      <c r="E11" s="2005"/>
      <c r="F11" s="2005"/>
      <c r="G11" s="2005"/>
      <c r="H11" s="2005"/>
      <c r="I11" s="2005"/>
      <c r="J11" s="2005"/>
      <c r="K11" s="2005"/>
      <c r="L11" s="2005"/>
      <c r="M11" s="2005"/>
      <c r="N11" s="2005"/>
      <c r="O11" s="2005"/>
      <c r="P11" s="2005"/>
      <c r="Q11" s="2005"/>
      <c r="R11" s="2005"/>
      <c r="S11" s="2005"/>
      <c r="T11" s="2005"/>
      <c r="U11" s="2005"/>
      <c r="V11" s="2005"/>
      <c r="W11" s="2006"/>
    </row>
    <row r="12" spans="1:25" s="350" customFormat="1" ht="15.75" customHeight="1" thickBot="1" x14ac:dyDescent="0.25">
      <c r="A12" s="1658" t="s">
        <v>14</v>
      </c>
      <c r="B12" s="1659" t="s">
        <v>14</v>
      </c>
      <c r="C12" s="2008" t="s">
        <v>68</v>
      </c>
      <c r="D12" s="2009"/>
      <c r="E12" s="2009"/>
      <c r="F12" s="2009"/>
      <c r="G12" s="2009"/>
      <c r="H12" s="2009"/>
      <c r="I12" s="2009"/>
      <c r="J12" s="2009"/>
      <c r="K12" s="2009"/>
      <c r="L12" s="2009"/>
      <c r="M12" s="2009"/>
      <c r="N12" s="2009"/>
      <c r="O12" s="2009"/>
      <c r="P12" s="2009"/>
      <c r="Q12" s="2009"/>
      <c r="R12" s="2009"/>
      <c r="S12" s="2009"/>
      <c r="T12" s="2009"/>
      <c r="U12" s="2009"/>
      <c r="V12" s="2009"/>
      <c r="W12" s="2010"/>
    </row>
    <row r="13" spans="1:25" s="350" customFormat="1" ht="16.5" customHeight="1" x14ac:dyDescent="0.2">
      <c r="A13" s="354" t="s">
        <v>14</v>
      </c>
      <c r="B13" s="355" t="s">
        <v>14</v>
      </c>
      <c r="C13" s="356" t="s">
        <v>14</v>
      </c>
      <c r="D13" s="652"/>
      <c r="E13" s="652"/>
      <c r="F13" s="1868" t="s">
        <v>44</v>
      </c>
      <c r="G13" s="1870" t="s">
        <v>206</v>
      </c>
      <c r="H13" s="1177">
        <v>2</v>
      </c>
      <c r="I13" s="121" t="s">
        <v>15</v>
      </c>
      <c r="J13" s="858">
        <f>31672.9-237.1+43.3</f>
        <v>31479.100000000002</v>
      </c>
      <c r="K13" s="1527">
        <f>32177.3+15</f>
        <v>32192.3</v>
      </c>
      <c r="L13" s="1544">
        <f>+K13-J13</f>
        <v>713.19999999999709</v>
      </c>
      <c r="M13" s="756">
        <f>31923.5+113-237.1</f>
        <v>31799.4</v>
      </c>
      <c r="N13" s="757">
        <f>31923.5+113-237.1</f>
        <v>31799.4</v>
      </c>
      <c r="O13" s="758"/>
      <c r="P13" s="859">
        <f>32042.3-237.1</f>
        <v>31805.200000000001</v>
      </c>
      <c r="Q13" s="757">
        <f>32042.3-237.1</f>
        <v>31805.200000000001</v>
      </c>
      <c r="R13" s="758"/>
      <c r="S13" s="218"/>
      <c r="T13" s="318"/>
      <c r="U13" s="299"/>
      <c r="V13" s="316"/>
      <c r="W13" s="1861" t="s">
        <v>747</v>
      </c>
      <c r="X13" s="349"/>
      <c r="Y13" s="349"/>
    </row>
    <row r="14" spans="1:25" s="350" customFormat="1" ht="16.5" customHeight="1" x14ac:dyDescent="0.2">
      <c r="A14" s="358"/>
      <c r="B14" s="362"/>
      <c r="C14" s="365"/>
      <c r="D14" s="653"/>
      <c r="E14" s="653"/>
      <c r="F14" s="1869"/>
      <c r="G14" s="1871"/>
      <c r="H14" s="361"/>
      <c r="I14" s="204" t="s">
        <v>63</v>
      </c>
      <c r="J14" s="954">
        <v>482.3</v>
      </c>
      <c r="K14" s="162">
        <v>482.3</v>
      </c>
      <c r="L14" s="760"/>
      <c r="M14" s="196"/>
      <c r="N14" s="162"/>
      <c r="O14" s="760"/>
      <c r="P14" s="1186"/>
      <c r="Q14" s="162"/>
      <c r="R14" s="760"/>
      <c r="S14" s="260"/>
      <c r="T14" s="101"/>
      <c r="U14" s="1449"/>
      <c r="V14" s="948"/>
      <c r="W14" s="1862"/>
    </row>
    <row r="15" spans="1:25" s="350" customFormat="1" ht="16.5" customHeight="1" x14ac:dyDescent="0.2">
      <c r="A15" s="358"/>
      <c r="B15" s="362"/>
      <c r="C15" s="365"/>
      <c r="D15" s="653"/>
      <c r="E15" s="653"/>
      <c r="F15" s="1869"/>
      <c r="G15" s="1871"/>
      <c r="H15" s="638"/>
      <c r="I15" s="204" t="s">
        <v>18</v>
      </c>
      <c r="J15" s="954">
        <f>40150.7+1.9+237.1+73.1</f>
        <v>40462.799999999996</v>
      </c>
      <c r="K15" s="162">
        <f>40150.7+1.9+237.1+73.1</f>
        <v>40462.799999999996</v>
      </c>
      <c r="L15" s="760"/>
      <c r="M15" s="196">
        <f>40597.7+1.9+73.1</f>
        <v>40672.699999999997</v>
      </c>
      <c r="N15" s="162">
        <f>40597.7+1.9+73.1</f>
        <v>40672.699999999997</v>
      </c>
      <c r="O15" s="760"/>
      <c r="P15" s="1186">
        <f>40743.7+1.9+73.1</f>
        <v>40818.699999999997</v>
      </c>
      <c r="Q15" s="162">
        <f>40743.7+1.9+73.1</f>
        <v>40818.699999999997</v>
      </c>
      <c r="R15" s="760"/>
      <c r="S15" s="260"/>
      <c r="T15" s="101"/>
      <c r="U15" s="1449"/>
      <c r="V15" s="948"/>
      <c r="W15" s="1862"/>
    </row>
    <row r="16" spans="1:25" s="350" customFormat="1" ht="16.5" customHeight="1" x14ac:dyDescent="0.2">
      <c r="A16" s="358"/>
      <c r="B16" s="362"/>
      <c r="C16" s="365"/>
      <c r="D16" s="653"/>
      <c r="E16" s="653"/>
      <c r="F16" s="1451"/>
      <c r="G16" s="197"/>
      <c r="H16" s="361"/>
      <c r="I16" s="101" t="s">
        <v>43</v>
      </c>
      <c r="J16" s="255">
        <v>5544.9</v>
      </c>
      <c r="K16" s="114">
        <v>5544.9</v>
      </c>
      <c r="L16" s="232"/>
      <c r="M16" s="775">
        <v>5544.9</v>
      </c>
      <c r="N16" s="114">
        <v>5544.9</v>
      </c>
      <c r="O16" s="232"/>
      <c r="P16" s="243">
        <v>5544.9</v>
      </c>
      <c r="Q16" s="114">
        <v>5544.9</v>
      </c>
      <c r="R16" s="232"/>
      <c r="S16" s="260"/>
      <c r="T16" s="101"/>
      <c r="U16" s="1449"/>
      <c r="V16" s="948"/>
      <c r="W16" s="1862"/>
    </row>
    <row r="17" spans="1:24" s="350" customFormat="1" ht="16.5" customHeight="1" x14ac:dyDescent="0.2">
      <c r="A17" s="358"/>
      <c r="B17" s="362"/>
      <c r="C17" s="365"/>
      <c r="D17" s="653"/>
      <c r="E17" s="653"/>
      <c r="F17" s="1451"/>
      <c r="G17" s="197"/>
      <c r="H17" s="361"/>
      <c r="I17" s="121" t="s">
        <v>198</v>
      </c>
      <c r="J17" s="954">
        <v>43.3</v>
      </c>
      <c r="K17" s="1531">
        <v>0</v>
      </c>
      <c r="L17" s="1545">
        <f>+K17-J17</f>
        <v>-43.3</v>
      </c>
      <c r="M17" s="196">
        <v>7.7</v>
      </c>
      <c r="N17" s="162">
        <v>7.7</v>
      </c>
      <c r="O17" s="760"/>
      <c r="P17" s="1186"/>
      <c r="Q17" s="162"/>
      <c r="R17" s="760"/>
      <c r="S17" s="260"/>
      <c r="T17" s="101"/>
      <c r="U17" s="1449"/>
      <c r="V17" s="948"/>
      <c r="W17" s="1862"/>
    </row>
    <row r="18" spans="1:24" s="350" customFormat="1" ht="16.5" customHeight="1" x14ac:dyDescent="0.2">
      <c r="A18" s="358"/>
      <c r="B18" s="362"/>
      <c r="C18" s="365"/>
      <c r="D18" s="653"/>
      <c r="E18" s="653"/>
      <c r="F18" s="1451"/>
      <c r="G18" s="197"/>
      <c r="H18" s="361"/>
      <c r="I18" s="85" t="s">
        <v>3</v>
      </c>
      <c r="J18" s="1010">
        <v>3.8</v>
      </c>
      <c r="K18" s="778">
        <v>3.8</v>
      </c>
      <c r="L18" s="779"/>
      <c r="M18" s="777">
        <v>0.7</v>
      </c>
      <c r="N18" s="778">
        <v>0.7</v>
      </c>
      <c r="O18" s="779"/>
      <c r="P18" s="1011"/>
      <c r="Q18" s="778"/>
      <c r="R18" s="779"/>
      <c r="S18" s="260"/>
      <c r="T18" s="101"/>
      <c r="U18" s="1449"/>
      <c r="V18" s="948"/>
      <c r="W18" s="1862"/>
    </row>
    <row r="19" spans="1:24" s="350" customFormat="1" ht="15.75" customHeight="1" x14ac:dyDescent="0.2">
      <c r="A19" s="358"/>
      <c r="B19" s="362"/>
      <c r="C19" s="365"/>
      <c r="D19" s="653"/>
      <c r="E19" s="653"/>
      <c r="F19" s="1451"/>
      <c r="G19" s="197"/>
      <c r="H19" s="361"/>
      <c r="I19" s="85" t="s">
        <v>4</v>
      </c>
      <c r="J19" s="1010">
        <v>509.4</v>
      </c>
      <c r="K19" s="778">
        <v>509.4</v>
      </c>
      <c r="L19" s="779"/>
      <c r="M19" s="777">
        <v>509.4</v>
      </c>
      <c r="N19" s="778">
        <v>509.4</v>
      </c>
      <c r="O19" s="779"/>
      <c r="P19" s="1011"/>
      <c r="Q19" s="778"/>
      <c r="R19" s="779"/>
      <c r="S19" s="260"/>
      <c r="T19" s="101"/>
      <c r="U19" s="1450"/>
      <c r="V19" s="948"/>
      <c r="W19" s="1862"/>
    </row>
    <row r="20" spans="1:24" s="350" customFormat="1" ht="33.75" customHeight="1" x14ac:dyDescent="0.2">
      <c r="A20" s="358"/>
      <c r="B20" s="359"/>
      <c r="C20" s="360"/>
      <c r="D20" s="669" t="s">
        <v>14</v>
      </c>
      <c r="E20" s="670"/>
      <c r="F20" s="1853" t="s">
        <v>150</v>
      </c>
      <c r="G20" s="197"/>
      <c r="H20" s="361"/>
      <c r="I20" s="101"/>
      <c r="J20" s="190"/>
      <c r="K20" s="263"/>
      <c r="L20" s="36"/>
      <c r="M20" s="272"/>
      <c r="N20" s="263"/>
      <c r="O20" s="36"/>
      <c r="P20" s="281"/>
      <c r="Q20" s="263"/>
      <c r="R20" s="36"/>
      <c r="S20" s="1061" t="s">
        <v>118</v>
      </c>
      <c r="T20" s="85">
        <v>47</v>
      </c>
      <c r="U20" s="1499">
        <v>47</v>
      </c>
      <c r="V20" s="1495">
        <v>47</v>
      </c>
      <c r="W20" s="1862"/>
      <c r="X20" s="321"/>
    </row>
    <row r="21" spans="1:24" s="350" customFormat="1" ht="14.25" customHeight="1" x14ac:dyDescent="0.2">
      <c r="A21" s="358"/>
      <c r="B21" s="359"/>
      <c r="C21" s="360"/>
      <c r="D21" s="647"/>
      <c r="E21" s="653"/>
      <c r="F21" s="1854"/>
      <c r="G21" s="197"/>
      <c r="H21" s="361"/>
      <c r="I21" s="101"/>
      <c r="J21" s="255"/>
      <c r="K21" s="114"/>
      <c r="L21" s="232"/>
      <c r="M21" s="775"/>
      <c r="N21" s="114"/>
      <c r="O21" s="232"/>
      <c r="P21" s="243"/>
      <c r="Q21" s="114"/>
      <c r="R21" s="232"/>
      <c r="S21" s="198" t="s">
        <v>119</v>
      </c>
      <c r="T21" s="85">
        <v>7949</v>
      </c>
      <c r="U21" s="920">
        <v>7950</v>
      </c>
      <c r="V21" s="1495">
        <v>7950</v>
      </c>
      <c r="W21" s="1862"/>
      <c r="X21" s="321"/>
    </row>
    <row r="22" spans="1:24" s="350" customFormat="1" ht="15" customHeight="1" x14ac:dyDescent="0.2">
      <c r="A22" s="358"/>
      <c r="B22" s="362"/>
      <c r="C22" s="360"/>
      <c r="D22" s="647"/>
      <c r="E22" s="653"/>
      <c r="F22" s="1854"/>
      <c r="G22" s="197"/>
      <c r="H22" s="361"/>
      <c r="I22" s="101"/>
      <c r="J22" s="255"/>
      <c r="K22" s="114"/>
      <c r="L22" s="232"/>
      <c r="M22" s="775"/>
      <c r="N22" s="114"/>
      <c r="O22" s="232"/>
      <c r="P22" s="243"/>
      <c r="Q22" s="114"/>
      <c r="R22" s="232"/>
      <c r="S22" s="1219"/>
      <c r="T22" s="101"/>
      <c r="U22" s="1449"/>
      <c r="V22" s="948"/>
      <c r="W22" s="1862"/>
      <c r="X22" s="321"/>
    </row>
    <row r="23" spans="1:24" s="350" customFormat="1" ht="15.75" customHeight="1" thickBot="1" x14ac:dyDescent="0.25">
      <c r="A23" s="358"/>
      <c r="B23" s="362"/>
      <c r="C23" s="360"/>
      <c r="D23" s="668"/>
      <c r="E23" s="671"/>
      <c r="F23" s="1855"/>
      <c r="G23" s="197"/>
      <c r="H23" s="361"/>
      <c r="I23" s="101"/>
      <c r="J23" s="255"/>
      <c r="K23" s="114"/>
      <c r="L23" s="232"/>
      <c r="M23" s="775"/>
      <c r="N23" s="114"/>
      <c r="O23" s="232"/>
      <c r="P23" s="243"/>
      <c r="Q23" s="114"/>
      <c r="R23" s="232"/>
      <c r="S23" s="323"/>
      <c r="T23" s="308"/>
      <c r="U23" s="530"/>
      <c r="V23" s="413"/>
      <c r="W23" s="1862"/>
      <c r="X23" s="317"/>
    </row>
    <row r="24" spans="1:24" s="350" customFormat="1" ht="15.75" customHeight="1" x14ac:dyDescent="0.2">
      <c r="A24" s="358"/>
      <c r="B24" s="362"/>
      <c r="C24" s="360"/>
      <c r="D24" s="647" t="s">
        <v>17</v>
      </c>
      <c r="E24" s="653"/>
      <c r="F24" s="1853" t="s">
        <v>151</v>
      </c>
      <c r="G24" s="197"/>
      <c r="H24" s="361"/>
      <c r="I24" s="101"/>
      <c r="J24" s="255"/>
      <c r="K24" s="114"/>
      <c r="L24" s="232"/>
      <c r="M24" s="775"/>
      <c r="N24" s="114"/>
      <c r="O24" s="232"/>
      <c r="P24" s="243"/>
      <c r="Q24" s="114"/>
      <c r="R24" s="232"/>
      <c r="S24" s="1225" t="s">
        <v>118</v>
      </c>
      <c r="T24" s="318">
        <v>7</v>
      </c>
      <c r="U24" s="299">
        <v>7</v>
      </c>
      <c r="V24" s="316">
        <v>7</v>
      </c>
      <c r="W24" s="1862"/>
    </row>
    <row r="25" spans="1:24" s="350" customFormat="1" ht="14.25" customHeight="1" x14ac:dyDescent="0.2">
      <c r="A25" s="358"/>
      <c r="B25" s="359"/>
      <c r="C25" s="360"/>
      <c r="D25" s="647"/>
      <c r="E25" s="653"/>
      <c r="F25" s="1854"/>
      <c r="G25" s="197"/>
      <c r="H25" s="361"/>
      <c r="I25" s="101"/>
      <c r="J25" s="1108"/>
      <c r="K25" s="768"/>
      <c r="L25" s="769"/>
      <c r="M25" s="767"/>
      <c r="N25" s="768"/>
      <c r="O25" s="769"/>
      <c r="P25" s="1109"/>
      <c r="Q25" s="768"/>
      <c r="R25" s="769"/>
      <c r="S25" s="198" t="s">
        <v>119</v>
      </c>
      <c r="T25" s="85">
        <v>338</v>
      </c>
      <c r="U25" s="920">
        <v>340</v>
      </c>
      <c r="V25" s="1495">
        <v>340</v>
      </c>
      <c r="W25" s="1862"/>
    </row>
    <row r="26" spans="1:24" s="350" customFormat="1" ht="15" customHeight="1" thickBot="1" x14ac:dyDescent="0.25">
      <c r="A26" s="358"/>
      <c r="B26" s="362"/>
      <c r="C26" s="360"/>
      <c r="D26" s="647"/>
      <c r="E26" s="653"/>
      <c r="F26" s="1854"/>
      <c r="G26" s="197"/>
      <c r="H26" s="361"/>
      <c r="I26" s="101"/>
      <c r="J26" s="255"/>
      <c r="K26" s="114"/>
      <c r="L26" s="232"/>
      <c r="M26" s="775"/>
      <c r="N26" s="114"/>
      <c r="O26" s="232"/>
      <c r="P26" s="243"/>
      <c r="Q26" s="114"/>
      <c r="R26" s="232"/>
      <c r="S26" s="323"/>
      <c r="T26" s="308"/>
      <c r="U26" s="530"/>
      <c r="V26" s="413"/>
      <c r="W26" s="1862"/>
    </row>
    <row r="27" spans="1:24" s="350" customFormat="1" ht="12.75" customHeight="1" x14ac:dyDescent="0.2">
      <c r="A27" s="363"/>
      <c r="B27" s="362"/>
      <c r="C27" s="364"/>
      <c r="D27" s="652" t="s">
        <v>19</v>
      </c>
      <c r="E27" s="652"/>
      <c r="F27" s="1856" t="s">
        <v>70</v>
      </c>
      <c r="G27" s="197"/>
      <c r="H27" s="638"/>
      <c r="I27" s="101"/>
      <c r="J27" s="190"/>
      <c r="K27" s="263"/>
      <c r="L27" s="36"/>
      <c r="M27" s="272"/>
      <c r="N27" s="263"/>
      <c r="O27" s="36"/>
      <c r="P27" s="281"/>
      <c r="Q27" s="263"/>
      <c r="R27" s="36"/>
      <c r="S27" s="193" t="s">
        <v>118</v>
      </c>
      <c r="T27" s="279">
        <v>4</v>
      </c>
      <c r="U27" s="1443">
        <v>4</v>
      </c>
      <c r="V27" s="948">
        <v>4</v>
      </c>
      <c r="W27" s="1862"/>
    </row>
    <row r="28" spans="1:24" s="350" customFormat="1" ht="15.75" customHeight="1" x14ac:dyDescent="0.2">
      <c r="A28" s="363"/>
      <c r="B28" s="362"/>
      <c r="C28" s="365"/>
      <c r="D28" s="653"/>
      <c r="E28" s="653"/>
      <c r="F28" s="1854"/>
      <c r="G28" s="197"/>
      <c r="H28" s="638"/>
      <c r="I28" s="101"/>
      <c r="J28" s="255"/>
      <c r="K28" s="114"/>
      <c r="L28" s="232"/>
      <c r="M28" s="775"/>
      <c r="N28" s="114"/>
      <c r="O28" s="232"/>
      <c r="P28" s="243"/>
      <c r="Q28" s="114"/>
      <c r="R28" s="232"/>
      <c r="S28" s="198" t="s">
        <v>119</v>
      </c>
      <c r="T28" s="1497">
        <v>1301</v>
      </c>
      <c r="U28" s="920">
        <v>1300</v>
      </c>
      <c r="V28" s="1495">
        <v>1300</v>
      </c>
      <c r="W28" s="1862"/>
    </row>
    <row r="29" spans="1:24" s="350" customFormat="1" ht="15.75" customHeight="1" thickBot="1" x14ac:dyDescent="0.25">
      <c r="A29" s="363"/>
      <c r="B29" s="362"/>
      <c r="C29" s="365"/>
      <c r="D29" s="663"/>
      <c r="E29" s="663"/>
      <c r="F29" s="1857"/>
      <c r="G29" s="197"/>
      <c r="H29" s="361"/>
      <c r="I29" s="101"/>
      <c r="J29" s="255"/>
      <c r="K29" s="114"/>
      <c r="L29" s="232"/>
      <c r="M29" s="775"/>
      <c r="N29" s="114"/>
      <c r="O29" s="232"/>
      <c r="P29" s="243"/>
      <c r="Q29" s="114"/>
      <c r="R29" s="232"/>
      <c r="S29" s="260" t="s">
        <v>616</v>
      </c>
      <c r="T29" s="101">
        <v>904</v>
      </c>
      <c r="U29" s="57">
        <v>900</v>
      </c>
      <c r="V29" s="948">
        <v>900</v>
      </c>
      <c r="W29" s="1862"/>
    </row>
    <row r="30" spans="1:24" s="350" customFormat="1" ht="15.75" customHeight="1" x14ac:dyDescent="0.2">
      <c r="A30" s="366"/>
      <c r="B30" s="359"/>
      <c r="C30" s="365"/>
      <c r="D30" s="653" t="s">
        <v>21</v>
      </c>
      <c r="E30" s="653"/>
      <c r="F30" s="2003" t="s">
        <v>733</v>
      </c>
      <c r="G30" s="197"/>
      <c r="H30" s="367"/>
      <c r="I30" s="101"/>
      <c r="J30" s="1546"/>
      <c r="K30" s="1325"/>
      <c r="L30" s="1547"/>
      <c r="M30" s="272"/>
      <c r="N30" s="263"/>
      <c r="O30" s="36"/>
      <c r="P30" s="281"/>
      <c r="Q30" s="263"/>
      <c r="R30" s="36"/>
      <c r="S30" s="194" t="s">
        <v>118</v>
      </c>
      <c r="T30" s="294">
        <v>32</v>
      </c>
      <c r="U30" s="171">
        <v>32</v>
      </c>
      <c r="V30" s="170">
        <v>32</v>
      </c>
      <c r="W30" s="1862"/>
    </row>
    <row r="31" spans="1:24" s="350" customFormat="1" ht="15.75" customHeight="1" x14ac:dyDescent="0.2">
      <c r="A31" s="366"/>
      <c r="B31" s="359"/>
      <c r="C31" s="365"/>
      <c r="D31" s="653"/>
      <c r="E31" s="653"/>
      <c r="F31" s="2003"/>
      <c r="G31" s="197"/>
      <c r="H31" s="367"/>
      <c r="I31" s="101"/>
      <c r="J31" s="1546"/>
      <c r="K31" s="1325"/>
      <c r="L31" s="1547"/>
      <c r="M31" s="272"/>
      <c r="N31" s="263"/>
      <c r="O31" s="36"/>
      <c r="P31" s="281"/>
      <c r="Q31" s="263"/>
      <c r="R31" s="36"/>
      <c r="S31" s="1528" t="s">
        <v>724</v>
      </c>
      <c r="T31" s="1529">
        <v>2</v>
      </c>
      <c r="U31" s="1530"/>
      <c r="V31" s="1516"/>
      <c r="W31" s="1862"/>
    </row>
    <row r="32" spans="1:24" s="350" customFormat="1" ht="15.75" customHeight="1" x14ac:dyDescent="0.2">
      <c r="A32" s="366"/>
      <c r="B32" s="359"/>
      <c r="C32" s="365"/>
      <c r="D32" s="653"/>
      <c r="E32" s="653"/>
      <c r="F32" s="2003"/>
      <c r="G32" s="197"/>
      <c r="H32" s="367"/>
      <c r="I32" s="101"/>
      <c r="J32" s="255"/>
      <c r="K32" s="114"/>
      <c r="L32" s="232"/>
      <c r="M32" s="775"/>
      <c r="N32" s="114"/>
      <c r="O32" s="232"/>
      <c r="P32" s="243"/>
      <c r="Q32" s="114"/>
      <c r="R32" s="232"/>
      <c r="S32" s="208" t="s">
        <v>119</v>
      </c>
      <c r="T32" s="121">
        <v>17606</v>
      </c>
      <c r="U32" s="54">
        <v>17606</v>
      </c>
      <c r="V32" s="50">
        <v>17606</v>
      </c>
      <c r="W32" s="1862"/>
    </row>
    <row r="33" spans="1:26" s="350" customFormat="1" ht="15.75" customHeight="1" x14ac:dyDescent="0.2">
      <c r="A33" s="366"/>
      <c r="B33" s="359"/>
      <c r="C33" s="365"/>
      <c r="D33" s="653"/>
      <c r="E33" s="653"/>
      <c r="F33" s="2003"/>
      <c r="G33" s="197"/>
      <c r="H33" s="367"/>
      <c r="I33" s="101"/>
      <c r="J33" s="1548"/>
      <c r="K33" s="1099"/>
      <c r="L33" s="1100"/>
      <c r="M33" s="775"/>
      <c r="N33" s="114"/>
      <c r="O33" s="232"/>
      <c r="P33" s="243"/>
      <c r="Q33" s="114"/>
      <c r="R33" s="232"/>
      <c r="S33" s="260" t="s">
        <v>158</v>
      </c>
      <c r="T33" s="279">
        <v>17423</v>
      </c>
      <c r="U33" s="57">
        <v>17420</v>
      </c>
      <c r="V33" s="948">
        <v>17420</v>
      </c>
      <c r="W33" s="1862"/>
    </row>
    <row r="34" spans="1:26" s="350" customFormat="1" ht="44.25" customHeight="1" thickBot="1" x14ac:dyDescent="0.25">
      <c r="A34" s="366"/>
      <c r="B34" s="359"/>
      <c r="C34" s="365"/>
      <c r="D34" s="653"/>
      <c r="E34" s="1184" t="s">
        <v>14</v>
      </c>
      <c r="F34" s="1181" t="s">
        <v>637</v>
      </c>
      <c r="G34" s="197"/>
      <c r="H34" s="367"/>
      <c r="I34" s="101"/>
      <c r="J34" s="190"/>
      <c r="K34" s="263"/>
      <c r="L34" s="36"/>
      <c r="M34" s="272"/>
      <c r="N34" s="263"/>
      <c r="O34" s="36"/>
      <c r="P34" s="281"/>
      <c r="Q34" s="263"/>
      <c r="R34" s="36"/>
      <c r="S34" s="209" t="s">
        <v>118</v>
      </c>
      <c r="T34" s="212">
        <v>6</v>
      </c>
      <c r="U34" s="282">
        <v>6</v>
      </c>
      <c r="V34" s="52"/>
      <c r="W34" s="1862"/>
    </row>
    <row r="35" spans="1:26" s="350" customFormat="1" ht="25.5" customHeight="1" x14ac:dyDescent="0.2">
      <c r="A35" s="366"/>
      <c r="B35" s="359"/>
      <c r="C35" s="365"/>
      <c r="D35" s="652" t="s">
        <v>22</v>
      </c>
      <c r="E35" s="652"/>
      <c r="F35" s="1856" t="s">
        <v>153</v>
      </c>
      <c r="G35" s="197"/>
      <c r="H35" s="367"/>
      <c r="I35" s="101"/>
      <c r="J35" s="255"/>
      <c r="K35" s="114"/>
      <c r="L35" s="232"/>
      <c r="M35" s="775"/>
      <c r="N35" s="114"/>
      <c r="O35" s="232"/>
      <c r="P35" s="243"/>
      <c r="Q35" s="114"/>
      <c r="R35" s="232"/>
      <c r="S35" s="194" t="s">
        <v>118</v>
      </c>
      <c r="T35" s="294">
        <v>5</v>
      </c>
      <c r="U35" s="171">
        <v>5</v>
      </c>
      <c r="V35" s="170">
        <v>5</v>
      </c>
      <c r="W35" s="1862"/>
    </row>
    <row r="36" spans="1:26" s="350" customFormat="1" ht="17.25" customHeight="1" thickBot="1" x14ac:dyDescent="0.25">
      <c r="A36" s="366"/>
      <c r="B36" s="359"/>
      <c r="C36" s="365"/>
      <c r="D36" s="663"/>
      <c r="E36" s="663"/>
      <c r="F36" s="1857"/>
      <c r="G36" s="197"/>
      <c r="H36" s="367"/>
      <c r="I36" s="101"/>
      <c r="J36" s="255"/>
      <c r="K36" s="114"/>
      <c r="L36" s="232"/>
      <c r="M36" s="775"/>
      <c r="N36" s="114"/>
      <c r="O36" s="232"/>
      <c r="P36" s="243"/>
      <c r="Q36" s="114"/>
      <c r="R36" s="232"/>
      <c r="S36" s="209" t="s">
        <v>119</v>
      </c>
      <c r="T36" s="212">
        <v>1100</v>
      </c>
      <c r="U36" s="282">
        <v>1100</v>
      </c>
      <c r="V36" s="52">
        <v>1100</v>
      </c>
      <c r="W36" s="1862"/>
    </row>
    <row r="37" spans="1:26" s="350" customFormat="1" ht="26.25" customHeight="1" x14ac:dyDescent="0.2">
      <c r="A37" s="366"/>
      <c r="B37" s="359"/>
      <c r="C37" s="365"/>
      <c r="D37" s="653" t="s">
        <v>96</v>
      </c>
      <c r="E37" s="653"/>
      <c r="F37" s="1858" t="s">
        <v>279</v>
      </c>
      <c r="G37" s="59"/>
      <c r="H37" s="368"/>
      <c r="I37" s="101"/>
      <c r="J37" s="255"/>
      <c r="K37" s="114"/>
      <c r="L37" s="232"/>
      <c r="M37" s="775"/>
      <c r="N37" s="114"/>
      <c r="O37" s="232"/>
      <c r="P37" s="243"/>
      <c r="Q37" s="114"/>
      <c r="R37" s="232"/>
      <c r="S37" s="1859" t="s">
        <v>219</v>
      </c>
      <c r="T37" s="318">
        <v>2019</v>
      </c>
      <c r="U37" s="298">
        <v>2020</v>
      </c>
      <c r="V37" s="316">
        <v>2020</v>
      </c>
      <c r="W37" s="1862" t="s">
        <v>748</v>
      </c>
    </row>
    <row r="38" spans="1:26" s="371" customFormat="1" ht="65.25" customHeight="1" x14ac:dyDescent="0.2">
      <c r="A38" s="358"/>
      <c r="B38" s="359"/>
      <c r="C38" s="1648"/>
      <c r="D38" s="671"/>
      <c r="E38" s="671"/>
      <c r="F38" s="1863"/>
      <c r="G38" s="1649"/>
      <c r="H38" s="370"/>
      <c r="I38" s="1623"/>
      <c r="J38" s="255"/>
      <c r="K38" s="114"/>
      <c r="L38" s="232"/>
      <c r="M38" s="775"/>
      <c r="N38" s="114"/>
      <c r="O38" s="232"/>
      <c r="P38" s="243"/>
      <c r="Q38" s="114"/>
      <c r="R38" s="232"/>
      <c r="S38" s="1860"/>
      <c r="T38" s="1498"/>
      <c r="U38" s="60"/>
      <c r="V38" s="1496"/>
      <c r="W38" s="1862"/>
    </row>
    <row r="39" spans="1:26" s="350" customFormat="1" ht="16.5" customHeight="1" x14ac:dyDescent="0.2">
      <c r="A39" s="363"/>
      <c r="B39" s="359"/>
      <c r="C39" s="365"/>
      <c r="D39" s="653" t="s">
        <v>97</v>
      </c>
      <c r="E39" s="653"/>
      <c r="F39" s="1854" t="s">
        <v>149</v>
      </c>
      <c r="G39" s="1309"/>
      <c r="H39" s="361"/>
      <c r="I39" s="101"/>
      <c r="J39" s="190"/>
      <c r="K39" s="263"/>
      <c r="L39" s="36"/>
      <c r="M39" s="272"/>
      <c r="N39" s="263"/>
      <c r="O39" s="36"/>
      <c r="P39" s="281"/>
      <c r="Q39" s="263"/>
      <c r="R39" s="36"/>
      <c r="S39" s="193" t="s">
        <v>118</v>
      </c>
      <c r="T39" s="1498">
        <v>6</v>
      </c>
      <c r="U39" s="1450">
        <v>6</v>
      </c>
      <c r="V39" s="1496">
        <v>6</v>
      </c>
      <c r="W39" s="1862" t="s">
        <v>735</v>
      </c>
    </row>
    <row r="40" spans="1:26" s="350" customFormat="1" ht="15.75" customHeight="1" x14ac:dyDescent="0.2">
      <c r="A40" s="363"/>
      <c r="B40" s="359"/>
      <c r="C40" s="365"/>
      <c r="D40" s="653"/>
      <c r="E40" s="653"/>
      <c r="F40" s="1854"/>
      <c r="G40" s="1309"/>
      <c r="H40" s="361"/>
      <c r="I40" s="101"/>
      <c r="J40" s="1548"/>
      <c r="K40" s="1099"/>
      <c r="L40" s="1100"/>
      <c r="M40" s="1098"/>
      <c r="N40" s="1099"/>
      <c r="O40" s="1100"/>
      <c r="P40" s="1314"/>
      <c r="Q40" s="1099"/>
      <c r="R40" s="1100"/>
      <c r="S40" s="208" t="s">
        <v>119</v>
      </c>
      <c r="T40" s="211">
        <v>5564</v>
      </c>
      <c r="U40" s="55">
        <v>5560</v>
      </c>
      <c r="V40" s="50">
        <v>5560</v>
      </c>
      <c r="W40" s="1862"/>
      <c r="Y40" s="1842"/>
      <c r="Z40" s="1842"/>
    </row>
    <row r="41" spans="1:26" s="350" customFormat="1" ht="43.5" customHeight="1" x14ac:dyDescent="0.2">
      <c r="A41" s="363"/>
      <c r="B41" s="359"/>
      <c r="C41" s="365"/>
      <c r="D41" s="653"/>
      <c r="E41" s="653"/>
      <c r="F41" s="1854"/>
      <c r="G41" s="1309"/>
      <c r="H41" s="361"/>
      <c r="I41" s="101"/>
      <c r="J41" s="255"/>
      <c r="K41" s="114"/>
      <c r="L41" s="232"/>
      <c r="M41" s="775"/>
      <c r="N41" s="114"/>
      <c r="O41" s="232"/>
      <c r="P41" s="243"/>
      <c r="Q41" s="114"/>
      <c r="R41" s="232"/>
      <c r="S41" s="198" t="s">
        <v>220</v>
      </c>
      <c r="T41" s="211">
        <f>SUM(T42:T44)</f>
        <v>230</v>
      </c>
      <c r="U41" s="54">
        <f t="shared" ref="U41" si="0">SUM(U42:U44)</f>
        <v>230</v>
      </c>
      <c r="V41" s="50">
        <f t="shared" ref="V41" si="1">SUM(V42:V44)</f>
        <v>230</v>
      </c>
      <c r="W41" s="1862"/>
      <c r="Y41" s="1842"/>
      <c r="Z41" s="1842"/>
    </row>
    <row r="42" spans="1:26" s="350" customFormat="1" ht="17.25" customHeight="1" x14ac:dyDescent="0.2">
      <c r="A42" s="363"/>
      <c r="B42" s="359"/>
      <c r="C42" s="365"/>
      <c r="D42" s="653"/>
      <c r="E42" s="653"/>
      <c r="F42" s="1854"/>
      <c r="G42" s="1309"/>
      <c r="H42" s="361"/>
      <c r="I42" s="101"/>
      <c r="J42" s="255"/>
      <c r="K42" s="114"/>
      <c r="L42" s="232"/>
      <c r="M42" s="775"/>
      <c r="N42" s="114"/>
      <c r="O42" s="232"/>
      <c r="P42" s="243"/>
      <c r="Q42" s="114"/>
      <c r="R42" s="232"/>
      <c r="S42" s="208" t="s">
        <v>221</v>
      </c>
      <c r="T42" s="211">
        <v>100</v>
      </c>
      <c r="U42" s="54">
        <v>100</v>
      </c>
      <c r="V42" s="50">
        <v>100</v>
      </c>
      <c r="W42" s="1862"/>
      <c r="Y42" s="1443"/>
      <c r="Z42" s="1443"/>
    </row>
    <row r="43" spans="1:26" s="350" customFormat="1" ht="18" customHeight="1" x14ac:dyDescent="0.2">
      <c r="A43" s="363"/>
      <c r="B43" s="359"/>
      <c r="C43" s="365"/>
      <c r="D43" s="653"/>
      <c r="E43" s="653"/>
      <c r="F43" s="1854"/>
      <c r="G43" s="1309"/>
      <c r="H43" s="361"/>
      <c r="I43" s="101"/>
      <c r="J43" s="255"/>
      <c r="K43" s="114"/>
      <c r="L43" s="232"/>
      <c r="M43" s="775"/>
      <c r="N43" s="114"/>
      <c r="O43" s="232"/>
      <c r="P43" s="243"/>
      <c r="Q43" s="114"/>
      <c r="R43" s="232"/>
      <c r="S43" s="208" t="s">
        <v>222</v>
      </c>
      <c r="T43" s="211">
        <v>15</v>
      </c>
      <c r="U43" s="54">
        <v>15</v>
      </c>
      <c r="V43" s="50">
        <v>15</v>
      </c>
      <c r="W43" s="1862"/>
      <c r="Y43" s="1443"/>
      <c r="Z43" s="1443"/>
    </row>
    <row r="44" spans="1:26" s="350" customFormat="1" ht="30" customHeight="1" x14ac:dyDescent="0.2">
      <c r="A44" s="363"/>
      <c r="B44" s="359"/>
      <c r="C44" s="365"/>
      <c r="D44" s="653"/>
      <c r="E44" s="653"/>
      <c r="F44" s="1854"/>
      <c r="G44" s="1309"/>
      <c r="H44" s="361"/>
      <c r="I44" s="101"/>
      <c r="J44" s="255"/>
      <c r="K44" s="114"/>
      <c r="L44" s="232"/>
      <c r="M44" s="775"/>
      <c r="N44" s="114"/>
      <c r="O44" s="232"/>
      <c r="P44" s="243"/>
      <c r="Q44" s="114"/>
      <c r="R44" s="232"/>
      <c r="S44" s="208" t="s">
        <v>223</v>
      </c>
      <c r="T44" s="211">
        <v>115</v>
      </c>
      <c r="U44" s="54">
        <v>115</v>
      </c>
      <c r="V44" s="50">
        <v>115</v>
      </c>
      <c r="W44" s="1862"/>
      <c r="Y44" s="1443"/>
      <c r="Z44" s="1443"/>
    </row>
    <row r="45" spans="1:26" s="350" customFormat="1" ht="55.5" customHeight="1" thickBot="1" x14ac:dyDescent="0.25">
      <c r="A45" s="363"/>
      <c r="B45" s="359"/>
      <c r="C45" s="365"/>
      <c r="D45" s="663"/>
      <c r="E45" s="663"/>
      <c r="F45" s="1857"/>
      <c r="G45" s="1309"/>
      <c r="H45" s="361"/>
      <c r="I45" s="101"/>
      <c r="J45" s="255"/>
      <c r="K45" s="114"/>
      <c r="L45" s="232"/>
      <c r="M45" s="775"/>
      <c r="N45" s="114"/>
      <c r="O45" s="232"/>
      <c r="P45" s="243"/>
      <c r="Q45" s="114"/>
      <c r="R45" s="232"/>
      <c r="S45" s="209" t="s">
        <v>224</v>
      </c>
      <c r="T45" s="319">
        <v>5000</v>
      </c>
      <c r="U45" s="282">
        <v>5000</v>
      </c>
      <c r="V45" s="52">
        <v>5000</v>
      </c>
      <c r="W45" s="1862"/>
      <c r="Y45" s="1443"/>
      <c r="Z45" s="1443"/>
    </row>
    <row r="46" spans="1:26" s="350" customFormat="1" ht="12.75" customHeight="1" x14ac:dyDescent="0.2">
      <c r="A46" s="363"/>
      <c r="B46" s="359"/>
      <c r="C46" s="365"/>
      <c r="D46" s="653" t="s">
        <v>267</v>
      </c>
      <c r="E46" s="653"/>
      <c r="F46" s="1843" t="s">
        <v>50</v>
      </c>
      <c r="G46" s="1313"/>
      <c r="H46" s="361"/>
      <c r="I46" s="101"/>
      <c r="J46" s="190"/>
      <c r="K46" s="263"/>
      <c r="L46" s="36"/>
      <c r="M46" s="272"/>
      <c r="N46" s="263"/>
      <c r="O46" s="36"/>
      <c r="P46" s="281"/>
      <c r="Q46" s="263"/>
      <c r="R46" s="36"/>
      <c r="S46" s="1861" t="s">
        <v>123</v>
      </c>
      <c r="T46" s="318">
        <v>8500</v>
      </c>
      <c r="U46" s="298">
        <v>8500</v>
      </c>
      <c r="V46" s="316">
        <v>8501</v>
      </c>
      <c r="W46" s="1862"/>
    </row>
    <row r="47" spans="1:26" s="350" customFormat="1" ht="16.5" customHeight="1" thickBot="1" x14ac:dyDescent="0.25">
      <c r="A47" s="363"/>
      <c r="B47" s="359"/>
      <c r="C47" s="365"/>
      <c r="D47" s="653"/>
      <c r="E47" s="653"/>
      <c r="F47" s="1843"/>
      <c r="G47" s="1313"/>
      <c r="H47" s="361"/>
      <c r="I47" s="101"/>
      <c r="J47" s="255"/>
      <c r="K47" s="114"/>
      <c r="L47" s="232"/>
      <c r="M47" s="775"/>
      <c r="N47" s="114"/>
      <c r="O47" s="232"/>
      <c r="P47" s="243"/>
      <c r="Q47" s="114"/>
      <c r="R47" s="232"/>
      <c r="S47" s="1862"/>
      <c r="T47" s="279"/>
      <c r="U47" s="57"/>
      <c r="V47" s="948"/>
      <c r="W47" s="1985"/>
    </row>
    <row r="48" spans="1:26" s="350" customFormat="1" ht="14.25" customHeight="1" x14ac:dyDescent="0.2">
      <c r="A48" s="363"/>
      <c r="B48" s="359"/>
      <c r="C48" s="365"/>
      <c r="D48" s="670" t="s">
        <v>268</v>
      </c>
      <c r="E48" s="670"/>
      <c r="F48" s="1839" t="s">
        <v>124</v>
      </c>
      <c r="G48" s="1313"/>
      <c r="H48" s="361"/>
      <c r="I48" s="101"/>
      <c r="J48" s="255"/>
      <c r="K48" s="114"/>
      <c r="L48" s="232"/>
      <c r="M48" s="775"/>
      <c r="N48" s="114"/>
      <c r="O48" s="232"/>
      <c r="P48" s="243"/>
      <c r="Q48" s="114"/>
      <c r="R48" s="232"/>
      <c r="S48" s="1445" t="s">
        <v>80</v>
      </c>
      <c r="T48" s="318">
        <v>85</v>
      </c>
      <c r="U48" s="298">
        <v>100</v>
      </c>
      <c r="V48" s="316"/>
      <c r="W48" s="316"/>
    </row>
    <row r="49" spans="1:23" s="350" customFormat="1" ht="14.25" customHeight="1" x14ac:dyDescent="0.2">
      <c r="A49" s="363"/>
      <c r="B49" s="359"/>
      <c r="C49" s="365"/>
      <c r="D49" s="653"/>
      <c r="E49" s="653"/>
      <c r="F49" s="1840"/>
      <c r="G49" s="1313"/>
      <c r="H49" s="361"/>
      <c r="I49" s="101"/>
      <c r="J49" s="255"/>
      <c r="K49" s="114"/>
      <c r="L49" s="232"/>
      <c r="M49" s="775"/>
      <c r="N49" s="114"/>
      <c r="O49" s="232"/>
      <c r="P49" s="243"/>
      <c r="Q49" s="114"/>
      <c r="R49" s="232"/>
      <c r="S49" s="1219"/>
      <c r="T49" s="279"/>
      <c r="U49" s="57"/>
      <c r="V49" s="948"/>
      <c r="W49" s="948"/>
    </row>
    <row r="50" spans="1:23" s="350" customFormat="1" ht="14.25" customHeight="1" thickBot="1" x14ac:dyDescent="0.25">
      <c r="A50" s="363"/>
      <c r="B50" s="359"/>
      <c r="C50" s="365"/>
      <c r="D50" s="671"/>
      <c r="E50" s="671"/>
      <c r="F50" s="1841"/>
      <c r="G50" s="1313"/>
      <c r="H50" s="361"/>
      <c r="I50" s="101"/>
      <c r="J50" s="255"/>
      <c r="K50" s="114"/>
      <c r="L50" s="232"/>
      <c r="M50" s="775"/>
      <c r="N50" s="114"/>
      <c r="O50" s="232"/>
      <c r="P50" s="243"/>
      <c r="Q50" s="114"/>
      <c r="R50" s="232"/>
      <c r="S50" s="206"/>
      <c r="T50" s="324"/>
      <c r="U50" s="530"/>
      <c r="V50" s="413"/>
      <c r="W50" s="413"/>
    </row>
    <row r="51" spans="1:23" s="350" customFormat="1" ht="12.75" customHeight="1" x14ac:dyDescent="0.2">
      <c r="A51" s="373"/>
      <c r="B51" s="362"/>
      <c r="C51" s="360"/>
      <c r="D51" s="647" t="s">
        <v>5</v>
      </c>
      <c r="E51" s="653"/>
      <c r="F51" s="1839" t="s">
        <v>159</v>
      </c>
      <c r="G51" s="1222"/>
      <c r="H51" s="570"/>
      <c r="I51" s="101"/>
      <c r="J51" s="1546"/>
      <c r="K51" s="1325"/>
      <c r="L51" s="1547"/>
      <c r="M51" s="272"/>
      <c r="N51" s="263"/>
      <c r="O51" s="36"/>
      <c r="P51" s="281"/>
      <c r="Q51" s="263"/>
      <c r="R51" s="36"/>
      <c r="S51" s="1861" t="s">
        <v>123</v>
      </c>
      <c r="T51" s="318">
        <v>150</v>
      </c>
      <c r="U51" s="298">
        <v>150</v>
      </c>
      <c r="V51" s="316">
        <v>150</v>
      </c>
      <c r="W51" s="316"/>
    </row>
    <row r="52" spans="1:23" s="350" customFormat="1" ht="17.25" customHeight="1" thickBot="1" x14ac:dyDescent="0.25">
      <c r="A52" s="373"/>
      <c r="B52" s="362"/>
      <c r="C52" s="360"/>
      <c r="D52" s="647"/>
      <c r="E52" s="653"/>
      <c r="F52" s="1840"/>
      <c r="G52" s="1222"/>
      <c r="H52" s="367"/>
      <c r="I52" s="101"/>
      <c r="J52" s="1272"/>
      <c r="K52" s="116"/>
      <c r="L52" s="72"/>
      <c r="M52" s="775"/>
      <c r="N52" s="114"/>
      <c r="O52" s="232"/>
      <c r="P52" s="243"/>
      <c r="Q52" s="114"/>
      <c r="R52" s="232"/>
      <c r="S52" s="1862"/>
      <c r="T52" s="295"/>
      <c r="U52" s="135"/>
      <c r="V52" s="948"/>
      <c r="W52" s="948"/>
    </row>
    <row r="53" spans="1:23" s="350" customFormat="1" ht="42" customHeight="1" x14ac:dyDescent="0.2">
      <c r="A53" s="373"/>
      <c r="B53" s="362"/>
      <c r="C53" s="360"/>
      <c r="D53" s="669" t="s">
        <v>269</v>
      </c>
      <c r="E53" s="670"/>
      <c r="F53" s="1440" t="s">
        <v>160</v>
      </c>
      <c r="G53" s="1313"/>
      <c r="H53" s="361"/>
      <c r="I53" s="101"/>
      <c r="J53" s="1524"/>
      <c r="K53" s="1525"/>
      <c r="L53" s="1526"/>
      <c r="M53" s="1475"/>
      <c r="N53" s="1467"/>
      <c r="O53" s="1477"/>
      <c r="P53" s="1476"/>
      <c r="Q53" s="1467"/>
      <c r="R53" s="1477"/>
      <c r="S53" s="194" t="s">
        <v>225</v>
      </c>
      <c r="T53" s="294">
        <v>695</v>
      </c>
      <c r="U53" s="171">
        <v>695</v>
      </c>
      <c r="V53" s="170">
        <v>695</v>
      </c>
      <c r="W53" s="170"/>
    </row>
    <row r="54" spans="1:23" ht="16.5" customHeight="1" x14ac:dyDescent="0.2">
      <c r="A54" s="373"/>
      <c r="B54" s="362"/>
      <c r="C54" s="360"/>
      <c r="D54" s="647"/>
      <c r="E54" s="653"/>
      <c r="F54" s="1441"/>
      <c r="G54" s="1313"/>
      <c r="H54" s="361"/>
      <c r="I54" s="101"/>
      <c r="J54" s="1524"/>
      <c r="K54" s="1525"/>
      <c r="L54" s="1526"/>
      <c r="M54" s="775"/>
      <c r="N54" s="114"/>
      <c r="O54" s="232"/>
      <c r="P54" s="243"/>
      <c r="Q54" s="114"/>
      <c r="R54" s="232"/>
      <c r="S54" s="260" t="s">
        <v>226</v>
      </c>
      <c r="T54" s="279">
        <v>20</v>
      </c>
      <c r="U54" s="57">
        <v>20</v>
      </c>
      <c r="V54" s="948">
        <v>20</v>
      </c>
      <c r="W54" s="948"/>
    </row>
    <row r="55" spans="1:23" ht="30.75" customHeight="1" thickBot="1" x14ac:dyDescent="0.25">
      <c r="A55" s="373"/>
      <c r="B55" s="362"/>
      <c r="C55" s="360"/>
      <c r="D55" s="668"/>
      <c r="E55" s="653"/>
      <c r="F55" s="1441"/>
      <c r="G55" s="1313"/>
      <c r="H55" s="361"/>
      <c r="I55" s="101"/>
      <c r="J55" s="1272"/>
      <c r="K55" s="116"/>
      <c r="L55" s="72"/>
      <c r="M55" s="775"/>
      <c r="N55" s="114"/>
      <c r="O55" s="232"/>
      <c r="P55" s="243"/>
      <c r="Q55" s="114"/>
      <c r="R55" s="232"/>
      <c r="S55" s="209" t="s">
        <v>126</v>
      </c>
      <c r="T55" s="212">
        <v>15000</v>
      </c>
      <c r="U55" s="313">
        <v>15000</v>
      </c>
      <c r="V55" s="327">
        <v>15000</v>
      </c>
      <c r="W55" s="327"/>
    </row>
    <row r="56" spans="1:23" ht="21" customHeight="1" x14ac:dyDescent="0.2">
      <c r="A56" s="373"/>
      <c r="B56" s="362"/>
      <c r="C56" s="360"/>
      <c r="D56" s="647" t="s">
        <v>270</v>
      </c>
      <c r="E56" s="670"/>
      <c r="F56" s="1772" t="s">
        <v>280</v>
      </c>
      <c r="G56" s="1313"/>
      <c r="H56" s="374"/>
      <c r="I56" s="101"/>
      <c r="J56" s="1272"/>
      <c r="K56" s="116"/>
      <c r="L56" s="72"/>
      <c r="M56" s="775"/>
      <c r="N56" s="114"/>
      <c r="O56" s="232"/>
      <c r="P56" s="243"/>
      <c r="Q56" s="114"/>
      <c r="R56" s="232"/>
      <c r="S56" s="194" t="s">
        <v>127</v>
      </c>
      <c r="T56" s="294">
        <v>158</v>
      </c>
      <c r="U56" s="171">
        <v>160</v>
      </c>
      <c r="V56" s="375">
        <v>160</v>
      </c>
      <c r="W56" s="375"/>
    </row>
    <row r="57" spans="1:23" ht="21" customHeight="1" thickBot="1" x14ac:dyDescent="0.25">
      <c r="A57" s="373"/>
      <c r="B57" s="362"/>
      <c r="C57" s="360"/>
      <c r="D57" s="647"/>
      <c r="E57" s="653"/>
      <c r="F57" s="1863"/>
      <c r="G57" s="259"/>
      <c r="H57" s="374"/>
      <c r="I57" s="101"/>
      <c r="J57" s="1272"/>
      <c r="K57" s="116"/>
      <c r="L57" s="72"/>
      <c r="M57" s="775"/>
      <c r="N57" s="114"/>
      <c r="O57" s="232"/>
      <c r="P57" s="243"/>
      <c r="Q57" s="114"/>
      <c r="R57" s="232"/>
      <c r="S57" s="209" t="s">
        <v>128</v>
      </c>
      <c r="T57" s="319">
        <v>9</v>
      </c>
      <c r="U57" s="282">
        <v>9</v>
      </c>
      <c r="V57" s="68">
        <v>9</v>
      </c>
      <c r="W57" s="68"/>
    </row>
    <row r="58" spans="1:23" ht="28.5" customHeight="1" x14ac:dyDescent="0.2">
      <c r="A58" s="358"/>
      <c r="B58" s="362"/>
      <c r="C58" s="360"/>
      <c r="D58" s="669" t="s">
        <v>271</v>
      </c>
      <c r="E58" s="670"/>
      <c r="F58" s="1839" t="s">
        <v>227</v>
      </c>
      <c r="G58" s="1313"/>
      <c r="H58" s="374"/>
      <c r="I58" s="101"/>
      <c r="J58" s="255"/>
      <c r="K58" s="114"/>
      <c r="L58" s="232"/>
      <c r="M58" s="775"/>
      <c r="N58" s="114"/>
      <c r="O58" s="232"/>
      <c r="P58" s="243"/>
      <c r="Q58" s="114"/>
      <c r="R58" s="232"/>
      <c r="S58" s="194" t="s">
        <v>228</v>
      </c>
      <c r="T58" s="213">
        <v>1</v>
      </c>
      <c r="U58" s="171"/>
      <c r="V58" s="170"/>
      <c r="W58" s="170"/>
    </row>
    <row r="59" spans="1:23" ht="15.75" customHeight="1" x14ac:dyDescent="0.2">
      <c r="A59" s="358"/>
      <c r="B59" s="362"/>
      <c r="C59" s="360"/>
      <c r="D59" s="647"/>
      <c r="E59" s="653"/>
      <c r="F59" s="1840"/>
      <c r="G59" s="1313"/>
      <c r="H59" s="374"/>
      <c r="I59" s="101"/>
      <c r="J59" s="255"/>
      <c r="K59" s="114"/>
      <c r="L59" s="232"/>
      <c r="M59" s="775"/>
      <c r="N59" s="114"/>
      <c r="O59" s="232"/>
      <c r="P59" s="243"/>
      <c r="Q59" s="114"/>
      <c r="R59" s="232"/>
      <c r="S59" s="208" t="s">
        <v>229</v>
      </c>
      <c r="T59" s="121">
        <v>5</v>
      </c>
      <c r="U59" s="55"/>
      <c r="V59" s="50"/>
      <c r="W59" s="50"/>
    </row>
    <row r="60" spans="1:23" ht="18" customHeight="1" x14ac:dyDescent="0.2">
      <c r="A60" s="358"/>
      <c r="B60" s="362"/>
      <c r="C60" s="360"/>
      <c r="D60" s="668"/>
      <c r="E60" s="671"/>
      <c r="F60" s="1841"/>
      <c r="G60" s="1313"/>
      <c r="H60" s="374"/>
      <c r="I60" s="101"/>
      <c r="J60" s="255"/>
      <c r="K60" s="114"/>
      <c r="L60" s="232"/>
      <c r="M60" s="775"/>
      <c r="N60" s="114"/>
      <c r="O60" s="232"/>
      <c r="P60" s="243"/>
      <c r="Q60" s="114"/>
      <c r="R60" s="232"/>
      <c r="S60" s="260" t="s">
        <v>127</v>
      </c>
      <c r="T60" s="101"/>
      <c r="U60" s="57">
        <v>30</v>
      </c>
      <c r="V60" s="948">
        <v>30</v>
      </c>
      <c r="W60" s="948"/>
    </row>
    <row r="61" spans="1:23" ht="42" customHeight="1" thickBot="1" x14ac:dyDescent="0.25">
      <c r="A61" s="358"/>
      <c r="B61" s="362"/>
      <c r="C61" s="360"/>
      <c r="D61" s="647" t="s">
        <v>272</v>
      </c>
      <c r="E61" s="653"/>
      <c r="F61" s="1442" t="s">
        <v>207</v>
      </c>
      <c r="G61" s="259"/>
      <c r="H61" s="374"/>
      <c r="I61" s="101"/>
      <c r="J61" s="1108"/>
      <c r="K61" s="768"/>
      <c r="L61" s="769"/>
      <c r="M61" s="767"/>
      <c r="N61" s="768"/>
      <c r="O61" s="769"/>
      <c r="P61" s="1109"/>
      <c r="Q61" s="768"/>
      <c r="R61" s="769"/>
      <c r="S61" s="1218"/>
      <c r="T61" s="85"/>
      <c r="U61" s="920"/>
      <c r="V61" s="1495"/>
      <c r="W61" s="1495"/>
    </row>
    <row r="62" spans="1:23" ht="15.75" customHeight="1" x14ac:dyDescent="0.2">
      <c r="A62" s="358"/>
      <c r="B62" s="362"/>
      <c r="C62" s="360"/>
      <c r="D62" s="647"/>
      <c r="E62" s="672" t="s">
        <v>14</v>
      </c>
      <c r="F62" s="180" t="s">
        <v>129</v>
      </c>
      <c r="G62" s="1313"/>
      <c r="H62" s="374"/>
      <c r="I62" s="101"/>
      <c r="J62" s="255"/>
      <c r="K62" s="114"/>
      <c r="L62" s="232"/>
      <c r="M62" s="775"/>
      <c r="N62" s="114"/>
      <c r="O62" s="232"/>
      <c r="P62" s="243"/>
      <c r="Q62" s="114"/>
      <c r="R62" s="232"/>
      <c r="S62" s="1225" t="s">
        <v>629</v>
      </c>
      <c r="T62" s="1646" t="s">
        <v>743</v>
      </c>
      <c r="U62" s="171">
        <v>92</v>
      </c>
      <c r="V62" s="375">
        <v>122</v>
      </c>
      <c r="W62" s="375"/>
    </row>
    <row r="63" spans="1:23" ht="17.25" customHeight="1" thickBot="1" x14ac:dyDescent="0.25">
      <c r="A63" s="358"/>
      <c r="B63" s="362"/>
      <c r="C63" s="360"/>
      <c r="D63" s="647"/>
      <c r="E63" s="653" t="s">
        <v>17</v>
      </c>
      <c r="F63" s="180" t="s">
        <v>130</v>
      </c>
      <c r="G63" s="1313"/>
      <c r="H63" s="374"/>
      <c r="I63" s="101"/>
      <c r="J63" s="255"/>
      <c r="K63" s="114"/>
      <c r="L63" s="232"/>
      <c r="M63" s="775"/>
      <c r="N63" s="114"/>
      <c r="O63" s="232"/>
      <c r="P63" s="243"/>
      <c r="Q63" s="114"/>
      <c r="R63" s="232"/>
      <c r="S63" s="206" t="s">
        <v>118</v>
      </c>
      <c r="T63" s="308">
        <v>2</v>
      </c>
      <c r="U63" s="530">
        <v>2</v>
      </c>
      <c r="V63" s="75"/>
      <c r="W63" s="75"/>
    </row>
    <row r="64" spans="1:23" ht="29.25" customHeight="1" x14ac:dyDescent="0.2">
      <c r="A64" s="358"/>
      <c r="B64" s="362"/>
      <c r="C64" s="360"/>
      <c r="D64" s="647"/>
      <c r="E64" s="670" t="s">
        <v>19</v>
      </c>
      <c r="F64" s="889" t="s">
        <v>606</v>
      </c>
      <c r="G64" s="1224" t="s">
        <v>206</v>
      </c>
      <c r="H64" s="374"/>
      <c r="I64" s="101"/>
      <c r="J64" s="190"/>
      <c r="K64" s="263"/>
      <c r="L64" s="36"/>
      <c r="M64" s="775"/>
      <c r="N64" s="114"/>
      <c r="O64" s="232"/>
      <c r="P64" s="243"/>
      <c r="Q64" s="114"/>
      <c r="R64" s="232"/>
      <c r="S64" s="1445"/>
      <c r="T64" s="105"/>
      <c r="U64" s="298"/>
      <c r="V64" s="252"/>
      <c r="W64" s="252"/>
    </row>
    <row r="65" spans="1:23" ht="15.75" customHeight="1" x14ac:dyDescent="0.2">
      <c r="A65" s="358"/>
      <c r="B65" s="362"/>
      <c r="C65" s="360"/>
      <c r="D65" s="647"/>
      <c r="E65" s="653"/>
      <c r="F65" s="1864" t="s">
        <v>611</v>
      </c>
      <c r="G65" s="197"/>
      <c r="H65" s="374"/>
      <c r="I65" s="101"/>
      <c r="J65" s="190"/>
      <c r="K65" s="263"/>
      <c r="L65" s="36"/>
      <c r="M65" s="272"/>
      <c r="N65" s="263"/>
      <c r="O65" s="36"/>
      <c r="P65" s="281"/>
      <c r="Q65" s="263"/>
      <c r="R65" s="36"/>
      <c r="S65" s="1446" t="s">
        <v>120</v>
      </c>
      <c r="T65" s="1529" t="s">
        <v>742</v>
      </c>
      <c r="U65" s="60">
        <v>250</v>
      </c>
      <c r="V65" s="1481">
        <v>340</v>
      </c>
      <c r="W65" s="1481"/>
    </row>
    <row r="66" spans="1:23" ht="15.75" customHeight="1" x14ac:dyDescent="0.2">
      <c r="A66" s="358"/>
      <c r="B66" s="362"/>
      <c r="C66" s="360"/>
      <c r="D66" s="647"/>
      <c r="E66" s="653"/>
      <c r="F66" s="1865"/>
      <c r="G66" s="189"/>
      <c r="H66" s="374"/>
      <c r="I66" s="101"/>
      <c r="J66" s="190"/>
      <c r="K66" s="263"/>
      <c r="L66" s="36"/>
      <c r="M66" s="272"/>
      <c r="N66" s="263"/>
      <c r="O66" s="36"/>
      <c r="P66" s="281"/>
      <c r="Q66" s="263"/>
      <c r="R66" s="36"/>
      <c r="S66" s="1446" t="s">
        <v>608</v>
      </c>
      <c r="T66" s="204">
        <v>8</v>
      </c>
      <c r="U66" s="60">
        <v>12</v>
      </c>
      <c r="V66" s="1481">
        <v>16</v>
      </c>
      <c r="W66" s="1481"/>
    </row>
    <row r="67" spans="1:23" ht="30" customHeight="1" thickBot="1" x14ac:dyDescent="0.25">
      <c r="A67" s="358"/>
      <c r="B67" s="362"/>
      <c r="C67" s="360"/>
      <c r="D67" s="647"/>
      <c r="E67" s="671"/>
      <c r="F67" s="1448" t="s">
        <v>607</v>
      </c>
      <c r="G67" s="197"/>
      <c r="H67" s="374"/>
      <c r="I67" s="101"/>
      <c r="J67" s="190"/>
      <c r="K67" s="263"/>
      <c r="L67" s="36"/>
      <c r="M67" s="272"/>
      <c r="N67" s="263"/>
      <c r="O67" s="36"/>
      <c r="P67" s="281"/>
      <c r="Q67" s="263"/>
      <c r="R67" s="36"/>
      <c r="S67" s="206" t="s">
        <v>609</v>
      </c>
      <c r="T67" s="308">
        <v>2</v>
      </c>
      <c r="U67" s="530">
        <v>4</v>
      </c>
      <c r="V67" s="63"/>
      <c r="W67" s="63"/>
    </row>
    <row r="68" spans="1:23" ht="18" customHeight="1" x14ac:dyDescent="0.2">
      <c r="A68" s="376"/>
      <c r="B68" s="377"/>
      <c r="C68" s="378"/>
      <c r="D68" s="647"/>
      <c r="E68" s="653" t="s">
        <v>21</v>
      </c>
      <c r="F68" s="1772" t="s">
        <v>622</v>
      </c>
      <c r="G68" s="1866" t="s">
        <v>45</v>
      </c>
      <c r="H68" s="361"/>
      <c r="I68" s="101"/>
      <c r="J68" s="255"/>
      <c r="K68" s="114"/>
      <c r="L68" s="232"/>
      <c r="M68" s="775"/>
      <c r="N68" s="114"/>
      <c r="O68" s="232"/>
      <c r="P68" s="243"/>
      <c r="Q68" s="114"/>
      <c r="R68" s="232"/>
      <c r="S68" s="194" t="s">
        <v>118</v>
      </c>
      <c r="T68" s="213">
        <v>4</v>
      </c>
      <c r="U68" s="171">
        <v>0</v>
      </c>
      <c r="V68" s="375">
        <v>0</v>
      </c>
      <c r="W68" s="375"/>
    </row>
    <row r="69" spans="1:23" ht="18" customHeight="1" thickBot="1" x14ac:dyDescent="0.25">
      <c r="A69" s="376"/>
      <c r="B69" s="377"/>
      <c r="C69" s="378"/>
      <c r="D69" s="647"/>
      <c r="E69" s="653"/>
      <c r="F69" s="1863"/>
      <c r="G69" s="1867"/>
      <c r="H69" s="361"/>
      <c r="I69" s="101"/>
      <c r="J69" s="255"/>
      <c r="K69" s="114"/>
      <c r="L69" s="232"/>
      <c r="M69" s="775"/>
      <c r="N69" s="114"/>
      <c r="O69" s="232"/>
      <c r="P69" s="243"/>
      <c r="Q69" s="114"/>
      <c r="R69" s="232"/>
      <c r="S69" s="1219" t="s">
        <v>120</v>
      </c>
      <c r="T69" s="101">
        <v>44</v>
      </c>
      <c r="U69" s="57">
        <v>0</v>
      </c>
      <c r="V69" s="30">
        <v>0</v>
      </c>
      <c r="W69" s="30"/>
    </row>
    <row r="70" spans="1:23" ht="29.25" customHeight="1" x14ac:dyDescent="0.2">
      <c r="A70" s="358"/>
      <c r="B70" s="362"/>
      <c r="C70" s="360"/>
      <c r="D70" s="647"/>
      <c r="E70" s="670" t="s">
        <v>22</v>
      </c>
      <c r="F70" s="1447" t="s">
        <v>231</v>
      </c>
      <c r="G70" s="1313"/>
      <c r="H70" s="374"/>
      <c r="I70" s="101"/>
      <c r="J70" s="255"/>
      <c r="K70" s="114"/>
      <c r="L70" s="232"/>
      <c r="M70" s="775"/>
      <c r="N70" s="114"/>
      <c r="O70" s="232"/>
      <c r="P70" s="243"/>
      <c r="Q70" s="114"/>
      <c r="R70" s="232"/>
      <c r="S70" s="194" t="s">
        <v>232</v>
      </c>
      <c r="T70" s="294">
        <v>1</v>
      </c>
      <c r="U70" s="169"/>
      <c r="V70" s="170"/>
      <c r="W70" s="170"/>
    </row>
    <row r="71" spans="1:23" ht="31.5" customHeight="1" x14ac:dyDescent="0.2">
      <c r="A71" s="358"/>
      <c r="B71" s="362"/>
      <c r="C71" s="360"/>
      <c r="D71" s="647"/>
      <c r="E71" s="653"/>
      <c r="F71" s="1444"/>
      <c r="G71" s="1313"/>
      <c r="H71" s="374"/>
      <c r="I71" s="101"/>
      <c r="J71" s="255"/>
      <c r="K71" s="114"/>
      <c r="L71" s="232"/>
      <c r="M71" s="775"/>
      <c r="N71" s="114"/>
      <c r="O71" s="232"/>
      <c r="P71" s="243"/>
      <c r="Q71" s="114"/>
      <c r="R71" s="232"/>
      <c r="S71" s="260" t="s">
        <v>233</v>
      </c>
      <c r="T71" s="279"/>
      <c r="U71" s="1499">
        <v>53</v>
      </c>
      <c r="V71" s="1495">
        <v>51</v>
      </c>
      <c r="W71" s="1495"/>
    </row>
    <row r="72" spans="1:23" ht="16.5" customHeight="1" thickBot="1" x14ac:dyDescent="0.25">
      <c r="A72" s="358"/>
      <c r="B72" s="362"/>
      <c r="C72" s="360"/>
      <c r="D72" s="668"/>
      <c r="E72" s="671"/>
      <c r="F72" s="1448"/>
      <c r="G72" s="1313"/>
      <c r="H72" s="374"/>
      <c r="I72" s="101"/>
      <c r="J72" s="255"/>
      <c r="K72" s="114"/>
      <c r="L72" s="232"/>
      <c r="M72" s="775"/>
      <c r="N72" s="114"/>
      <c r="O72" s="232"/>
      <c r="P72" s="243"/>
      <c r="Q72" s="114"/>
      <c r="R72" s="232"/>
      <c r="S72" s="209" t="s">
        <v>234</v>
      </c>
      <c r="T72" s="325">
        <v>1.26</v>
      </c>
      <c r="U72" s="326">
        <v>1.47</v>
      </c>
      <c r="V72" s="379">
        <v>1.53</v>
      </c>
      <c r="W72" s="379"/>
    </row>
    <row r="73" spans="1:23" ht="53.25" customHeight="1" x14ac:dyDescent="0.2">
      <c r="A73" s="380"/>
      <c r="B73" s="381"/>
      <c r="C73" s="382"/>
      <c r="D73" s="653" t="s">
        <v>273</v>
      </c>
      <c r="E73" s="653"/>
      <c r="F73" s="1447" t="s">
        <v>81</v>
      </c>
      <c r="G73" s="228"/>
      <c r="H73" s="383"/>
      <c r="I73" s="1471"/>
      <c r="J73" s="1272"/>
      <c r="K73" s="116"/>
      <c r="L73" s="72"/>
      <c r="M73" s="77"/>
      <c r="N73" s="116"/>
      <c r="O73" s="72"/>
      <c r="P73" s="243"/>
      <c r="Q73" s="114"/>
      <c r="R73" s="232"/>
      <c r="S73" s="168" t="s">
        <v>161</v>
      </c>
      <c r="T73" s="1645" t="s">
        <v>741</v>
      </c>
      <c r="U73" s="164">
        <v>470</v>
      </c>
      <c r="V73" s="165">
        <v>470</v>
      </c>
      <c r="W73" s="165"/>
    </row>
    <row r="74" spans="1:23" ht="78.75" customHeight="1" x14ac:dyDescent="0.2">
      <c r="A74" s="380"/>
      <c r="B74" s="381"/>
      <c r="C74" s="382"/>
      <c r="D74" s="653"/>
      <c r="E74" s="653"/>
      <c r="F74" s="1444"/>
      <c r="G74" s="229"/>
      <c r="H74" s="383"/>
      <c r="I74" s="1471"/>
      <c r="J74" s="1272"/>
      <c r="K74" s="116"/>
      <c r="L74" s="72"/>
      <c r="M74" s="77"/>
      <c r="N74" s="116"/>
      <c r="O74" s="72"/>
      <c r="P74" s="243"/>
      <c r="Q74" s="114"/>
      <c r="R74" s="232"/>
      <c r="S74" s="48" t="s">
        <v>639</v>
      </c>
      <c r="T74" s="93">
        <v>72</v>
      </c>
      <c r="U74" s="65">
        <v>72</v>
      </c>
      <c r="V74" s="30">
        <v>72</v>
      </c>
      <c r="W74" s="30"/>
    </row>
    <row r="75" spans="1:23" ht="16.5" customHeight="1" thickBot="1" x14ac:dyDescent="0.25">
      <c r="A75" s="380"/>
      <c r="B75" s="381"/>
      <c r="C75" s="382"/>
      <c r="D75" s="653"/>
      <c r="E75" s="653"/>
      <c r="F75" s="1448"/>
      <c r="G75" s="1212"/>
      <c r="H75" s="370"/>
      <c r="I75" s="1471"/>
      <c r="J75" s="1524"/>
      <c r="K75" s="1525"/>
      <c r="L75" s="1526"/>
      <c r="M75" s="1475"/>
      <c r="N75" s="1467"/>
      <c r="O75" s="1477"/>
      <c r="P75" s="281"/>
      <c r="Q75" s="263"/>
      <c r="R75" s="36"/>
      <c r="S75" s="201" t="s">
        <v>131</v>
      </c>
      <c r="T75" s="1647" t="s">
        <v>744</v>
      </c>
      <c r="U75" s="67">
        <v>11</v>
      </c>
      <c r="V75" s="68">
        <v>11</v>
      </c>
      <c r="W75" s="68"/>
    </row>
    <row r="76" spans="1:23" ht="18.75" customHeight="1" thickBot="1" x14ac:dyDescent="0.25">
      <c r="A76" s="380"/>
      <c r="B76" s="381"/>
      <c r="C76" s="382"/>
      <c r="D76" s="672" t="s">
        <v>274</v>
      </c>
      <c r="E76" s="672"/>
      <c r="F76" s="180" t="s">
        <v>55</v>
      </c>
      <c r="G76" s="1212"/>
      <c r="H76" s="370"/>
      <c r="I76" s="388"/>
      <c r="J76" s="1272"/>
      <c r="K76" s="116"/>
      <c r="L76" s="72"/>
      <c r="M76" s="77"/>
      <c r="N76" s="116"/>
      <c r="O76" s="72"/>
      <c r="P76" s="140"/>
      <c r="Q76" s="116"/>
      <c r="R76" s="72"/>
      <c r="S76" s="309" t="s">
        <v>132</v>
      </c>
      <c r="T76" s="334">
        <v>17</v>
      </c>
      <c r="U76" s="333">
        <v>17</v>
      </c>
      <c r="V76" s="385">
        <v>17</v>
      </c>
      <c r="W76" s="385"/>
    </row>
    <row r="77" spans="1:23" ht="18.75" customHeight="1" thickBot="1" x14ac:dyDescent="0.25">
      <c r="A77" s="380"/>
      <c r="B77" s="381"/>
      <c r="C77" s="378"/>
      <c r="D77" s="647" t="s">
        <v>275</v>
      </c>
      <c r="E77" s="653"/>
      <c r="F77" s="180" t="s">
        <v>107</v>
      </c>
      <c r="G77" s="106"/>
      <c r="H77" s="386"/>
      <c r="I77" s="388"/>
      <c r="J77" s="1272"/>
      <c r="K77" s="116"/>
      <c r="L77" s="72"/>
      <c r="M77" s="77"/>
      <c r="N77" s="116"/>
      <c r="O77" s="72"/>
      <c r="P77" s="140"/>
      <c r="Q77" s="116"/>
      <c r="R77" s="72"/>
      <c r="S77" s="310" t="s">
        <v>119</v>
      </c>
      <c r="T77" s="105">
        <v>1166</v>
      </c>
      <c r="U77" s="251">
        <v>1166</v>
      </c>
      <c r="V77" s="387">
        <v>1166</v>
      </c>
      <c r="W77" s="387"/>
    </row>
    <row r="78" spans="1:23" ht="19.5" customHeight="1" x14ac:dyDescent="0.2">
      <c r="A78" s="380"/>
      <c r="B78" s="381"/>
      <c r="C78" s="378"/>
      <c r="D78" s="669" t="s">
        <v>276</v>
      </c>
      <c r="E78" s="670"/>
      <c r="F78" s="1772" t="s">
        <v>235</v>
      </c>
      <c r="G78" s="106"/>
      <c r="H78" s="386"/>
      <c r="I78" s="388"/>
      <c r="J78" s="1272"/>
      <c r="K78" s="116"/>
      <c r="L78" s="72"/>
      <c r="M78" s="77"/>
      <c r="N78" s="116"/>
      <c r="O78" s="72"/>
      <c r="P78" s="140"/>
      <c r="Q78" s="116"/>
      <c r="R78" s="72"/>
      <c r="S78" s="53" t="s">
        <v>118</v>
      </c>
      <c r="T78" s="390">
        <v>1</v>
      </c>
      <c r="U78" s="391">
        <v>1</v>
      </c>
      <c r="V78" s="392">
        <v>1</v>
      </c>
      <c r="W78" s="392"/>
    </row>
    <row r="79" spans="1:23" s="350" customFormat="1" ht="19.5" customHeight="1" thickBot="1" x14ac:dyDescent="0.25">
      <c r="A79" s="380"/>
      <c r="B79" s="381"/>
      <c r="C79" s="378"/>
      <c r="D79" s="668"/>
      <c r="E79" s="671"/>
      <c r="F79" s="1863"/>
      <c r="G79" s="106"/>
      <c r="H79" s="386"/>
      <c r="I79" s="388"/>
      <c r="J79" s="1272"/>
      <c r="K79" s="116"/>
      <c r="L79" s="72"/>
      <c r="M79" s="77"/>
      <c r="N79" s="116"/>
      <c r="O79" s="72"/>
      <c r="P79" s="140"/>
      <c r="Q79" s="116"/>
      <c r="R79" s="72"/>
      <c r="S79" s="201" t="s">
        <v>119</v>
      </c>
      <c r="T79" s="395">
        <v>9</v>
      </c>
      <c r="U79" s="396">
        <v>10</v>
      </c>
      <c r="V79" s="397">
        <v>10</v>
      </c>
      <c r="W79" s="397"/>
    </row>
    <row r="80" spans="1:23" ht="18.75" customHeight="1" x14ac:dyDescent="0.2">
      <c r="A80" s="398"/>
      <c r="B80" s="381"/>
      <c r="C80" s="382"/>
      <c r="D80" s="653" t="s">
        <v>277</v>
      </c>
      <c r="E80" s="653"/>
      <c r="F80" s="1772" t="s">
        <v>133</v>
      </c>
      <c r="G80" s="1212"/>
      <c r="H80" s="370"/>
      <c r="I80" s="14"/>
      <c r="J80" s="1272"/>
      <c r="K80" s="116"/>
      <c r="L80" s="72"/>
      <c r="M80" s="77"/>
      <c r="N80" s="116"/>
      <c r="O80" s="72"/>
      <c r="P80" s="140"/>
      <c r="Q80" s="116"/>
      <c r="R80" s="72"/>
      <c r="S80" s="47" t="s">
        <v>118</v>
      </c>
      <c r="T80" s="101">
        <v>92</v>
      </c>
      <c r="U80" s="41">
        <v>92</v>
      </c>
      <c r="V80" s="948"/>
      <c r="W80" s="948"/>
    </row>
    <row r="81" spans="1:27" ht="15.75" customHeight="1" thickBot="1" x14ac:dyDescent="0.25">
      <c r="A81" s="400"/>
      <c r="B81" s="401"/>
      <c r="C81" s="402"/>
      <c r="D81" s="660"/>
      <c r="E81" s="663"/>
      <c r="F81" s="1773"/>
      <c r="G81" s="1872" t="s">
        <v>51</v>
      </c>
      <c r="H81" s="1873"/>
      <c r="I81" s="1873"/>
      <c r="J81" s="186">
        <f t="shared" ref="J81" si="2">SUM(J13:J80)</f>
        <v>78525.599999999991</v>
      </c>
      <c r="K81" s="111">
        <f t="shared" ref="K81:R81" si="3">SUM(K13:K80)</f>
        <v>79195.499999999985</v>
      </c>
      <c r="L81" s="187">
        <f t="shared" si="3"/>
        <v>669.89999999999714</v>
      </c>
      <c r="M81" s="66">
        <f t="shared" si="3"/>
        <v>78534.799999999988</v>
      </c>
      <c r="N81" s="111">
        <f t="shared" si="3"/>
        <v>78534.799999999988</v>
      </c>
      <c r="O81" s="437">
        <f t="shared" si="3"/>
        <v>0</v>
      </c>
      <c r="P81" s="269">
        <f t="shared" si="3"/>
        <v>78168.799999999988</v>
      </c>
      <c r="Q81" s="111">
        <f t="shared" si="3"/>
        <v>78168.799999999988</v>
      </c>
      <c r="R81" s="437">
        <f t="shared" si="3"/>
        <v>0</v>
      </c>
      <c r="S81" s="1453"/>
      <c r="T81" s="404"/>
      <c r="U81" s="405"/>
      <c r="V81" s="406"/>
      <c r="W81" s="406"/>
    </row>
    <row r="82" spans="1:27" ht="32.25" customHeight="1" x14ac:dyDescent="0.2">
      <c r="A82" s="407" t="s">
        <v>14</v>
      </c>
      <c r="B82" s="408" t="s">
        <v>14</v>
      </c>
      <c r="C82" s="409" t="s">
        <v>17</v>
      </c>
      <c r="D82" s="645"/>
      <c r="E82" s="645"/>
      <c r="F82" s="1460" t="s">
        <v>82</v>
      </c>
      <c r="G82" s="1209"/>
      <c r="H82" s="410">
        <v>2</v>
      </c>
      <c r="I82" s="411"/>
      <c r="J82" s="812"/>
      <c r="K82" s="787"/>
      <c r="L82" s="788"/>
      <c r="M82" s="790"/>
      <c r="N82" s="787"/>
      <c r="O82" s="788"/>
      <c r="P82" s="813"/>
      <c r="Q82" s="787"/>
      <c r="R82" s="788"/>
      <c r="S82" s="146"/>
      <c r="T82" s="250"/>
      <c r="U82" s="251"/>
      <c r="V82" s="252"/>
      <c r="W82" s="252"/>
    </row>
    <row r="83" spans="1:27" ht="40.5" customHeight="1" x14ac:dyDescent="0.2">
      <c r="A83" s="380"/>
      <c r="B83" s="381"/>
      <c r="C83" s="382"/>
      <c r="D83" s="672" t="s">
        <v>14</v>
      </c>
      <c r="E83" s="672"/>
      <c r="F83" s="87" t="s">
        <v>83</v>
      </c>
      <c r="G83" s="1212"/>
      <c r="H83" s="370"/>
      <c r="I83" s="1439" t="s">
        <v>18</v>
      </c>
      <c r="J83" s="821">
        <v>205.4</v>
      </c>
      <c r="K83" s="621">
        <v>205.4</v>
      </c>
      <c r="L83" s="624"/>
      <c r="M83" s="620">
        <f>+J83</f>
        <v>205.4</v>
      </c>
      <c r="N83" s="621">
        <f>+K83</f>
        <v>205.4</v>
      </c>
      <c r="O83" s="624"/>
      <c r="P83" s="822">
        <f>+M83</f>
        <v>205.4</v>
      </c>
      <c r="Q83" s="621">
        <f>+N83</f>
        <v>205.4</v>
      </c>
      <c r="R83" s="624"/>
      <c r="S83" s="168" t="s">
        <v>119</v>
      </c>
      <c r="T83" s="214">
        <v>2692</v>
      </c>
      <c r="U83" s="181">
        <v>2690</v>
      </c>
      <c r="V83" s="623">
        <v>2690</v>
      </c>
      <c r="W83" s="623"/>
      <c r="AA83" s="347" t="s">
        <v>75</v>
      </c>
    </row>
    <row r="84" spans="1:27" s="350" customFormat="1" ht="18" customHeight="1" x14ac:dyDescent="0.2">
      <c r="A84" s="380"/>
      <c r="B84" s="381"/>
      <c r="C84" s="382"/>
      <c r="D84" s="646" t="s">
        <v>17</v>
      </c>
      <c r="E84" s="646"/>
      <c r="F84" s="1459" t="s">
        <v>54</v>
      </c>
      <c r="G84" s="1212"/>
      <c r="H84" s="370"/>
      <c r="I84" s="388" t="s">
        <v>15</v>
      </c>
      <c r="J84" s="1272">
        <f>125.9+30</f>
        <v>155.9</v>
      </c>
      <c r="K84" s="116">
        <f>125.9+30</f>
        <v>155.9</v>
      </c>
      <c r="L84" s="72"/>
      <c r="M84" s="77">
        <f>90-20</f>
        <v>70</v>
      </c>
      <c r="N84" s="116">
        <f>90-20</f>
        <v>70</v>
      </c>
      <c r="O84" s="72"/>
      <c r="P84" s="140">
        <f>100-30</f>
        <v>70</v>
      </c>
      <c r="Q84" s="116">
        <f>100-30</f>
        <v>70</v>
      </c>
      <c r="R84" s="72"/>
      <c r="S84" s="1487" t="s">
        <v>163</v>
      </c>
      <c r="T84" s="1471">
        <v>4800</v>
      </c>
      <c r="U84" s="1500">
        <v>4801</v>
      </c>
      <c r="V84" s="1504">
        <v>4802</v>
      </c>
      <c r="W84" s="1504"/>
      <c r="X84" s="321"/>
      <c r="Y84" s="321"/>
      <c r="Z84" s="321"/>
    </row>
    <row r="85" spans="1:27" ht="67.5" customHeight="1" x14ac:dyDescent="0.2">
      <c r="A85" s="366"/>
      <c r="B85" s="381"/>
      <c r="C85" s="456"/>
      <c r="D85" s="672" t="s">
        <v>19</v>
      </c>
      <c r="E85" s="672"/>
      <c r="F85" s="29" t="s">
        <v>87</v>
      </c>
      <c r="G85" s="1431"/>
      <c r="H85" s="1432"/>
      <c r="I85" s="265"/>
      <c r="J85" s="519"/>
      <c r="K85" s="520"/>
      <c r="L85" s="521"/>
      <c r="M85" s="804"/>
      <c r="N85" s="520"/>
      <c r="O85" s="521"/>
      <c r="P85" s="840"/>
      <c r="Q85" s="520"/>
      <c r="R85" s="521"/>
      <c r="S85" s="168" t="s">
        <v>164</v>
      </c>
      <c r="T85" s="207">
        <v>25</v>
      </c>
      <c r="U85" s="164"/>
      <c r="V85" s="165"/>
      <c r="W85" s="165"/>
      <c r="X85" s="219"/>
    </row>
    <row r="86" spans="1:27" ht="77.25" customHeight="1" x14ac:dyDescent="0.2">
      <c r="A86" s="366"/>
      <c r="B86" s="381"/>
      <c r="C86" s="382"/>
      <c r="D86" s="646" t="s">
        <v>21</v>
      </c>
      <c r="E86" s="646"/>
      <c r="F86" s="1456" t="s">
        <v>73</v>
      </c>
      <c r="G86" s="1212"/>
      <c r="H86" s="386"/>
      <c r="I86" s="14" t="s">
        <v>101</v>
      </c>
      <c r="J86" s="519">
        <v>889.1</v>
      </c>
      <c r="K86" s="520">
        <v>889.1</v>
      </c>
      <c r="L86" s="72"/>
      <c r="M86" s="77">
        <v>653.20000000000005</v>
      </c>
      <c r="N86" s="116">
        <v>653.20000000000005</v>
      </c>
      <c r="O86" s="72"/>
      <c r="P86" s="140">
        <v>653.20000000000005</v>
      </c>
      <c r="Q86" s="116">
        <v>653.20000000000005</v>
      </c>
      <c r="R86" s="72"/>
      <c r="S86" s="1487" t="s">
        <v>164</v>
      </c>
      <c r="T86" s="1471">
        <v>100</v>
      </c>
      <c r="U86" s="41">
        <v>100</v>
      </c>
      <c r="V86" s="23">
        <v>100</v>
      </c>
      <c r="W86" s="1956"/>
      <c r="X86" s="219"/>
    </row>
    <row r="87" spans="1:27" ht="54" customHeight="1" x14ac:dyDescent="0.2">
      <c r="A87" s="366"/>
      <c r="B87" s="381"/>
      <c r="C87" s="382"/>
      <c r="D87" s="646"/>
      <c r="E87" s="646"/>
      <c r="F87" s="1456"/>
      <c r="G87" s="1212"/>
      <c r="H87" s="386"/>
      <c r="I87" s="78" t="s">
        <v>712</v>
      </c>
      <c r="J87" s="821">
        <v>0.2</v>
      </c>
      <c r="K87" s="621">
        <v>0.2</v>
      </c>
      <c r="L87" s="622"/>
      <c r="M87" s="620"/>
      <c r="N87" s="621"/>
      <c r="O87" s="624"/>
      <c r="P87" s="822"/>
      <c r="Q87" s="621"/>
      <c r="R87" s="624"/>
      <c r="S87" s="1218" t="s">
        <v>721</v>
      </c>
      <c r="T87" s="93">
        <v>5600</v>
      </c>
      <c r="U87" s="65">
        <v>5600</v>
      </c>
      <c r="V87" s="30">
        <v>5600</v>
      </c>
      <c r="W87" s="1956"/>
      <c r="X87" s="219"/>
    </row>
    <row r="88" spans="1:27" ht="47.25" customHeight="1" thickBot="1" x14ac:dyDescent="0.25">
      <c r="A88" s="414"/>
      <c r="B88" s="415"/>
      <c r="C88" s="416"/>
      <c r="D88" s="649"/>
      <c r="E88" s="649"/>
      <c r="F88" s="1455"/>
      <c r="G88" s="1210"/>
      <c r="H88" s="417"/>
      <c r="I88" s="16" t="s">
        <v>16</v>
      </c>
      <c r="J88" s="186">
        <f>SUM(J83:J87)</f>
        <v>1250.6000000000001</v>
      </c>
      <c r="K88" s="111">
        <f>SUM(K83:K87)</f>
        <v>1250.6000000000001</v>
      </c>
      <c r="L88" s="187">
        <f>SUM(L83:L87)</f>
        <v>0</v>
      </c>
      <c r="M88" s="66">
        <f t="shared" ref="M88:R88" si="4">SUM(M83:M86)</f>
        <v>928.6</v>
      </c>
      <c r="N88" s="111">
        <f t="shared" si="4"/>
        <v>928.6</v>
      </c>
      <c r="O88" s="437">
        <f t="shared" si="4"/>
        <v>0</v>
      </c>
      <c r="P88" s="269">
        <f t="shared" si="4"/>
        <v>928.6</v>
      </c>
      <c r="Q88" s="111">
        <f t="shared" si="4"/>
        <v>928.6</v>
      </c>
      <c r="R88" s="437">
        <f t="shared" si="4"/>
        <v>0</v>
      </c>
      <c r="S88" s="74"/>
      <c r="T88" s="216"/>
      <c r="U88" s="177"/>
      <c r="V88" s="75"/>
      <c r="W88" s="1775"/>
    </row>
    <row r="89" spans="1:27" ht="29.25" customHeight="1" x14ac:dyDescent="0.2">
      <c r="A89" s="407" t="s">
        <v>14</v>
      </c>
      <c r="B89" s="408" t="s">
        <v>14</v>
      </c>
      <c r="C89" s="409" t="s">
        <v>19</v>
      </c>
      <c r="D89" s="645"/>
      <c r="E89" s="645"/>
      <c r="F89" s="1454" t="s">
        <v>65</v>
      </c>
      <c r="G89" s="1212"/>
      <c r="H89" s="383">
        <v>1</v>
      </c>
      <c r="I89" s="250" t="s">
        <v>15</v>
      </c>
      <c r="J89" s="1272">
        <v>3.9</v>
      </c>
      <c r="K89" s="116">
        <v>3.9</v>
      </c>
      <c r="L89" s="72"/>
      <c r="M89" s="77">
        <v>3.9</v>
      </c>
      <c r="N89" s="116">
        <v>3.9</v>
      </c>
      <c r="O89" s="72"/>
      <c r="P89" s="140">
        <v>3.9</v>
      </c>
      <c r="Q89" s="116">
        <v>3.9</v>
      </c>
      <c r="R89" s="1102"/>
      <c r="S89" s="146" t="s">
        <v>138</v>
      </c>
      <c r="T89" s="250">
        <v>10</v>
      </c>
      <c r="U89" s="251">
        <v>10</v>
      </c>
      <c r="V89" s="252">
        <v>10</v>
      </c>
      <c r="W89" s="252"/>
    </row>
    <row r="90" spans="1:27" ht="18" customHeight="1" thickBot="1" x14ac:dyDescent="0.25">
      <c r="A90" s="418"/>
      <c r="B90" s="401"/>
      <c r="C90" s="416"/>
      <c r="D90" s="649"/>
      <c r="E90" s="649"/>
      <c r="F90" s="202"/>
      <c r="G90" s="1210"/>
      <c r="H90" s="419"/>
      <c r="I90" s="16" t="s">
        <v>16</v>
      </c>
      <c r="J90" s="186">
        <f t="shared" ref="J90:K90" si="5">J89</f>
        <v>3.9</v>
      </c>
      <c r="K90" s="111">
        <f t="shared" si="5"/>
        <v>3.9</v>
      </c>
      <c r="L90" s="437"/>
      <c r="M90" s="66">
        <f t="shared" ref="M90:P90" si="6">M89</f>
        <v>3.9</v>
      </c>
      <c r="N90" s="111">
        <f t="shared" ref="N90:O90" si="7">N89</f>
        <v>3.9</v>
      </c>
      <c r="O90" s="437">
        <f t="shared" si="7"/>
        <v>0</v>
      </c>
      <c r="P90" s="269">
        <f t="shared" si="6"/>
        <v>3.9</v>
      </c>
      <c r="Q90" s="111">
        <f t="shared" ref="Q90:R90" si="8">Q89</f>
        <v>3.9</v>
      </c>
      <c r="R90" s="1341">
        <f t="shared" si="8"/>
        <v>0</v>
      </c>
      <c r="S90" s="48" t="s">
        <v>120</v>
      </c>
      <c r="T90" s="93">
        <v>860</v>
      </c>
      <c r="U90" s="65">
        <v>860</v>
      </c>
      <c r="V90" s="30">
        <v>860</v>
      </c>
      <c r="W90" s="30"/>
    </row>
    <row r="91" spans="1:27" ht="18" customHeight="1" x14ac:dyDescent="0.2">
      <c r="A91" s="352" t="s">
        <v>14</v>
      </c>
      <c r="B91" s="408" t="s">
        <v>14</v>
      </c>
      <c r="C91" s="409" t="s">
        <v>21</v>
      </c>
      <c r="D91" s="645"/>
      <c r="E91" s="645"/>
      <c r="F91" s="1790" t="s">
        <v>148</v>
      </c>
      <c r="G91" s="1209"/>
      <c r="H91" s="420">
        <v>2</v>
      </c>
      <c r="I91" s="13" t="s">
        <v>15</v>
      </c>
      <c r="J91" s="1272">
        <v>17.8</v>
      </c>
      <c r="K91" s="116">
        <v>17.8</v>
      </c>
      <c r="L91" s="72"/>
      <c r="M91" s="77">
        <v>17.8</v>
      </c>
      <c r="N91" s="116">
        <v>17.8</v>
      </c>
      <c r="O91" s="72"/>
      <c r="P91" s="140">
        <v>17.8</v>
      </c>
      <c r="Q91" s="116">
        <v>17.8</v>
      </c>
      <c r="R91" s="1102"/>
      <c r="S91" s="1785" t="s">
        <v>165</v>
      </c>
      <c r="T91" s="250">
        <v>39</v>
      </c>
      <c r="U91" s="251">
        <v>39</v>
      </c>
      <c r="V91" s="252">
        <v>39</v>
      </c>
      <c r="W91" s="252"/>
    </row>
    <row r="92" spans="1:27" ht="16.5" customHeight="1" thickBot="1" x14ac:dyDescent="0.25">
      <c r="A92" s="414"/>
      <c r="B92" s="415"/>
      <c r="C92" s="416"/>
      <c r="D92" s="649"/>
      <c r="E92" s="649"/>
      <c r="F92" s="1786"/>
      <c r="G92" s="1210"/>
      <c r="H92" s="417"/>
      <c r="I92" s="16" t="s">
        <v>16</v>
      </c>
      <c r="J92" s="186">
        <f t="shared" ref="J92" si="9">SUM(J91)</f>
        <v>17.8</v>
      </c>
      <c r="K92" s="111">
        <f t="shared" ref="K92" si="10">SUM(K91)</f>
        <v>17.8</v>
      </c>
      <c r="L92" s="437"/>
      <c r="M92" s="66">
        <f t="shared" ref="M92:P92" si="11">SUM(M91)</f>
        <v>17.8</v>
      </c>
      <c r="N92" s="111">
        <f t="shared" ref="N92:O92" si="12">SUM(N91)</f>
        <v>17.8</v>
      </c>
      <c r="O92" s="437">
        <f t="shared" si="12"/>
        <v>0</v>
      </c>
      <c r="P92" s="269">
        <f t="shared" si="11"/>
        <v>17.8</v>
      </c>
      <c r="Q92" s="111">
        <f t="shared" ref="Q92:R92" si="13">SUM(Q91)</f>
        <v>17.8</v>
      </c>
      <c r="R92" s="1341">
        <f t="shared" si="13"/>
        <v>0</v>
      </c>
      <c r="S92" s="1775"/>
      <c r="T92" s="216"/>
      <c r="U92" s="177"/>
      <c r="V92" s="75"/>
      <c r="W92" s="75"/>
    </row>
    <row r="93" spans="1:27" ht="41.25" customHeight="1" x14ac:dyDescent="0.2">
      <c r="A93" s="421" t="s">
        <v>14</v>
      </c>
      <c r="B93" s="408" t="s">
        <v>14</v>
      </c>
      <c r="C93" s="409" t="s">
        <v>22</v>
      </c>
      <c r="D93" s="645"/>
      <c r="E93" s="645"/>
      <c r="F93" s="1790" t="s">
        <v>139</v>
      </c>
      <c r="G93" s="1209" t="s">
        <v>47</v>
      </c>
      <c r="H93" s="420">
        <v>2</v>
      </c>
      <c r="I93" s="13" t="s">
        <v>15</v>
      </c>
      <c r="J93" s="833">
        <v>60.5</v>
      </c>
      <c r="K93" s="1101">
        <v>60.5</v>
      </c>
      <c r="L93" s="1344"/>
      <c r="M93" s="1324">
        <v>57.7</v>
      </c>
      <c r="N93" s="1101">
        <v>57.7</v>
      </c>
      <c r="O93" s="1344"/>
      <c r="P93" s="834">
        <v>53.5</v>
      </c>
      <c r="Q93" s="1101">
        <v>53.5</v>
      </c>
      <c r="R93" s="1344"/>
      <c r="S93" s="109" t="s">
        <v>90</v>
      </c>
      <c r="T93" s="426">
        <v>7800</v>
      </c>
      <c r="U93" s="425">
        <v>7800</v>
      </c>
      <c r="V93" s="392">
        <v>7800</v>
      </c>
      <c r="W93" s="392"/>
    </row>
    <row r="94" spans="1:27" ht="15.75" customHeight="1" x14ac:dyDescent="0.2">
      <c r="A94" s="363"/>
      <c r="B94" s="381"/>
      <c r="C94" s="382"/>
      <c r="D94" s="646"/>
      <c r="E94" s="646"/>
      <c r="F94" s="1791"/>
      <c r="G94" s="1212"/>
      <c r="H94" s="386"/>
      <c r="I94" s="265"/>
      <c r="J94" s="816"/>
      <c r="K94" s="429"/>
      <c r="L94" s="430"/>
      <c r="M94" s="428"/>
      <c r="N94" s="429"/>
      <c r="O94" s="430"/>
      <c r="P94" s="817"/>
      <c r="Q94" s="429"/>
      <c r="R94" s="430"/>
      <c r="S94" s="1766" t="s">
        <v>688</v>
      </c>
      <c r="T94" s="93">
        <v>3</v>
      </c>
      <c r="U94" s="65">
        <v>2</v>
      </c>
      <c r="V94" s="431">
        <v>2</v>
      </c>
      <c r="W94" s="431"/>
    </row>
    <row r="95" spans="1:27" ht="13.5" thickBot="1" x14ac:dyDescent="0.25">
      <c r="A95" s="436"/>
      <c r="B95" s="415"/>
      <c r="C95" s="416"/>
      <c r="D95" s="649"/>
      <c r="E95" s="649"/>
      <c r="F95" s="1786"/>
      <c r="G95" s="1210"/>
      <c r="H95" s="417"/>
      <c r="I95" s="16" t="s">
        <v>16</v>
      </c>
      <c r="J95" s="186">
        <f>SUM(J93:J94)</f>
        <v>60.5</v>
      </c>
      <c r="K95" s="111">
        <f>SUM(K93:K94)</f>
        <v>60.5</v>
      </c>
      <c r="L95" s="437"/>
      <c r="M95" s="66">
        <f t="shared" ref="M95:R95" si="14">SUM(M93:M94)</f>
        <v>57.7</v>
      </c>
      <c r="N95" s="111">
        <f t="shared" si="14"/>
        <v>57.7</v>
      </c>
      <c r="O95" s="437">
        <f t="shared" si="14"/>
        <v>0</v>
      </c>
      <c r="P95" s="269">
        <f t="shared" si="14"/>
        <v>53.5</v>
      </c>
      <c r="Q95" s="111">
        <f t="shared" si="14"/>
        <v>53.5</v>
      </c>
      <c r="R95" s="437">
        <f t="shared" si="14"/>
        <v>0</v>
      </c>
      <c r="S95" s="1875"/>
      <c r="T95" s="216"/>
      <c r="U95" s="177"/>
      <c r="V95" s="1502"/>
      <c r="W95" s="1502"/>
    </row>
    <row r="96" spans="1:27" ht="39" customHeight="1" x14ac:dyDescent="0.2">
      <c r="A96" s="421" t="s">
        <v>14</v>
      </c>
      <c r="B96" s="408" t="s">
        <v>14</v>
      </c>
      <c r="C96" s="409" t="s">
        <v>96</v>
      </c>
      <c r="D96" s="645"/>
      <c r="E96" s="645"/>
      <c r="F96" s="1790" t="s">
        <v>166</v>
      </c>
      <c r="G96" s="1209"/>
      <c r="H96" s="438">
        <v>1</v>
      </c>
      <c r="I96" s="14" t="s">
        <v>15</v>
      </c>
      <c r="J96" s="1272">
        <v>1.5</v>
      </c>
      <c r="K96" s="116">
        <v>1.5</v>
      </c>
      <c r="L96" s="72"/>
      <c r="M96" s="77">
        <v>1.5</v>
      </c>
      <c r="N96" s="116">
        <v>1.5</v>
      </c>
      <c r="O96" s="72"/>
      <c r="P96" s="140">
        <v>1.5</v>
      </c>
      <c r="Q96" s="116">
        <v>1.5</v>
      </c>
      <c r="R96" s="72"/>
      <c r="S96" s="1785" t="s">
        <v>168</v>
      </c>
      <c r="T96" s="250">
        <v>1</v>
      </c>
      <c r="U96" s="251">
        <v>1</v>
      </c>
      <c r="V96" s="252">
        <v>1</v>
      </c>
      <c r="W96" s="252"/>
    </row>
    <row r="97" spans="1:27" ht="15.75" customHeight="1" thickBot="1" x14ac:dyDescent="0.25">
      <c r="A97" s="436"/>
      <c r="B97" s="415"/>
      <c r="C97" s="416"/>
      <c r="D97" s="649"/>
      <c r="E97" s="649"/>
      <c r="F97" s="1786"/>
      <c r="G97" s="1210"/>
      <c r="H97" s="419"/>
      <c r="I97" s="16" t="s">
        <v>16</v>
      </c>
      <c r="J97" s="186">
        <f>+J96</f>
        <v>1.5</v>
      </c>
      <c r="K97" s="111">
        <f>+K96</f>
        <v>1.5</v>
      </c>
      <c r="L97" s="437"/>
      <c r="M97" s="66">
        <f t="shared" ref="M97:R97" si="15">+M96</f>
        <v>1.5</v>
      </c>
      <c r="N97" s="111">
        <f t="shared" si="15"/>
        <v>1.5</v>
      </c>
      <c r="O97" s="437">
        <f t="shared" si="15"/>
        <v>0</v>
      </c>
      <c r="P97" s="269">
        <f t="shared" si="15"/>
        <v>1.5</v>
      </c>
      <c r="Q97" s="111">
        <f t="shared" si="15"/>
        <v>1.5</v>
      </c>
      <c r="R97" s="1341">
        <f t="shared" si="15"/>
        <v>0</v>
      </c>
      <c r="S97" s="1775"/>
      <c r="T97" s="216"/>
      <c r="U97" s="177"/>
      <c r="V97" s="75"/>
      <c r="W97" s="75"/>
      <c r="AA97" s="140"/>
    </row>
    <row r="98" spans="1:27" ht="18.75" customHeight="1" x14ac:dyDescent="0.2">
      <c r="A98" s="421" t="s">
        <v>14</v>
      </c>
      <c r="B98" s="408" t="s">
        <v>14</v>
      </c>
      <c r="C98" s="409" t="s">
        <v>97</v>
      </c>
      <c r="D98" s="645"/>
      <c r="E98" s="645"/>
      <c r="F98" s="1790" t="s">
        <v>157</v>
      </c>
      <c r="G98" s="1209"/>
      <c r="H98" s="420">
        <v>2</v>
      </c>
      <c r="I98" s="13" t="s">
        <v>15</v>
      </c>
      <c r="J98" s="289">
        <v>6.4</v>
      </c>
      <c r="K98" s="1532">
        <v>5.7</v>
      </c>
      <c r="L98" s="1549">
        <f>+K98-J98</f>
        <v>-0.70000000000000018</v>
      </c>
      <c r="M98" s="76">
        <v>6.4</v>
      </c>
      <c r="N98" s="175">
        <v>6.4</v>
      </c>
      <c r="O98" s="246"/>
      <c r="P98" s="1372">
        <v>4.3</v>
      </c>
      <c r="Q98" s="175">
        <v>4.3</v>
      </c>
      <c r="R98" s="246"/>
      <c r="S98" s="1196" t="s">
        <v>118</v>
      </c>
      <c r="T98" s="250">
        <v>89</v>
      </c>
      <c r="U98" s="251">
        <v>89</v>
      </c>
      <c r="V98" s="252">
        <v>89</v>
      </c>
      <c r="W98" s="252"/>
    </row>
    <row r="99" spans="1:27" ht="16.5" customHeight="1" thickBot="1" x14ac:dyDescent="0.25">
      <c r="A99" s="436"/>
      <c r="B99" s="415"/>
      <c r="C99" s="416"/>
      <c r="D99" s="649"/>
      <c r="E99" s="649"/>
      <c r="F99" s="1786"/>
      <c r="G99" s="1210"/>
      <c r="H99" s="417"/>
      <c r="I99" s="16" t="s">
        <v>16</v>
      </c>
      <c r="J99" s="66">
        <f>SUM(J98)</f>
        <v>6.4</v>
      </c>
      <c r="K99" s="111">
        <f>SUM(K98)</f>
        <v>5.7</v>
      </c>
      <c r="L99" s="187">
        <f>SUM(L98)</f>
        <v>-0.70000000000000018</v>
      </c>
      <c r="M99" s="66">
        <f t="shared" ref="M99:R99" si="16">SUM(M98)</f>
        <v>6.4</v>
      </c>
      <c r="N99" s="111">
        <f t="shared" si="16"/>
        <v>6.4</v>
      </c>
      <c r="O99" s="437">
        <f t="shared" si="16"/>
        <v>0</v>
      </c>
      <c r="P99" s="269">
        <f t="shared" si="16"/>
        <v>4.3</v>
      </c>
      <c r="Q99" s="111">
        <f t="shared" si="16"/>
        <v>4.3</v>
      </c>
      <c r="R99" s="437">
        <f t="shared" si="16"/>
        <v>0</v>
      </c>
      <c r="S99" s="1453"/>
      <c r="T99" s="216"/>
      <c r="U99" s="177"/>
      <c r="V99" s="75"/>
      <c r="W99" s="75"/>
    </row>
    <row r="100" spans="1:27" ht="28.5" customHeight="1" x14ac:dyDescent="0.2">
      <c r="A100" s="421" t="s">
        <v>14</v>
      </c>
      <c r="B100" s="408" t="s">
        <v>14</v>
      </c>
      <c r="C100" s="409" t="s">
        <v>267</v>
      </c>
      <c r="D100" s="645"/>
      <c r="E100" s="645"/>
      <c r="F100" s="1780" t="s">
        <v>617</v>
      </c>
      <c r="G100" s="337"/>
      <c r="H100" s="438">
        <v>1</v>
      </c>
      <c r="I100" s="213" t="s">
        <v>15</v>
      </c>
      <c r="J100" s="781"/>
      <c r="K100" s="320"/>
      <c r="L100" s="773"/>
      <c r="M100" s="1063">
        <v>50</v>
      </c>
      <c r="N100" s="701">
        <v>50</v>
      </c>
      <c r="O100" s="890"/>
      <c r="P100" s="702">
        <v>6</v>
      </c>
      <c r="Q100" s="701">
        <v>6</v>
      </c>
      <c r="R100" s="702"/>
      <c r="S100" s="109" t="s">
        <v>167</v>
      </c>
      <c r="T100" s="439"/>
      <c r="U100" s="440">
        <v>1</v>
      </c>
      <c r="V100" s="375"/>
      <c r="W100" s="375"/>
    </row>
    <row r="101" spans="1:27" ht="28.5" customHeight="1" thickBot="1" x14ac:dyDescent="0.25">
      <c r="A101" s="436"/>
      <c r="B101" s="415"/>
      <c r="C101" s="416"/>
      <c r="D101" s="649"/>
      <c r="E101" s="649"/>
      <c r="F101" s="1773"/>
      <c r="G101" s="338"/>
      <c r="H101" s="419"/>
      <c r="I101" s="16" t="s">
        <v>16</v>
      </c>
      <c r="J101" s="66"/>
      <c r="K101" s="111"/>
      <c r="L101" s="258"/>
      <c r="M101" s="205">
        <f t="shared" ref="M101:R101" si="17">+M100</f>
        <v>50</v>
      </c>
      <c r="N101" s="285">
        <f t="shared" si="17"/>
        <v>50</v>
      </c>
      <c r="O101" s="258">
        <f t="shared" si="17"/>
        <v>0</v>
      </c>
      <c r="P101" s="1373">
        <f t="shared" si="17"/>
        <v>6</v>
      </c>
      <c r="Q101" s="285">
        <f t="shared" si="17"/>
        <v>6</v>
      </c>
      <c r="R101" s="258">
        <f t="shared" si="17"/>
        <v>0</v>
      </c>
      <c r="S101" s="74" t="s">
        <v>168</v>
      </c>
      <c r="T101" s="215"/>
      <c r="U101" s="293"/>
      <c r="V101" s="68">
        <v>1</v>
      </c>
      <c r="W101" s="68"/>
    </row>
    <row r="102" spans="1:27" ht="13.5" customHeight="1" thickBot="1" x14ac:dyDescent="0.25">
      <c r="A102" s="441" t="s">
        <v>14</v>
      </c>
      <c r="B102" s="442" t="s">
        <v>14</v>
      </c>
      <c r="C102" s="1751" t="s">
        <v>20</v>
      </c>
      <c r="D102" s="1752"/>
      <c r="E102" s="1752"/>
      <c r="F102" s="1752"/>
      <c r="G102" s="1752"/>
      <c r="H102" s="1752"/>
      <c r="I102" s="1752"/>
      <c r="J102" s="806">
        <f t="shared" ref="J102:R102" si="18">J95+J92+J90+J88+J81+J97+J99+J101</f>
        <v>79866.299999999988</v>
      </c>
      <c r="K102" s="807">
        <f>K95+K92+K90+K88+K81+K97+K99+K101</f>
        <v>80535.499999999985</v>
      </c>
      <c r="L102" s="862">
        <f>L95+L92+L90+L88+L81+L97+L99+L101</f>
        <v>669.19999999999709</v>
      </c>
      <c r="M102" s="806">
        <f t="shared" si="18"/>
        <v>79600.699999999983</v>
      </c>
      <c r="N102" s="807">
        <f t="shared" si="18"/>
        <v>79600.699999999983</v>
      </c>
      <c r="O102" s="843">
        <f t="shared" si="18"/>
        <v>0</v>
      </c>
      <c r="P102" s="808">
        <f t="shared" si="18"/>
        <v>79184.399999999994</v>
      </c>
      <c r="Q102" s="807">
        <f t="shared" si="18"/>
        <v>79184.399999999994</v>
      </c>
      <c r="R102" s="808">
        <f t="shared" si="18"/>
        <v>0</v>
      </c>
      <c r="S102" s="443"/>
      <c r="T102" s="444"/>
      <c r="U102" s="444"/>
      <c r="V102" s="444"/>
      <c r="W102" s="445"/>
    </row>
    <row r="103" spans="1:27" ht="15.75" customHeight="1" thickBot="1" x14ac:dyDescent="0.25">
      <c r="A103" s="441" t="s">
        <v>14</v>
      </c>
      <c r="B103" s="1891" t="s">
        <v>6</v>
      </c>
      <c r="C103" s="1892"/>
      <c r="D103" s="1892"/>
      <c r="E103" s="1892"/>
      <c r="F103" s="1892"/>
      <c r="G103" s="1892"/>
      <c r="H103" s="1892"/>
      <c r="I103" s="1892"/>
      <c r="J103" s="810">
        <f t="shared" ref="J103:P103" si="19">J102</f>
        <v>79866.299999999988</v>
      </c>
      <c r="K103" s="811">
        <f>K102</f>
        <v>80535.499999999985</v>
      </c>
      <c r="L103" s="1550">
        <f t="shared" ref="L103" si="20">L102</f>
        <v>669.19999999999709</v>
      </c>
      <c r="M103" s="810">
        <f t="shared" si="19"/>
        <v>79600.699999999983</v>
      </c>
      <c r="N103" s="811">
        <f t="shared" ref="N103:O103" si="21">N102</f>
        <v>79600.699999999983</v>
      </c>
      <c r="O103" s="1389">
        <f t="shared" si="21"/>
        <v>0</v>
      </c>
      <c r="P103" s="1388">
        <f t="shared" si="19"/>
        <v>79184.399999999994</v>
      </c>
      <c r="Q103" s="811">
        <f t="shared" ref="Q103:R103" si="22">Q102</f>
        <v>79184.399999999994</v>
      </c>
      <c r="R103" s="1352">
        <f t="shared" si="22"/>
        <v>0</v>
      </c>
      <c r="S103" s="446"/>
      <c r="T103" s="340"/>
      <c r="U103" s="340"/>
      <c r="V103" s="340"/>
      <c r="W103" s="341"/>
    </row>
    <row r="104" spans="1:27" ht="15.75" customHeight="1" thickBot="1" x14ac:dyDescent="0.25">
      <c r="A104" s="447" t="s">
        <v>17</v>
      </c>
      <c r="B104" s="1894" t="s">
        <v>37</v>
      </c>
      <c r="C104" s="1895"/>
      <c r="D104" s="1895"/>
      <c r="E104" s="1895"/>
      <c r="F104" s="1895"/>
      <c r="G104" s="1895"/>
      <c r="H104" s="1895"/>
      <c r="I104" s="1895"/>
      <c r="J104" s="1895"/>
      <c r="K104" s="1895"/>
      <c r="L104" s="1895"/>
      <c r="M104" s="1895"/>
      <c r="N104" s="1895"/>
      <c r="O104" s="1895"/>
      <c r="P104" s="1895"/>
      <c r="Q104" s="1895"/>
      <c r="R104" s="1895"/>
      <c r="S104" s="1895"/>
      <c r="T104" s="1895"/>
      <c r="U104" s="1895"/>
      <c r="V104" s="1895"/>
      <c r="W104" s="1896"/>
    </row>
    <row r="105" spans="1:27" ht="15.75" customHeight="1" thickBot="1" x14ac:dyDescent="0.25">
      <c r="A105" s="448" t="s">
        <v>17</v>
      </c>
      <c r="B105" s="449" t="s">
        <v>14</v>
      </c>
      <c r="C105" s="1897" t="s">
        <v>33</v>
      </c>
      <c r="D105" s="1761"/>
      <c r="E105" s="1761"/>
      <c r="F105" s="1761"/>
      <c r="G105" s="1761"/>
      <c r="H105" s="1761"/>
      <c r="I105" s="1761"/>
      <c r="J105" s="1761"/>
      <c r="K105" s="1761"/>
      <c r="L105" s="1761"/>
      <c r="M105" s="1761"/>
      <c r="N105" s="1761"/>
      <c r="O105" s="1761"/>
      <c r="P105" s="1761"/>
      <c r="Q105" s="1761"/>
      <c r="R105" s="1761"/>
      <c r="S105" s="1761"/>
      <c r="T105" s="1761"/>
      <c r="U105" s="1761"/>
      <c r="V105" s="1761"/>
      <c r="W105" s="1762"/>
    </row>
    <row r="106" spans="1:27" s="17" customFormat="1" ht="24" customHeight="1" x14ac:dyDescent="0.2">
      <c r="A106" s="1876" t="s">
        <v>17</v>
      </c>
      <c r="B106" s="1879" t="s">
        <v>14</v>
      </c>
      <c r="C106" s="1882" t="s">
        <v>14</v>
      </c>
      <c r="D106" s="650"/>
      <c r="E106" s="650"/>
      <c r="F106" s="1780" t="s">
        <v>241</v>
      </c>
      <c r="G106" s="1885"/>
      <c r="H106" s="952">
        <v>5</v>
      </c>
      <c r="I106" s="1064" t="s">
        <v>15</v>
      </c>
      <c r="J106" s="756">
        <v>218.6</v>
      </c>
      <c r="K106" s="757">
        <v>218.6</v>
      </c>
      <c r="L106" s="758"/>
      <c r="M106" s="756"/>
      <c r="N106" s="757"/>
      <c r="O106" s="758"/>
      <c r="P106" s="859"/>
      <c r="Q106" s="757"/>
      <c r="R106" s="758"/>
      <c r="S106" s="1887" t="s">
        <v>242</v>
      </c>
      <c r="T106" s="318">
        <v>6</v>
      </c>
      <c r="U106" s="1458">
        <v>6</v>
      </c>
      <c r="V106" s="316">
        <v>6</v>
      </c>
      <c r="W106" s="316"/>
    </row>
    <row r="107" spans="1:27" s="17" customFormat="1" ht="16.5" customHeight="1" x14ac:dyDescent="0.2">
      <c r="A107" s="1877"/>
      <c r="B107" s="1880"/>
      <c r="C107" s="1883"/>
      <c r="D107" s="949"/>
      <c r="E107" s="949"/>
      <c r="F107" s="1858"/>
      <c r="G107" s="1864"/>
      <c r="H107" s="952">
        <v>2</v>
      </c>
      <c r="I107" s="1065" t="s">
        <v>15</v>
      </c>
      <c r="J107" s="196"/>
      <c r="K107" s="162"/>
      <c r="L107" s="760"/>
      <c r="M107" s="196">
        <v>65.2</v>
      </c>
      <c r="N107" s="162">
        <v>65.2</v>
      </c>
      <c r="O107" s="760"/>
      <c r="P107" s="1186">
        <v>86.1</v>
      </c>
      <c r="Q107" s="162">
        <v>86.1</v>
      </c>
      <c r="R107" s="760"/>
      <c r="S107" s="1888"/>
      <c r="T107" s="279"/>
      <c r="U107" s="57"/>
      <c r="V107" s="948"/>
      <c r="W107" s="948"/>
    </row>
    <row r="108" spans="1:27" s="17" customFormat="1" ht="15.75" customHeight="1" thickBot="1" x14ac:dyDescent="0.25">
      <c r="A108" s="1878"/>
      <c r="B108" s="1881"/>
      <c r="C108" s="1884"/>
      <c r="D108" s="651"/>
      <c r="E108" s="651"/>
      <c r="F108" s="1773"/>
      <c r="G108" s="1886"/>
      <c r="H108" s="951"/>
      <c r="I108" s="1066" t="s">
        <v>16</v>
      </c>
      <c r="J108" s="703">
        <f>SUM(J106:J107)</f>
        <v>218.6</v>
      </c>
      <c r="K108" s="1327">
        <f>SUM(K106:K107)</f>
        <v>218.6</v>
      </c>
      <c r="L108" s="1346"/>
      <c r="M108" s="703">
        <f t="shared" ref="M108:R108" si="23">SUM(M106:M107)</f>
        <v>65.2</v>
      </c>
      <c r="N108" s="1327">
        <f t="shared" si="23"/>
        <v>65.2</v>
      </c>
      <c r="O108" s="1346">
        <f t="shared" si="23"/>
        <v>0</v>
      </c>
      <c r="P108" s="856">
        <f t="shared" si="23"/>
        <v>86.1</v>
      </c>
      <c r="Q108" s="1327">
        <f t="shared" si="23"/>
        <v>86.1</v>
      </c>
      <c r="R108" s="856">
        <f t="shared" si="23"/>
        <v>0</v>
      </c>
      <c r="S108" s="1889"/>
      <c r="T108" s="324"/>
      <c r="U108" s="530"/>
      <c r="V108" s="413"/>
      <c r="W108" s="413"/>
    </row>
    <row r="109" spans="1:27" ht="15" customHeight="1" x14ac:dyDescent="0.2">
      <c r="A109" s="407" t="s">
        <v>17</v>
      </c>
      <c r="B109" s="408" t="s">
        <v>14</v>
      </c>
      <c r="C109" s="409" t="s">
        <v>17</v>
      </c>
      <c r="D109" s="652"/>
      <c r="E109" s="652"/>
      <c r="F109" s="1904" t="s">
        <v>169</v>
      </c>
      <c r="G109" s="451" t="s">
        <v>2</v>
      </c>
      <c r="H109" s="410">
        <v>5</v>
      </c>
      <c r="I109" s="515" t="s">
        <v>15</v>
      </c>
      <c r="J109" s="787">
        <f>97+306.8</f>
        <v>403.8</v>
      </c>
      <c r="K109" s="787">
        <f>97+306.8-306.8</f>
        <v>97</v>
      </c>
      <c r="L109" s="813">
        <f>+K109-J109</f>
        <v>-306.8</v>
      </c>
      <c r="M109" s="812">
        <f>740.6-100+500</f>
        <v>1140.5999999999999</v>
      </c>
      <c r="N109" s="787">
        <f>740.6-100+500</f>
        <v>1140.5999999999999</v>
      </c>
      <c r="O109" s="788">
        <f>+N109-M109</f>
        <v>0</v>
      </c>
      <c r="P109" s="1519">
        <f>1733.3+100+2093.2-200</f>
        <v>3726.5</v>
      </c>
      <c r="Q109" s="787">
        <f>1733.3+100+2093.2-200</f>
        <v>3726.5</v>
      </c>
      <c r="R109" s="1519">
        <f>+Q109-P109</f>
        <v>0</v>
      </c>
      <c r="S109" s="516"/>
      <c r="T109" s="411"/>
      <c r="U109" s="453"/>
      <c r="V109" s="454"/>
      <c r="W109" s="1954"/>
      <c r="X109" s="455"/>
    </row>
    <row r="110" spans="1:27" ht="15" customHeight="1" x14ac:dyDescent="0.2">
      <c r="A110" s="398"/>
      <c r="B110" s="381"/>
      <c r="C110" s="382"/>
      <c r="D110" s="653"/>
      <c r="E110" s="653"/>
      <c r="F110" s="1905"/>
      <c r="G110" s="451"/>
      <c r="H110" s="370"/>
      <c r="I110" s="698" t="s">
        <v>98</v>
      </c>
      <c r="J110" s="621">
        <v>98.3</v>
      </c>
      <c r="K110" s="1642">
        <f>98.3+306.8</f>
        <v>405.1</v>
      </c>
      <c r="L110" s="1643">
        <f>+K110-J110</f>
        <v>306.8</v>
      </c>
      <c r="M110" s="821"/>
      <c r="N110" s="621"/>
      <c r="O110" s="624"/>
      <c r="P110" s="1624"/>
      <c r="Q110" s="621"/>
      <c r="R110" s="624"/>
      <c r="S110" s="14"/>
      <c r="T110" s="388"/>
      <c r="U110" s="459"/>
      <c r="V110" s="460"/>
      <c r="W110" s="1955"/>
      <c r="X110" s="455"/>
    </row>
    <row r="111" spans="1:27" ht="15" customHeight="1" x14ac:dyDescent="0.2">
      <c r="A111" s="398"/>
      <c r="B111" s="381"/>
      <c r="C111" s="382"/>
      <c r="D111" s="653"/>
      <c r="E111" s="653"/>
      <c r="F111" s="1905"/>
      <c r="G111" s="172"/>
      <c r="H111" s="370"/>
      <c r="I111" s="1068" t="s">
        <v>101</v>
      </c>
      <c r="J111" s="116">
        <v>613.5</v>
      </c>
      <c r="K111" s="116">
        <v>613.5</v>
      </c>
      <c r="L111" s="140"/>
      <c r="M111" s="1272">
        <v>399.2</v>
      </c>
      <c r="N111" s="116">
        <v>399.2</v>
      </c>
      <c r="O111" s="72"/>
      <c r="P111" s="1102"/>
      <c r="Q111" s="116"/>
      <c r="R111" s="1102"/>
      <c r="S111" s="14"/>
      <c r="T111" s="388"/>
      <c r="U111" s="459"/>
      <c r="V111" s="460"/>
      <c r="W111" s="1955"/>
      <c r="X111" s="140"/>
      <c r="Y111" s="1472"/>
      <c r="Z111" s="219"/>
    </row>
    <row r="112" spans="1:27" ht="15" customHeight="1" x14ac:dyDescent="0.2">
      <c r="A112" s="398"/>
      <c r="B112" s="381"/>
      <c r="C112" s="382"/>
      <c r="D112" s="653"/>
      <c r="E112" s="653"/>
      <c r="F112" s="1461"/>
      <c r="G112" s="172"/>
      <c r="H112" s="370"/>
      <c r="I112" s="1068" t="s">
        <v>712</v>
      </c>
      <c r="J112" s="621">
        <v>8.1</v>
      </c>
      <c r="K112" s="621">
        <v>8.1</v>
      </c>
      <c r="L112" s="619"/>
      <c r="M112" s="821"/>
      <c r="N112" s="621"/>
      <c r="O112" s="624"/>
      <c r="P112" s="1624"/>
      <c r="Q112" s="621"/>
      <c r="R112" s="624"/>
      <c r="S112" s="14"/>
      <c r="T112" s="388"/>
      <c r="U112" s="459"/>
      <c r="V112" s="460"/>
      <c r="W112" s="1955"/>
      <c r="X112" s="140"/>
      <c r="Y112" s="1472"/>
      <c r="Z112" s="219"/>
    </row>
    <row r="113" spans="1:26" ht="15" customHeight="1" x14ac:dyDescent="0.2">
      <c r="A113" s="398"/>
      <c r="B113" s="381"/>
      <c r="C113" s="382"/>
      <c r="D113" s="653"/>
      <c r="E113" s="653"/>
      <c r="F113" s="1461"/>
      <c r="G113" s="172"/>
      <c r="H113" s="412"/>
      <c r="I113" s="1067" t="s">
        <v>18</v>
      </c>
      <c r="J113" s="621">
        <v>54.1</v>
      </c>
      <c r="K113" s="621">
        <v>54.1</v>
      </c>
      <c r="L113" s="140"/>
      <c r="M113" s="821">
        <v>35.200000000000003</v>
      </c>
      <c r="N113" s="621">
        <v>35.200000000000003</v>
      </c>
      <c r="O113" s="624"/>
      <c r="P113" s="1624"/>
      <c r="Q113" s="621"/>
      <c r="R113" s="624"/>
      <c r="S113" s="14"/>
      <c r="T113" s="388"/>
      <c r="U113" s="459"/>
      <c r="V113" s="460"/>
      <c r="W113" s="460"/>
      <c r="X113" s="140"/>
      <c r="Y113" s="1472"/>
      <c r="Z113" s="219"/>
    </row>
    <row r="114" spans="1:26" ht="15" customHeight="1" x14ac:dyDescent="0.2">
      <c r="A114" s="398"/>
      <c r="B114" s="381"/>
      <c r="C114" s="382"/>
      <c r="D114" s="653"/>
      <c r="E114" s="653"/>
      <c r="F114" s="1461"/>
      <c r="G114" s="172"/>
      <c r="H114" s="412"/>
      <c r="I114" s="698" t="s">
        <v>714</v>
      </c>
      <c r="J114" s="524">
        <v>0.7</v>
      </c>
      <c r="K114" s="524">
        <v>0.7</v>
      </c>
      <c r="L114" s="619"/>
      <c r="M114" s="523"/>
      <c r="N114" s="524"/>
      <c r="O114" s="525"/>
      <c r="P114" s="1625"/>
      <c r="Q114" s="524"/>
      <c r="R114" s="525"/>
      <c r="S114" s="14"/>
      <c r="T114" s="388"/>
      <c r="U114" s="459"/>
      <c r="V114" s="460"/>
      <c r="W114" s="460"/>
      <c r="X114" s="140"/>
      <c r="Y114" s="1472"/>
      <c r="Z114" s="219"/>
    </row>
    <row r="115" spans="1:26" ht="15" customHeight="1" thickBot="1" x14ac:dyDescent="0.25">
      <c r="A115" s="398"/>
      <c r="B115" s="381"/>
      <c r="C115" s="382"/>
      <c r="D115" s="653"/>
      <c r="E115" s="653"/>
      <c r="F115" s="1461"/>
      <c r="G115" s="172"/>
      <c r="H115" s="412"/>
      <c r="I115" s="1103" t="s">
        <v>214</v>
      </c>
      <c r="J115" s="524">
        <v>200</v>
      </c>
      <c r="K115" s="524">
        <v>200</v>
      </c>
      <c r="L115" s="432"/>
      <c r="M115" s="523">
        <v>2900</v>
      </c>
      <c r="N115" s="524">
        <v>2900</v>
      </c>
      <c r="O115" s="525"/>
      <c r="P115" s="1625">
        <v>2900</v>
      </c>
      <c r="Q115" s="524">
        <v>2900</v>
      </c>
      <c r="R115" s="525"/>
      <c r="S115" s="14"/>
      <c r="T115" s="388"/>
      <c r="U115" s="459"/>
      <c r="V115" s="460"/>
      <c r="W115" s="460"/>
      <c r="X115" s="140"/>
      <c r="Y115" s="1472"/>
      <c r="Z115" s="219"/>
    </row>
    <row r="116" spans="1:26" ht="20.25" customHeight="1" x14ac:dyDescent="0.2">
      <c r="A116" s="398"/>
      <c r="B116" s="381"/>
      <c r="C116" s="382"/>
      <c r="D116" s="670" t="s">
        <v>14</v>
      </c>
      <c r="E116" s="670"/>
      <c r="F116" s="1772" t="s">
        <v>253</v>
      </c>
      <c r="G116" s="123"/>
      <c r="H116" s="451"/>
      <c r="I116" s="1069"/>
      <c r="J116" s="1328"/>
      <c r="K116" s="1328"/>
      <c r="L116" s="1316"/>
      <c r="M116" s="1627"/>
      <c r="N116" s="1125"/>
      <c r="O116" s="1071"/>
      <c r="P116" s="1102"/>
      <c r="Q116" s="116"/>
      <c r="R116" s="72"/>
      <c r="S116" s="1898" t="s">
        <v>103</v>
      </c>
      <c r="T116" s="958">
        <v>5</v>
      </c>
      <c r="U116" s="959">
        <v>2</v>
      </c>
      <c r="V116" s="558"/>
      <c r="W116" s="558"/>
      <c r="X116" s="632"/>
      <c r="Y116" s="632"/>
      <c r="Z116" s="219"/>
    </row>
    <row r="117" spans="1:26" ht="20.25" customHeight="1" x14ac:dyDescent="0.2">
      <c r="A117" s="398"/>
      <c r="B117" s="381"/>
      <c r="C117" s="382"/>
      <c r="D117" s="653"/>
      <c r="E117" s="653"/>
      <c r="F117" s="1858"/>
      <c r="G117" s="462"/>
      <c r="H117" s="370"/>
      <c r="I117" s="1069"/>
      <c r="J117" s="1328"/>
      <c r="K117" s="1328"/>
      <c r="L117" s="1316"/>
      <c r="M117" s="1627"/>
      <c r="N117" s="1125"/>
      <c r="O117" s="1071"/>
      <c r="P117" s="1102"/>
      <c r="Q117" s="116"/>
      <c r="R117" s="72"/>
      <c r="S117" s="1899"/>
      <c r="T117" s="961"/>
      <c r="U117" s="962"/>
      <c r="V117" s="549"/>
      <c r="W117" s="549"/>
      <c r="X117" s="632"/>
      <c r="Y117" s="632"/>
      <c r="Z117" s="219"/>
    </row>
    <row r="118" spans="1:26" ht="20.25" customHeight="1" x14ac:dyDescent="0.2">
      <c r="A118" s="398"/>
      <c r="B118" s="381"/>
      <c r="C118" s="382"/>
      <c r="D118" s="653"/>
      <c r="E118" s="653"/>
      <c r="F118" s="1858"/>
      <c r="G118" s="462"/>
      <c r="H118" s="370"/>
      <c r="I118" s="1069"/>
      <c r="J118" s="1328"/>
      <c r="K118" s="1328"/>
      <c r="L118" s="1316"/>
      <c r="M118" s="1627"/>
      <c r="N118" s="1125"/>
      <c r="O118" s="1071"/>
      <c r="P118" s="1102"/>
      <c r="Q118" s="116"/>
      <c r="R118" s="72"/>
      <c r="S118" s="1900" t="s">
        <v>170</v>
      </c>
      <c r="T118" s="964">
        <v>5</v>
      </c>
      <c r="U118" s="965">
        <v>2</v>
      </c>
      <c r="V118" s="532"/>
      <c r="W118" s="532"/>
      <c r="X118" s="632"/>
      <c r="Y118" s="632"/>
      <c r="Z118" s="219"/>
    </row>
    <row r="119" spans="1:26" ht="20.25" customHeight="1" thickBot="1" x14ac:dyDescent="0.25">
      <c r="A119" s="398"/>
      <c r="B119" s="381"/>
      <c r="C119" s="382"/>
      <c r="D119" s="653"/>
      <c r="E119" s="653"/>
      <c r="F119" s="1863"/>
      <c r="G119" s="462"/>
      <c r="H119" s="370"/>
      <c r="I119" s="1069"/>
      <c r="J119" s="1328"/>
      <c r="K119" s="1328"/>
      <c r="L119" s="1316"/>
      <c r="M119" s="1627"/>
      <c r="N119" s="1125"/>
      <c r="O119" s="1071"/>
      <c r="P119" s="1102"/>
      <c r="Q119" s="116"/>
      <c r="R119" s="72"/>
      <c r="S119" s="1901"/>
      <c r="T119" s="216"/>
      <c r="U119" s="332"/>
      <c r="V119" s="483"/>
      <c r="W119" s="483"/>
      <c r="X119" s="632"/>
      <c r="Y119" s="632"/>
      <c r="Z119" s="219"/>
    </row>
    <row r="120" spans="1:26" ht="20.25" customHeight="1" x14ac:dyDescent="0.2">
      <c r="A120" s="398"/>
      <c r="B120" s="381"/>
      <c r="C120" s="382"/>
      <c r="D120" s="670" t="s">
        <v>17</v>
      </c>
      <c r="E120" s="670"/>
      <c r="F120" s="1772" t="s">
        <v>200</v>
      </c>
      <c r="G120" s="463"/>
      <c r="H120" s="383"/>
      <c r="I120" s="1069"/>
      <c r="J120" s="1328"/>
      <c r="K120" s="1328"/>
      <c r="L120" s="1316"/>
      <c r="M120" s="1627"/>
      <c r="N120" s="1125"/>
      <c r="O120" s="1071"/>
      <c r="P120" s="1070"/>
      <c r="Q120" s="1125"/>
      <c r="R120" s="1071"/>
      <c r="S120" s="1902" t="s">
        <v>171</v>
      </c>
      <c r="T120" s="967">
        <v>1</v>
      </c>
      <c r="U120" s="968"/>
      <c r="V120" s="969"/>
      <c r="W120" s="969"/>
      <c r="X120" s="1491"/>
      <c r="Y120" s="219"/>
      <c r="Z120" s="219"/>
    </row>
    <row r="121" spans="1:26" ht="20.25" customHeight="1" thickBot="1" x14ac:dyDescent="0.25">
      <c r="A121" s="398"/>
      <c r="B121" s="381"/>
      <c r="C121" s="382"/>
      <c r="D121" s="653"/>
      <c r="E121" s="653"/>
      <c r="F121" s="1858"/>
      <c r="G121" s="463"/>
      <c r="H121" s="383"/>
      <c r="I121" s="1069"/>
      <c r="J121" s="1328"/>
      <c r="K121" s="1328"/>
      <c r="L121" s="1316"/>
      <c r="M121" s="1627"/>
      <c r="N121" s="1125"/>
      <c r="O121" s="1071"/>
      <c r="P121" s="1070"/>
      <c r="Q121" s="1125"/>
      <c r="R121" s="1071"/>
      <c r="S121" s="1903"/>
      <c r="T121" s="967"/>
      <c r="U121" s="968"/>
      <c r="V121" s="969"/>
      <c r="W121" s="969"/>
      <c r="X121" s="632"/>
      <c r="Y121" s="632"/>
      <c r="Z121" s="219"/>
    </row>
    <row r="122" spans="1:26" ht="17.25" customHeight="1" x14ac:dyDescent="0.2">
      <c r="A122" s="380"/>
      <c r="B122" s="381"/>
      <c r="C122" s="382"/>
      <c r="D122" s="670" t="s">
        <v>19</v>
      </c>
      <c r="E122" s="670"/>
      <c r="F122" s="1772" t="s">
        <v>723</v>
      </c>
      <c r="G122" s="463"/>
      <c r="H122" s="383"/>
      <c r="I122" s="1639" t="s">
        <v>715</v>
      </c>
      <c r="J122" s="1640">
        <v>306.8</v>
      </c>
      <c r="K122" s="1640">
        <v>0</v>
      </c>
      <c r="L122" s="1641">
        <f>+K122-J122</f>
        <v>-306.8</v>
      </c>
      <c r="M122" s="1628"/>
      <c r="N122" s="1426"/>
      <c r="O122" s="1428"/>
      <c r="P122" s="1626"/>
      <c r="Q122" s="1426"/>
      <c r="R122" s="1428"/>
      <c r="S122" s="1371" t="s">
        <v>60</v>
      </c>
      <c r="T122" s="976">
        <v>5</v>
      </c>
      <c r="U122" s="977">
        <v>35</v>
      </c>
      <c r="V122" s="1521">
        <v>100</v>
      </c>
      <c r="W122" s="1620"/>
      <c r="X122" s="632"/>
      <c r="Y122" s="219"/>
      <c r="Z122" s="219"/>
    </row>
    <row r="123" spans="1:26" ht="17.25" customHeight="1" x14ac:dyDescent="0.2">
      <c r="A123" s="380"/>
      <c r="B123" s="381"/>
      <c r="C123" s="382"/>
      <c r="D123" s="653"/>
      <c r="E123" s="653"/>
      <c r="F123" s="1858"/>
      <c r="G123" s="463"/>
      <c r="H123" s="383"/>
      <c r="I123" s="1639" t="s">
        <v>740</v>
      </c>
      <c r="J123" s="1640">
        <v>0</v>
      </c>
      <c r="K123" s="1640">
        <v>306.8</v>
      </c>
      <c r="L123" s="1641">
        <f>+K123-J123</f>
        <v>306.8</v>
      </c>
      <c r="M123" s="1419"/>
      <c r="N123" s="1426"/>
      <c r="O123" s="1428"/>
      <c r="P123" s="1427"/>
      <c r="Q123" s="1426"/>
      <c r="R123" s="1428"/>
      <c r="S123" s="1416"/>
      <c r="T123" s="1040"/>
      <c r="U123" s="968"/>
      <c r="V123" s="1417"/>
      <c r="W123" s="1644"/>
      <c r="X123" s="632"/>
      <c r="Y123" s="219"/>
      <c r="Z123" s="219"/>
    </row>
    <row r="124" spans="1:26" ht="21" customHeight="1" thickBot="1" x14ac:dyDescent="0.25">
      <c r="A124" s="380"/>
      <c r="B124" s="381"/>
      <c r="C124" s="382"/>
      <c r="D124" s="653"/>
      <c r="E124" s="653"/>
      <c r="F124" s="1863"/>
      <c r="G124" s="463"/>
      <c r="H124" s="383"/>
      <c r="I124" s="1418" t="s">
        <v>716</v>
      </c>
      <c r="J124" s="1520">
        <v>200</v>
      </c>
      <c r="K124" s="1520">
        <v>200</v>
      </c>
      <c r="L124" s="1641"/>
      <c r="M124" s="1419"/>
      <c r="N124" s="1426"/>
      <c r="O124" s="1428"/>
      <c r="P124" s="1427"/>
      <c r="Q124" s="1426"/>
      <c r="R124" s="1428"/>
      <c r="S124" s="1416"/>
      <c r="T124" s="1040"/>
      <c r="U124" s="968"/>
      <c r="V124" s="1417"/>
      <c r="W124" s="1644"/>
      <c r="X124" s="632"/>
      <c r="Y124" s="219"/>
      <c r="Z124" s="219"/>
    </row>
    <row r="125" spans="1:26" ht="21" customHeight="1" x14ac:dyDescent="0.2">
      <c r="A125" s="380"/>
      <c r="B125" s="381"/>
      <c r="C125" s="382"/>
      <c r="D125" s="670" t="s">
        <v>21</v>
      </c>
      <c r="E125" s="670"/>
      <c r="F125" s="1772" t="s">
        <v>208</v>
      </c>
      <c r="G125" s="463"/>
      <c r="H125" s="383"/>
      <c r="I125" s="1069"/>
      <c r="J125" s="1328"/>
      <c r="K125" s="1328"/>
      <c r="L125" s="1316"/>
      <c r="M125" s="1394"/>
      <c r="N125" s="1125"/>
      <c r="O125" s="1071"/>
      <c r="P125" s="879"/>
      <c r="Q125" s="1125"/>
      <c r="R125" s="1071"/>
      <c r="S125" s="1898" t="s">
        <v>624</v>
      </c>
      <c r="T125" s="1002">
        <v>100</v>
      </c>
      <c r="U125" s="959"/>
      <c r="V125" s="957"/>
      <c r="W125" s="957"/>
      <c r="X125" s="632"/>
      <c r="Y125" s="219"/>
      <c r="Z125" s="219"/>
    </row>
    <row r="126" spans="1:26" ht="21" customHeight="1" x14ac:dyDescent="0.2">
      <c r="A126" s="380"/>
      <c r="B126" s="381"/>
      <c r="C126" s="382"/>
      <c r="D126" s="653"/>
      <c r="E126" s="653"/>
      <c r="F126" s="1858"/>
      <c r="G126" s="463"/>
      <c r="H126" s="383"/>
      <c r="I126" s="1069"/>
      <c r="J126" s="1328"/>
      <c r="K126" s="1328"/>
      <c r="L126" s="1316"/>
      <c r="M126" s="1394"/>
      <c r="N126" s="1125"/>
      <c r="O126" s="1071"/>
      <c r="P126" s="879"/>
      <c r="Q126" s="1125"/>
      <c r="R126" s="1071"/>
      <c r="S126" s="1909"/>
      <c r="T126" s="1004"/>
      <c r="U126" s="965"/>
      <c r="V126" s="963"/>
      <c r="W126" s="963"/>
      <c r="X126" s="632"/>
      <c r="Y126" s="219"/>
      <c r="Z126" s="219"/>
    </row>
    <row r="127" spans="1:26" ht="27.75" customHeight="1" thickBot="1" x14ac:dyDescent="0.25">
      <c r="A127" s="380"/>
      <c r="B127" s="381"/>
      <c r="C127" s="382"/>
      <c r="D127" s="672" t="s">
        <v>22</v>
      </c>
      <c r="E127" s="672"/>
      <c r="F127" s="180" t="s">
        <v>172</v>
      </c>
      <c r="G127" s="463"/>
      <c r="H127" s="383"/>
      <c r="I127" s="1069"/>
      <c r="J127" s="1328"/>
      <c r="K127" s="1328"/>
      <c r="L127" s="1316"/>
      <c r="M127" s="1394"/>
      <c r="N127" s="1125"/>
      <c r="O127" s="1071"/>
      <c r="P127" s="879"/>
      <c r="Q127" s="1125"/>
      <c r="R127" s="1071"/>
      <c r="S127" s="992" t="s">
        <v>53</v>
      </c>
      <c r="T127" s="994"/>
      <c r="U127" s="995">
        <v>1</v>
      </c>
      <c r="V127" s="1154"/>
      <c r="W127" s="1154"/>
      <c r="X127" s="1493"/>
    </row>
    <row r="128" spans="1:26" s="219" customFormat="1" ht="24.75" customHeight="1" x14ac:dyDescent="0.2">
      <c r="A128" s="380"/>
      <c r="B128" s="381"/>
      <c r="C128" s="484"/>
      <c r="D128" s="917" t="s">
        <v>96</v>
      </c>
      <c r="E128" s="912"/>
      <c r="F128" s="1780" t="s">
        <v>618</v>
      </c>
      <c r="G128" s="913"/>
      <c r="H128" s="438">
        <v>6</v>
      </c>
      <c r="I128" s="1111" t="s">
        <v>15</v>
      </c>
      <c r="J128" s="701">
        <v>1166.7</v>
      </c>
      <c r="K128" s="1558">
        <f>1166.7-11</f>
        <v>1155.7</v>
      </c>
      <c r="L128" s="1559">
        <f>+K128-J128</f>
        <v>-11</v>
      </c>
      <c r="M128" s="1063">
        <v>1620</v>
      </c>
      <c r="N128" s="701">
        <v>1620</v>
      </c>
      <c r="O128" s="890"/>
      <c r="P128" s="1372">
        <v>1460</v>
      </c>
      <c r="Q128" s="175">
        <v>1460</v>
      </c>
      <c r="R128" s="246"/>
      <c r="S128" s="914" t="s">
        <v>59</v>
      </c>
      <c r="T128" s="250">
        <v>1</v>
      </c>
      <c r="U128" s="904"/>
      <c r="V128" s="491"/>
      <c r="W128" s="1785" t="s">
        <v>727</v>
      </c>
      <c r="X128" s="140"/>
      <c r="Y128" s="140"/>
      <c r="Z128" s="140"/>
    </row>
    <row r="129" spans="1:26" s="219" customFormat="1" ht="18" customHeight="1" x14ac:dyDescent="0.2">
      <c r="A129" s="380"/>
      <c r="B129" s="381"/>
      <c r="C129" s="1583"/>
      <c r="D129" s="678"/>
      <c r="E129" s="1433"/>
      <c r="F129" s="1863"/>
      <c r="G129" s="1434"/>
      <c r="H129" s="1435"/>
      <c r="I129" s="1479" t="s">
        <v>98</v>
      </c>
      <c r="J129" s="771">
        <v>302.5</v>
      </c>
      <c r="K129" s="771">
        <v>302.5</v>
      </c>
      <c r="L129" s="861"/>
      <c r="M129" s="1430"/>
      <c r="N129" s="257"/>
      <c r="O129" s="275"/>
      <c r="P129" s="840"/>
      <c r="Q129" s="520"/>
      <c r="R129" s="521"/>
      <c r="S129" s="73" t="s">
        <v>116</v>
      </c>
      <c r="T129" s="207"/>
      <c r="U129" s="292"/>
      <c r="V129" s="464">
        <v>100</v>
      </c>
      <c r="W129" s="1956"/>
      <c r="X129" s="1472"/>
    </row>
    <row r="130" spans="1:26" ht="18.75" customHeight="1" x14ac:dyDescent="0.2">
      <c r="A130" s="380"/>
      <c r="B130" s="381"/>
      <c r="C130" s="378"/>
      <c r="D130" s="647" t="s">
        <v>97</v>
      </c>
      <c r="E130" s="646"/>
      <c r="F130" s="1858" t="s">
        <v>689</v>
      </c>
      <c r="G130" s="475"/>
      <c r="H130" s="361"/>
      <c r="I130" s="1552" t="s">
        <v>715</v>
      </c>
      <c r="J130" s="1553">
        <v>770.2</v>
      </c>
      <c r="K130" s="1553">
        <f>+J130-11</f>
        <v>759.2</v>
      </c>
      <c r="L130" s="1554">
        <f>+K130-J130</f>
        <v>-11</v>
      </c>
      <c r="M130" s="272"/>
      <c r="N130" s="263"/>
      <c r="O130" s="36"/>
      <c r="P130" s="281"/>
      <c r="Q130" s="263"/>
      <c r="R130" s="36"/>
      <c r="S130" s="260" t="s">
        <v>205</v>
      </c>
      <c r="T130" s="101">
        <v>3</v>
      </c>
      <c r="U130" s="1449">
        <v>3</v>
      </c>
      <c r="V130" s="122">
        <v>2</v>
      </c>
      <c r="W130" s="1956"/>
      <c r="X130" s="902"/>
      <c r="Y130" s="455"/>
    </row>
    <row r="131" spans="1:26" ht="30" customHeight="1" x14ac:dyDescent="0.2">
      <c r="A131" s="380"/>
      <c r="B131" s="381"/>
      <c r="C131" s="378"/>
      <c r="D131" s="668"/>
      <c r="E131" s="675"/>
      <c r="F131" s="1863"/>
      <c r="G131" s="475"/>
      <c r="H131" s="361"/>
      <c r="I131" s="1555"/>
      <c r="J131" s="1556"/>
      <c r="K131" s="1556"/>
      <c r="L131" s="1557"/>
      <c r="M131" s="767"/>
      <c r="N131" s="768"/>
      <c r="O131" s="769"/>
      <c r="P131" s="1109"/>
      <c r="Q131" s="768"/>
      <c r="R131" s="769"/>
      <c r="S131" s="208" t="s">
        <v>191</v>
      </c>
      <c r="T131" s="121">
        <v>1</v>
      </c>
      <c r="U131" s="54">
        <v>1</v>
      </c>
      <c r="V131" s="933"/>
      <c r="W131" s="2007"/>
      <c r="X131" s="455"/>
      <c r="Y131" s="455"/>
    </row>
    <row r="132" spans="1:26" ht="21" customHeight="1" x14ac:dyDescent="0.2">
      <c r="A132" s="398"/>
      <c r="B132" s="381"/>
      <c r="C132" s="365"/>
      <c r="D132" s="670" t="s">
        <v>267</v>
      </c>
      <c r="E132" s="670"/>
      <c r="F132" s="1839" t="s">
        <v>173</v>
      </c>
      <c r="G132" s="368"/>
      <c r="H132" s="368"/>
      <c r="I132" s="1505"/>
      <c r="J132" s="114"/>
      <c r="K132" s="114"/>
      <c r="L132" s="243"/>
      <c r="M132" s="775"/>
      <c r="N132" s="114"/>
      <c r="O132" s="232"/>
      <c r="P132" s="243"/>
      <c r="Q132" s="114"/>
      <c r="R132" s="232"/>
      <c r="S132" s="1910" t="s">
        <v>147</v>
      </c>
      <c r="T132" s="223">
        <v>50</v>
      </c>
      <c r="U132" s="1074">
        <v>100</v>
      </c>
      <c r="V132" s="1075"/>
      <c r="W132" s="1075"/>
      <c r="X132" s="350"/>
    </row>
    <row r="133" spans="1:26" ht="21" customHeight="1" x14ac:dyDescent="0.2">
      <c r="A133" s="398"/>
      <c r="B133" s="381"/>
      <c r="C133" s="365"/>
      <c r="D133" s="653"/>
      <c r="E133" s="653"/>
      <c r="F133" s="1840"/>
      <c r="G133" s="368"/>
      <c r="H133" s="368"/>
      <c r="I133" s="1505"/>
      <c r="J133" s="114"/>
      <c r="K133" s="114"/>
      <c r="L133" s="243"/>
      <c r="M133" s="775"/>
      <c r="N133" s="114"/>
      <c r="O133" s="232"/>
      <c r="P133" s="243"/>
      <c r="Q133" s="114"/>
      <c r="R133" s="232"/>
      <c r="S133" s="1911"/>
      <c r="T133" s="233"/>
      <c r="U133" s="1089"/>
      <c r="V133" s="1090"/>
      <c r="W133" s="1090"/>
      <c r="X133" s="350"/>
    </row>
    <row r="134" spans="1:26" ht="30.75" customHeight="1" x14ac:dyDescent="0.2">
      <c r="A134" s="398"/>
      <c r="B134" s="381"/>
      <c r="C134" s="467"/>
      <c r="D134" s="1155" t="s">
        <v>268</v>
      </c>
      <c r="E134" s="684"/>
      <c r="F134" s="1906" t="s">
        <v>202</v>
      </c>
      <c r="G134" s="383"/>
      <c r="H134" s="383"/>
      <c r="I134" s="1488"/>
      <c r="J134" s="1467"/>
      <c r="K134" s="1467"/>
      <c r="L134" s="1476"/>
      <c r="M134" s="77"/>
      <c r="N134" s="116"/>
      <c r="O134" s="72"/>
      <c r="P134" s="140"/>
      <c r="Q134" s="116"/>
      <c r="R134" s="72"/>
      <c r="S134" s="184" t="s">
        <v>93</v>
      </c>
      <c r="T134" s="689"/>
      <c r="U134" s="934"/>
      <c r="V134" s="935" t="s">
        <v>74</v>
      </c>
      <c r="W134" s="935"/>
    </row>
    <row r="135" spans="1:26" ht="25.5" customHeight="1" x14ac:dyDescent="0.2">
      <c r="A135" s="398"/>
      <c r="B135" s="381"/>
      <c r="C135" s="467"/>
      <c r="D135" s="664"/>
      <c r="E135" s="661"/>
      <c r="F135" s="1905"/>
      <c r="G135" s="383"/>
      <c r="H135" s="383"/>
      <c r="I135" s="1488"/>
      <c r="J135" s="116"/>
      <c r="K135" s="116"/>
      <c r="L135" s="140"/>
      <c r="M135" s="77"/>
      <c r="N135" s="116"/>
      <c r="O135" s="72"/>
      <c r="P135" s="140"/>
      <c r="Q135" s="116"/>
      <c r="R135" s="72"/>
      <c r="S135" s="1156"/>
      <c r="T135" s="1157"/>
      <c r="U135" s="1014"/>
      <c r="V135" s="1015"/>
      <c r="W135" s="1015"/>
    </row>
    <row r="136" spans="1:26" ht="13.5" customHeight="1" thickBot="1" x14ac:dyDescent="0.25">
      <c r="A136" s="469"/>
      <c r="B136" s="415"/>
      <c r="C136" s="470"/>
      <c r="D136" s="663"/>
      <c r="E136" s="663"/>
      <c r="F136" s="1908"/>
      <c r="G136" s="1912" t="s">
        <v>16</v>
      </c>
      <c r="H136" s="1913"/>
      <c r="I136" s="1914"/>
      <c r="J136" s="1327">
        <f>SUM(J109:J133)-J130-J122-J123-J124</f>
        <v>2847.7</v>
      </c>
      <c r="K136" s="1327">
        <f t="shared" ref="K136:R136" si="24">SUM(K109:K133)-K130-K122-K123-K124</f>
        <v>2836.7</v>
      </c>
      <c r="L136" s="167">
        <f t="shared" si="24"/>
        <v>-11</v>
      </c>
      <c r="M136" s="150">
        <f t="shared" si="24"/>
        <v>6095</v>
      </c>
      <c r="N136" s="1327">
        <f t="shared" si="24"/>
        <v>6095</v>
      </c>
      <c r="O136" s="270">
        <f t="shared" si="24"/>
        <v>0</v>
      </c>
      <c r="P136" s="268">
        <f t="shared" si="24"/>
        <v>8086.5</v>
      </c>
      <c r="Q136" s="1327">
        <f t="shared" si="24"/>
        <v>8086.5</v>
      </c>
      <c r="R136" s="1327">
        <f t="shared" si="24"/>
        <v>0</v>
      </c>
      <c r="S136" s="1149"/>
      <c r="T136" s="471"/>
      <c r="U136" s="472"/>
      <c r="V136" s="473"/>
      <c r="W136" s="473"/>
    </row>
    <row r="137" spans="1:26" ht="16.5" customHeight="1" x14ac:dyDescent="0.2">
      <c r="A137" s="407" t="s">
        <v>17</v>
      </c>
      <c r="B137" s="408" t="s">
        <v>14</v>
      </c>
      <c r="C137" s="356" t="s">
        <v>19</v>
      </c>
      <c r="D137" s="652"/>
      <c r="E137" s="652"/>
      <c r="F137" s="1919" t="s">
        <v>174</v>
      </c>
      <c r="G137" s="178" t="s">
        <v>2</v>
      </c>
      <c r="H137" s="474">
        <v>5</v>
      </c>
      <c r="I137" s="1483" t="s">
        <v>15</v>
      </c>
      <c r="J137" s="1114">
        <v>232.9</v>
      </c>
      <c r="K137" s="1114">
        <v>232.9</v>
      </c>
      <c r="L137" s="1117"/>
      <c r="M137" s="1113">
        <v>1670.3</v>
      </c>
      <c r="N137" s="1114">
        <v>1670.3</v>
      </c>
      <c r="O137" s="1117"/>
      <c r="P137" s="827">
        <f>400-300</f>
        <v>100</v>
      </c>
      <c r="Q137" s="1114">
        <f>400-300</f>
        <v>100</v>
      </c>
      <c r="R137" s="1117"/>
      <c r="S137" s="299"/>
      <c r="T137" s="411"/>
      <c r="U137" s="453"/>
      <c r="V137" s="454"/>
      <c r="W137" s="454"/>
      <c r="X137" s="455"/>
      <c r="Y137" s="455"/>
    </row>
    <row r="138" spans="1:26" ht="16.5" customHeight="1" x14ac:dyDescent="0.2">
      <c r="A138" s="398"/>
      <c r="B138" s="381"/>
      <c r="C138" s="365"/>
      <c r="D138" s="653"/>
      <c r="E138" s="653"/>
      <c r="F138" s="1840"/>
      <c r="G138" s="189"/>
      <c r="H138" s="475"/>
      <c r="I138" s="1072" t="s">
        <v>98</v>
      </c>
      <c r="J138" s="117">
        <v>125.3</v>
      </c>
      <c r="K138" s="117">
        <v>125.3</v>
      </c>
      <c r="L138" s="129"/>
      <c r="M138" s="96"/>
      <c r="N138" s="117"/>
      <c r="O138" s="129"/>
      <c r="P138" s="1317"/>
      <c r="Q138" s="117"/>
      <c r="R138" s="129"/>
      <c r="S138" s="1443"/>
      <c r="T138" s="388"/>
      <c r="U138" s="459"/>
      <c r="V138" s="460"/>
      <c r="W138" s="460"/>
      <c r="X138" s="455"/>
      <c r="Y138" s="455"/>
    </row>
    <row r="139" spans="1:26" ht="16.5" customHeight="1" x14ac:dyDescent="0.2">
      <c r="A139" s="398"/>
      <c r="B139" s="381"/>
      <c r="C139" s="365"/>
      <c r="D139" s="653"/>
      <c r="E139" s="653"/>
      <c r="F139" s="1840"/>
      <c r="G139" s="189"/>
      <c r="H139" s="475"/>
      <c r="I139" s="1484" t="s">
        <v>214</v>
      </c>
      <c r="J139" s="245"/>
      <c r="K139" s="245"/>
      <c r="L139" s="873"/>
      <c r="M139" s="203"/>
      <c r="N139" s="245"/>
      <c r="O139" s="873"/>
      <c r="P139" s="244">
        <v>922.8</v>
      </c>
      <c r="Q139" s="245">
        <v>922.8</v>
      </c>
      <c r="R139" s="873"/>
      <c r="S139" s="1443"/>
      <c r="T139" s="388"/>
      <c r="U139" s="459"/>
      <c r="V139" s="460"/>
      <c r="W139" s="460"/>
    </row>
    <row r="140" spans="1:26" ht="16.5" customHeight="1" x14ac:dyDescent="0.2">
      <c r="A140" s="398"/>
      <c r="B140" s="381"/>
      <c r="C140" s="365"/>
      <c r="D140" s="653"/>
      <c r="E140" s="653"/>
      <c r="F140" s="1441"/>
      <c r="G140" s="189"/>
      <c r="H140" s="475"/>
      <c r="I140" s="1120" t="s">
        <v>101</v>
      </c>
      <c r="J140" s="1329">
        <v>90</v>
      </c>
      <c r="K140" s="1329">
        <v>90</v>
      </c>
      <c r="L140" s="1350"/>
      <c r="M140" s="1397">
        <v>789.1</v>
      </c>
      <c r="N140" s="1122">
        <v>789.1</v>
      </c>
      <c r="O140" s="1392"/>
      <c r="P140" s="1381"/>
      <c r="Q140" s="1355"/>
      <c r="R140" s="248"/>
      <c r="S140" s="1443"/>
      <c r="T140" s="388"/>
      <c r="U140" s="1118"/>
      <c r="V140" s="460"/>
      <c r="W140" s="460"/>
    </row>
    <row r="141" spans="1:26" ht="29.25" customHeight="1" x14ac:dyDescent="0.2">
      <c r="A141" s="398"/>
      <c r="B141" s="381"/>
      <c r="C141" s="382"/>
      <c r="D141" s="670" t="s">
        <v>14</v>
      </c>
      <c r="E141" s="670"/>
      <c r="F141" s="1906" t="s">
        <v>628</v>
      </c>
      <c r="G141" s="123"/>
      <c r="H141" s="451"/>
      <c r="I141" s="1069"/>
      <c r="J141" s="1328"/>
      <c r="K141" s="1328"/>
      <c r="L141" s="1349"/>
      <c r="M141" s="1394"/>
      <c r="N141" s="1125"/>
      <c r="O141" s="1071"/>
      <c r="P141" s="879"/>
      <c r="Q141" s="1125"/>
      <c r="R141" s="1071"/>
      <c r="S141" s="1452" t="s">
        <v>53</v>
      </c>
      <c r="T141" s="93">
        <v>1</v>
      </c>
      <c r="U141" s="1500"/>
      <c r="V141" s="287"/>
      <c r="W141" s="287"/>
      <c r="X141" s="632"/>
      <c r="Y141" s="632"/>
      <c r="Z141" s="219"/>
    </row>
    <row r="142" spans="1:26" ht="28.5" customHeight="1" x14ac:dyDescent="0.2">
      <c r="A142" s="398"/>
      <c r="B142" s="381"/>
      <c r="C142" s="456"/>
      <c r="D142" s="671"/>
      <c r="E142" s="671"/>
      <c r="F142" s="1907"/>
      <c r="G142" s="123"/>
      <c r="H142" s="451"/>
      <c r="I142" s="1069"/>
      <c r="J142" s="1328"/>
      <c r="K142" s="1328"/>
      <c r="L142" s="1349"/>
      <c r="M142" s="1394"/>
      <c r="N142" s="1125"/>
      <c r="O142" s="1071"/>
      <c r="P142" s="879"/>
      <c r="Q142" s="1125"/>
      <c r="R142" s="1071"/>
      <c r="S142" s="73" t="s">
        <v>93</v>
      </c>
      <c r="T142" s="207"/>
      <c r="U142" s="292"/>
      <c r="V142" s="464">
        <v>35</v>
      </c>
      <c r="W142" s="464"/>
      <c r="X142" s="632"/>
      <c r="Y142" s="632"/>
      <c r="Z142" s="219"/>
    </row>
    <row r="143" spans="1:26" ht="18.75" customHeight="1" x14ac:dyDescent="0.2">
      <c r="A143" s="398"/>
      <c r="B143" s="381"/>
      <c r="C143" s="365"/>
      <c r="D143" s="653" t="s">
        <v>17</v>
      </c>
      <c r="E143" s="653"/>
      <c r="F143" s="1858" t="s">
        <v>690</v>
      </c>
      <c r="G143" s="148"/>
      <c r="H143" s="368"/>
      <c r="I143" s="1073"/>
      <c r="J143" s="1328"/>
      <c r="K143" s="1328"/>
      <c r="L143" s="1349"/>
      <c r="M143" s="1394"/>
      <c r="N143" s="1125"/>
      <c r="O143" s="1071"/>
      <c r="P143" s="879"/>
      <c r="Q143" s="1125"/>
      <c r="R143" s="1071"/>
      <c r="S143" s="1920" t="s">
        <v>53</v>
      </c>
      <c r="T143" s="1021">
        <v>1</v>
      </c>
      <c r="U143" s="1022"/>
      <c r="V143" s="122"/>
      <c r="W143" s="122"/>
    </row>
    <row r="144" spans="1:26" ht="18.75" customHeight="1" x14ac:dyDescent="0.2">
      <c r="A144" s="398"/>
      <c r="B144" s="381"/>
      <c r="C144" s="365"/>
      <c r="D144" s="653"/>
      <c r="E144" s="653"/>
      <c r="F144" s="1858"/>
      <c r="G144" s="148"/>
      <c r="H144" s="368"/>
      <c r="I144" s="1073"/>
      <c r="J144" s="1328"/>
      <c r="K144" s="1328"/>
      <c r="L144" s="1349"/>
      <c r="M144" s="1394"/>
      <c r="N144" s="1125"/>
      <c r="O144" s="1071"/>
      <c r="P144" s="879"/>
      <c r="Q144" s="1125"/>
      <c r="R144" s="1071"/>
      <c r="S144" s="1921"/>
      <c r="T144" s="1017"/>
      <c r="U144" s="1018"/>
      <c r="V144" s="122"/>
      <c r="W144" s="122"/>
    </row>
    <row r="145" spans="1:27" ht="18.75" customHeight="1" x14ac:dyDescent="0.2">
      <c r="A145" s="398"/>
      <c r="B145" s="381"/>
      <c r="C145" s="365"/>
      <c r="D145" s="653"/>
      <c r="E145" s="653"/>
      <c r="F145" s="1858"/>
      <c r="G145" s="148"/>
      <c r="H145" s="368"/>
      <c r="I145" s="1073"/>
      <c r="J145" s="1328"/>
      <c r="K145" s="1328"/>
      <c r="L145" s="1349"/>
      <c r="M145" s="1394"/>
      <c r="N145" s="1125"/>
      <c r="O145" s="1071"/>
      <c r="P145" s="879"/>
      <c r="Q145" s="1125"/>
      <c r="R145" s="1071"/>
      <c r="S145" s="1076" t="s">
        <v>117</v>
      </c>
      <c r="T145" s="1077">
        <v>15</v>
      </c>
      <c r="U145" s="1078">
        <v>100</v>
      </c>
      <c r="V145" s="933"/>
      <c r="W145" s="933"/>
    </row>
    <row r="146" spans="1:27" ht="26.25" customHeight="1" x14ac:dyDescent="0.2">
      <c r="A146" s="398"/>
      <c r="B146" s="381"/>
      <c r="C146" s="382"/>
      <c r="D146" s="670" t="s">
        <v>19</v>
      </c>
      <c r="E146" s="670"/>
      <c r="F146" s="230" t="s">
        <v>691</v>
      </c>
      <c r="G146" s="148"/>
      <c r="H146" s="368"/>
      <c r="I146" s="1073"/>
      <c r="J146" s="1328"/>
      <c r="K146" s="1328"/>
      <c r="L146" s="1349"/>
      <c r="M146" s="1394"/>
      <c r="N146" s="1125"/>
      <c r="O146" s="1071"/>
      <c r="P146" s="879"/>
      <c r="Q146" s="1125"/>
      <c r="R146" s="1071"/>
      <c r="S146" s="1029" t="s">
        <v>53</v>
      </c>
      <c r="T146" s="1031">
        <v>2</v>
      </c>
      <c r="U146" s="1032">
        <v>5</v>
      </c>
      <c r="V146" s="1033"/>
      <c r="W146" s="1033"/>
      <c r="Y146" s="91"/>
      <c r="Z146" s="91"/>
    </row>
    <row r="147" spans="1:27" ht="26.25" customHeight="1" x14ac:dyDescent="0.2">
      <c r="A147" s="398"/>
      <c r="B147" s="381"/>
      <c r="C147" s="382"/>
      <c r="D147" s="653"/>
      <c r="E147" s="653"/>
      <c r="F147" s="1858" t="s">
        <v>692</v>
      </c>
      <c r="G147" s="148"/>
      <c r="H147" s="57"/>
      <c r="I147" s="1073"/>
      <c r="J147" s="1328"/>
      <c r="K147" s="1328"/>
      <c r="L147" s="1349"/>
      <c r="M147" s="1394"/>
      <c r="N147" s="1125"/>
      <c r="O147" s="1071"/>
      <c r="P147" s="879"/>
      <c r="Q147" s="1125"/>
      <c r="R147" s="1071"/>
      <c r="S147" s="1116" t="s">
        <v>62</v>
      </c>
      <c r="T147" s="1091"/>
      <c r="U147" s="1092">
        <v>10</v>
      </c>
      <c r="V147" s="1093">
        <v>30</v>
      </c>
      <c r="W147" s="1093"/>
      <c r="Y147" s="91"/>
      <c r="Z147" s="91"/>
    </row>
    <row r="148" spans="1:27" ht="26.25" customHeight="1" x14ac:dyDescent="0.2">
      <c r="A148" s="380"/>
      <c r="B148" s="381"/>
      <c r="C148" s="382"/>
      <c r="D148" s="653"/>
      <c r="E148" s="653"/>
      <c r="F148" s="1863"/>
      <c r="G148" s="148"/>
      <c r="H148" s="57"/>
      <c r="I148" s="1073"/>
      <c r="J148" s="1328"/>
      <c r="K148" s="1328"/>
      <c r="L148" s="1349"/>
      <c r="M148" s="1394"/>
      <c r="N148" s="1125"/>
      <c r="O148" s="1071"/>
      <c r="P148" s="879"/>
      <c r="Q148" s="1125"/>
      <c r="R148" s="1071"/>
      <c r="S148" s="1034"/>
      <c r="T148" s="991"/>
      <c r="U148" s="972"/>
      <c r="V148" s="1036"/>
      <c r="W148" s="1036"/>
      <c r="Y148" s="91"/>
      <c r="Z148" s="91"/>
    </row>
    <row r="149" spans="1:27" ht="15.75" customHeight="1" x14ac:dyDescent="0.2">
      <c r="A149" s="398"/>
      <c r="B149" s="381"/>
      <c r="C149" s="382"/>
      <c r="D149" s="670" t="s">
        <v>21</v>
      </c>
      <c r="E149" s="670"/>
      <c r="F149" s="1768" t="s">
        <v>175</v>
      </c>
      <c r="G149" s="462"/>
      <c r="H149" s="370"/>
      <c r="I149" s="1073"/>
      <c r="J149" s="1328"/>
      <c r="K149" s="1328"/>
      <c r="L149" s="1349"/>
      <c r="M149" s="1394"/>
      <c r="N149" s="1125"/>
      <c r="O149" s="1071"/>
      <c r="P149" s="879"/>
      <c r="Q149" s="1125"/>
      <c r="R149" s="1071"/>
      <c r="S149" s="1916" t="s">
        <v>59</v>
      </c>
      <c r="T149" s="1038">
        <v>1</v>
      </c>
      <c r="U149" s="1000"/>
      <c r="V149" s="1039"/>
      <c r="W149" s="1039"/>
      <c r="X149" s="477"/>
    </row>
    <row r="150" spans="1:27" ht="15.75" customHeight="1" x14ac:dyDescent="0.2">
      <c r="A150" s="380"/>
      <c r="B150" s="381"/>
      <c r="C150" s="478"/>
      <c r="D150" s="653"/>
      <c r="E150" s="653"/>
      <c r="F150" s="1791"/>
      <c r="G150" s="462"/>
      <c r="H150" s="370"/>
      <c r="I150" s="1073"/>
      <c r="J150" s="1328"/>
      <c r="K150" s="1328"/>
      <c r="L150" s="1349"/>
      <c r="M150" s="1394"/>
      <c r="N150" s="1125"/>
      <c r="O150" s="1071"/>
      <c r="P150" s="879"/>
      <c r="Q150" s="1125"/>
      <c r="R150" s="1071"/>
      <c r="S150" s="1917"/>
      <c r="T150" s="1040"/>
      <c r="U150" s="965"/>
      <c r="V150" s="1041"/>
      <c r="W150" s="1041"/>
      <c r="X150" s="477"/>
    </row>
    <row r="151" spans="1:27" ht="15.75" customHeight="1" x14ac:dyDescent="0.2">
      <c r="A151" s="380"/>
      <c r="B151" s="381"/>
      <c r="C151" s="478"/>
      <c r="D151" s="653"/>
      <c r="E151" s="653"/>
      <c r="F151" s="1791"/>
      <c r="G151" s="479"/>
      <c r="H151" s="480"/>
      <c r="I151" s="1073"/>
      <c r="J151" s="1331"/>
      <c r="K151" s="1331"/>
      <c r="L151" s="1351"/>
      <c r="M151" s="1395"/>
      <c r="N151" s="1402"/>
      <c r="O151" s="1390"/>
      <c r="P151" s="710"/>
      <c r="Q151" s="1402"/>
      <c r="R151" s="1390"/>
      <c r="S151" s="1922" t="s">
        <v>77</v>
      </c>
      <c r="T151" s="1146"/>
      <c r="U151" s="1092"/>
      <c r="V151" s="1147">
        <v>100</v>
      </c>
      <c r="W151" s="1147"/>
    </row>
    <row r="152" spans="1:27" ht="13.5" customHeight="1" thickBot="1" x14ac:dyDescent="0.25">
      <c r="A152" s="469"/>
      <c r="B152" s="415"/>
      <c r="C152" s="416"/>
      <c r="D152" s="663"/>
      <c r="E152" s="663"/>
      <c r="F152" s="1455"/>
      <c r="G152" s="1787" t="s">
        <v>16</v>
      </c>
      <c r="H152" s="1788"/>
      <c r="I152" s="1789"/>
      <c r="J152" s="111">
        <f>SUM(J137:J151)</f>
        <v>448.2</v>
      </c>
      <c r="K152" s="111">
        <f>SUM(K137:K151)</f>
        <v>448.2</v>
      </c>
      <c r="L152" s="258"/>
      <c r="M152" s="1398">
        <f t="shared" ref="M152:N152" si="25">SUM(M137:M151)</f>
        <v>2459.4</v>
      </c>
      <c r="N152" s="1115">
        <f t="shared" si="25"/>
        <v>2459.4</v>
      </c>
      <c r="O152" s="1396">
        <f t="shared" ref="O152" si="26">SUM(O137:O151)</f>
        <v>0</v>
      </c>
      <c r="P152" s="269">
        <f>SUM(P137:P151)</f>
        <v>1022.8</v>
      </c>
      <c r="Q152" s="111">
        <f>SUM(Q137:Q151)</f>
        <v>1022.8</v>
      </c>
      <c r="R152" s="437">
        <f>SUM(R137:R151)</f>
        <v>0</v>
      </c>
      <c r="S152" s="1923"/>
      <c r="T152" s="216"/>
      <c r="U152" s="332"/>
      <c r="V152" s="483"/>
      <c r="W152" s="483"/>
      <c r="X152" s="455"/>
      <c r="Y152" s="455"/>
      <c r="Z152" s="104"/>
      <c r="AA152" s="1918"/>
    </row>
    <row r="153" spans="1:27" ht="15.75" customHeight="1" x14ac:dyDescent="0.2">
      <c r="A153" s="407" t="s">
        <v>17</v>
      </c>
      <c r="B153" s="408" t="s">
        <v>14</v>
      </c>
      <c r="C153" s="409" t="s">
        <v>21</v>
      </c>
      <c r="D153" s="652"/>
      <c r="E153" s="652"/>
      <c r="F153" s="1904" t="s">
        <v>176</v>
      </c>
      <c r="G153" s="24" t="s">
        <v>2</v>
      </c>
      <c r="H153" s="482">
        <v>5</v>
      </c>
      <c r="I153" s="1506" t="s">
        <v>15</v>
      </c>
      <c r="J153" s="1332">
        <f>225.9-45.1</f>
        <v>180.8</v>
      </c>
      <c r="K153" s="1332">
        <f>225.9-45.1</f>
        <v>180.8</v>
      </c>
      <c r="L153" s="1316"/>
      <c r="M153" s="1399">
        <v>634.29999999999995</v>
      </c>
      <c r="N153" s="1403">
        <v>634.29999999999995</v>
      </c>
      <c r="O153" s="1401"/>
      <c r="P153" s="834"/>
      <c r="Q153" s="1101"/>
      <c r="R153" s="1344"/>
      <c r="S153" s="580"/>
      <c r="T153" s="411"/>
      <c r="U153" s="453"/>
      <c r="V153" s="454"/>
      <c r="W153" s="1954"/>
      <c r="Y153" s="104"/>
      <c r="Z153" s="104"/>
      <c r="AA153" s="1918"/>
    </row>
    <row r="154" spans="1:27" ht="15.75" customHeight="1" x14ac:dyDescent="0.2">
      <c r="A154" s="398"/>
      <c r="B154" s="381"/>
      <c r="C154" s="382"/>
      <c r="D154" s="653"/>
      <c r="E154" s="653"/>
      <c r="F154" s="1905"/>
      <c r="G154" s="231"/>
      <c r="H154" s="451"/>
      <c r="I154" s="1079" t="s">
        <v>101</v>
      </c>
      <c r="J154" s="1332">
        <v>423.6</v>
      </c>
      <c r="K154" s="1332">
        <v>423.6</v>
      </c>
      <c r="L154" s="1522"/>
      <c r="M154" s="1397">
        <v>106.3</v>
      </c>
      <c r="N154" s="1122">
        <v>106.3</v>
      </c>
      <c r="O154" s="1392"/>
      <c r="P154" s="1413"/>
      <c r="Q154" s="1414"/>
      <c r="R154" s="1391"/>
      <c r="S154" s="581"/>
      <c r="T154" s="388"/>
      <c r="U154" s="459"/>
      <c r="V154" s="460"/>
      <c r="W154" s="1955"/>
      <c r="Y154" s="1463"/>
      <c r="Z154" s="1463"/>
      <c r="AA154" s="1463"/>
    </row>
    <row r="155" spans="1:27" ht="15.75" customHeight="1" x14ac:dyDescent="0.2">
      <c r="A155" s="398"/>
      <c r="B155" s="381"/>
      <c r="C155" s="382"/>
      <c r="D155" s="653"/>
      <c r="E155" s="653"/>
      <c r="F155" s="1461"/>
      <c r="G155" s="231"/>
      <c r="H155" s="451"/>
      <c r="I155" s="1079" t="s">
        <v>712</v>
      </c>
      <c r="J155" s="1523">
        <v>3.1</v>
      </c>
      <c r="K155" s="1523">
        <v>3.1</v>
      </c>
      <c r="L155" s="1522"/>
      <c r="M155" s="1397"/>
      <c r="N155" s="1122"/>
      <c r="O155" s="1392"/>
      <c r="P155" s="1319"/>
      <c r="Q155" s="434"/>
      <c r="R155" s="435"/>
      <c r="S155" s="581"/>
      <c r="T155" s="388"/>
      <c r="U155" s="459"/>
      <c r="V155" s="460"/>
      <c r="W155" s="1955"/>
      <c r="Y155" s="1463"/>
      <c r="Z155" s="1463"/>
      <c r="AA155" s="1463"/>
    </row>
    <row r="156" spans="1:27" ht="15.75" customHeight="1" x14ac:dyDescent="0.2">
      <c r="A156" s="398"/>
      <c r="B156" s="381"/>
      <c r="C156" s="382"/>
      <c r="D156" s="653"/>
      <c r="E156" s="653"/>
      <c r="F156" s="1461"/>
      <c r="G156" s="231"/>
      <c r="H156" s="451"/>
      <c r="I156" s="1120" t="s">
        <v>214</v>
      </c>
      <c r="J156" s="433"/>
      <c r="K156" s="434"/>
      <c r="L156" s="1319"/>
      <c r="M156" s="1397">
        <v>86.5</v>
      </c>
      <c r="N156" s="1122">
        <v>86.5</v>
      </c>
      <c r="O156" s="1392"/>
      <c r="P156" s="1374">
        <f>1255.8-178.6</f>
        <v>1077.2</v>
      </c>
      <c r="Q156" s="1122">
        <f>1255.8-178.6</f>
        <v>1077.2</v>
      </c>
      <c r="R156" s="1392"/>
      <c r="S156" s="581"/>
      <c r="T156" s="388"/>
      <c r="U156" s="459"/>
      <c r="V156" s="460"/>
      <c r="W156" s="1955"/>
      <c r="Y156" s="1463"/>
      <c r="Z156" s="1463"/>
      <c r="AA156" s="1463"/>
    </row>
    <row r="157" spans="1:27" ht="15.75" customHeight="1" x14ac:dyDescent="0.2">
      <c r="A157" s="398"/>
      <c r="B157" s="381"/>
      <c r="C157" s="382"/>
      <c r="D157" s="653"/>
      <c r="E157" s="653"/>
      <c r="F157" s="1461"/>
      <c r="G157" s="231"/>
      <c r="H157" s="451"/>
      <c r="I157" s="1120" t="s">
        <v>98</v>
      </c>
      <c r="J157" s="433">
        <v>2.8</v>
      </c>
      <c r="K157" s="434">
        <v>2.8</v>
      </c>
      <c r="L157" s="1319"/>
      <c r="M157" s="1397"/>
      <c r="N157" s="1122"/>
      <c r="O157" s="1392"/>
      <c r="P157" s="1374"/>
      <c r="Q157" s="1122"/>
      <c r="R157" s="1392"/>
      <c r="S157" s="581"/>
      <c r="T157" s="388"/>
      <c r="U157" s="459"/>
      <c r="V157" s="460"/>
      <c r="W157" s="1976"/>
      <c r="Y157" s="1463"/>
      <c r="Z157" s="1463"/>
      <c r="AA157" s="1463"/>
    </row>
    <row r="158" spans="1:27" ht="27.75" customHeight="1" x14ac:dyDescent="0.2">
      <c r="A158" s="398"/>
      <c r="B158" s="381"/>
      <c r="C158" s="382"/>
      <c r="D158" s="670" t="s">
        <v>14</v>
      </c>
      <c r="E158" s="670"/>
      <c r="F158" s="1768" t="s">
        <v>177</v>
      </c>
      <c r="G158" s="462"/>
      <c r="H158" s="370"/>
      <c r="I158" s="1080"/>
      <c r="J158" s="1124"/>
      <c r="K158" s="1328"/>
      <c r="L158" s="1316"/>
      <c r="M158" s="1394"/>
      <c r="N158" s="1125"/>
      <c r="O158" s="1071"/>
      <c r="P158" s="879"/>
      <c r="Q158" s="1125"/>
      <c r="R158" s="1071"/>
      <c r="S158" s="1043" t="s">
        <v>92</v>
      </c>
      <c r="T158" s="999">
        <v>100</v>
      </c>
      <c r="U158" s="1500"/>
      <c r="V158" s="287"/>
      <c r="W158" s="287"/>
      <c r="Y158" s="1463"/>
      <c r="Z158" s="1463"/>
      <c r="AA158" s="1463"/>
    </row>
    <row r="159" spans="1:27" ht="29.25" customHeight="1" x14ac:dyDescent="0.2">
      <c r="A159" s="380"/>
      <c r="B159" s="381"/>
      <c r="C159" s="1650"/>
      <c r="D159" s="671"/>
      <c r="E159" s="671"/>
      <c r="F159" s="1769"/>
      <c r="G159" s="462"/>
      <c r="H159" s="370"/>
      <c r="I159" s="1080"/>
      <c r="J159" s="1124"/>
      <c r="K159" s="1328"/>
      <c r="L159" s="1316"/>
      <c r="M159" s="1394"/>
      <c r="N159" s="1125"/>
      <c r="O159" s="1071"/>
      <c r="P159" s="879"/>
      <c r="Q159" s="1125"/>
      <c r="R159" s="1071"/>
      <c r="S159" s="1436" t="s">
        <v>115</v>
      </c>
      <c r="T159" s="1437">
        <v>100</v>
      </c>
      <c r="U159" s="292"/>
      <c r="V159" s="464"/>
      <c r="W159" s="464"/>
      <c r="Y159" s="1463"/>
      <c r="Z159" s="1463"/>
      <c r="AA159" s="1463"/>
    </row>
    <row r="160" spans="1:27" ht="15.75" customHeight="1" x14ac:dyDescent="0.2">
      <c r="A160" s="398"/>
      <c r="B160" s="381"/>
      <c r="C160" s="382"/>
      <c r="D160" s="653" t="s">
        <v>17</v>
      </c>
      <c r="E160" s="653"/>
      <c r="F160" s="1791" t="s">
        <v>178</v>
      </c>
      <c r="G160" s="462"/>
      <c r="H160" s="370"/>
      <c r="I160" s="1080"/>
      <c r="J160" s="1124"/>
      <c r="K160" s="1328"/>
      <c r="L160" s="1316"/>
      <c r="M160" s="1394"/>
      <c r="N160" s="1125"/>
      <c r="O160" s="1071"/>
      <c r="P160" s="879"/>
      <c r="Q160" s="1125"/>
      <c r="R160" s="1071"/>
      <c r="S160" s="1903" t="s">
        <v>93</v>
      </c>
      <c r="T160" s="964"/>
      <c r="U160" s="965">
        <v>35</v>
      </c>
      <c r="V160" s="963">
        <v>100</v>
      </c>
      <c r="W160" s="963"/>
      <c r="Y160" s="1463"/>
      <c r="Z160" s="1463"/>
      <c r="AA160" s="1463"/>
    </row>
    <row r="161" spans="1:27" ht="12.75" customHeight="1" x14ac:dyDescent="0.2">
      <c r="A161" s="380"/>
      <c r="B161" s="381"/>
      <c r="C161" s="478"/>
      <c r="D161" s="653"/>
      <c r="E161" s="653"/>
      <c r="F161" s="1791"/>
      <c r="G161" s="462"/>
      <c r="H161" s="370"/>
      <c r="I161" s="1119"/>
      <c r="J161" s="1326"/>
      <c r="K161" s="1330"/>
      <c r="L161" s="1318"/>
      <c r="M161" s="1400"/>
      <c r="N161" s="1404"/>
      <c r="O161" s="1393"/>
      <c r="P161" s="1375"/>
      <c r="Q161" s="1404"/>
      <c r="R161" s="1393"/>
      <c r="S161" s="1903"/>
      <c r="T161" s="964"/>
      <c r="U161" s="965"/>
      <c r="V161" s="1053"/>
      <c r="W161" s="1053"/>
      <c r="Y161" s="1463"/>
      <c r="Z161" s="1463"/>
      <c r="AA161" s="1463"/>
    </row>
    <row r="162" spans="1:27" ht="15.75" customHeight="1" thickBot="1" x14ac:dyDescent="0.25">
      <c r="A162" s="418"/>
      <c r="B162" s="415"/>
      <c r="C162" s="416"/>
      <c r="D162" s="663"/>
      <c r="E162" s="663"/>
      <c r="F162" s="1786"/>
      <c r="G162" s="1787" t="s">
        <v>51</v>
      </c>
      <c r="H162" s="1788"/>
      <c r="I162" s="1915"/>
      <c r="J162" s="66">
        <f>SUM(J153:J161)</f>
        <v>610.30000000000007</v>
      </c>
      <c r="K162" s="111">
        <f>SUM(K153:K161)</f>
        <v>610.30000000000007</v>
      </c>
      <c r="L162" s="185">
        <f>SUM(L153:L161)</f>
        <v>0</v>
      </c>
      <c r="M162" s="66">
        <f t="shared" ref="M162:P162" si="27">SUM(M153:M161)</f>
        <v>827.09999999999991</v>
      </c>
      <c r="N162" s="111">
        <f t="shared" ref="N162:O162" si="28">SUM(N153:N161)</f>
        <v>827.09999999999991</v>
      </c>
      <c r="O162" s="437">
        <f t="shared" si="28"/>
        <v>0</v>
      </c>
      <c r="P162" s="269">
        <f t="shared" si="27"/>
        <v>1077.2</v>
      </c>
      <c r="Q162" s="111">
        <f t="shared" ref="Q162:R162" si="29">SUM(Q153:Q161)</f>
        <v>1077.2</v>
      </c>
      <c r="R162" s="437">
        <f t="shared" si="29"/>
        <v>0</v>
      </c>
      <c r="S162" s="1923"/>
      <c r="T162" s="216"/>
      <c r="U162" s="332"/>
      <c r="V162" s="75"/>
      <c r="W162" s="75"/>
      <c r="X162" s="455"/>
      <c r="Y162" s="455"/>
      <c r="Z162" s="104"/>
      <c r="AA162" s="1918"/>
    </row>
    <row r="163" spans="1:27" ht="29.25" customHeight="1" x14ac:dyDescent="0.2">
      <c r="A163" s="407" t="s">
        <v>17</v>
      </c>
      <c r="B163" s="408" t="s">
        <v>14</v>
      </c>
      <c r="C163" s="409" t="s">
        <v>22</v>
      </c>
      <c r="D163" s="652"/>
      <c r="E163" s="652"/>
      <c r="F163" s="1460" t="s">
        <v>94</v>
      </c>
      <c r="G163" s="138"/>
      <c r="H163" s="438">
        <v>2</v>
      </c>
      <c r="I163" s="1513" t="s">
        <v>15</v>
      </c>
      <c r="J163" s="1324">
        <v>332.3</v>
      </c>
      <c r="K163" s="1535">
        <v>386.3</v>
      </c>
      <c r="L163" s="1536">
        <f>+K163-J163</f>
        <v>54</v>
      </c>
      <c r="M163" s="1324">
        <v>293.5</v>
      </c>
      <c r="N163" s="1101">
        <v>293.5</v>
      </c>
      <c r="O163" s="1344"/>
      <c r="P163" s="834">
        <v>330.1</v>
      </c>
      <c r="Q163" s="1101">
        <v>330.1</v>
      </c>
      <c r="R163" s="1344"/>
      <c r="S163" s="1487"/>
      <c r="T163" s="411"/>
      <c r="U163" s="453"/>
      <c r="V163" s="454"/>
      <c r="W163" s="1954" t="s">
        <v>736</v>
      </c>
      <c r="Y163" s="104"/>
      <c r="Z163" s="104"/>
      <c r="AA163" s="1918"/>
    </row>
    <row r="164" spans="1:27" ht="34.5" customHeight="1" x14ac:dyDescent="0.2">
      <c r="A164" s="398"/>
      <c r="B164" s="381"/>
      <c r="C164" s="378"/>
      <c r="D164" s="669" t="s">
        <v>14</v>
      </c>
      <c r="E164" s="670"/>
      <c r="F164" s="1768" t="s">
        <v>693</v>
      </c>
      <c r="G164" s="179"/>
      <c r="H164" s="383"/>
      <c r="I164" s="1514"/>
      <c r="J164" s="1475"/>
      <c r="K164" s="1467"/>
      <c r="L164" s="1477"/>
      <c r="M164" s="272"/>
      <c r="N164" s="263"/>
      <c r="O164" s="36"/>
      <c r="P164" s="281"/>
      <c r="Q164" s="263"/>
      <c r="R164" s="36"/>
      <c r="S164" s="1452" t="s">
        <v>118</v>
      </c>
      <c r="T164" s="27">
        <v>7</v>
      </c>
      <c r="U164" s="699">
        <v>12</v>
      </c>
      <c r="V164" s="20">
        <v>12</v>
      </c>
      <c r="W164" s="1955"/>
    </row>
    <row r="165" spans="1:27" ht="34.5" customHeight="1" x14ac:dyDescent="0.2">
      <c r="A165" s="398"/>
      <c r="B165" s="381"/>
      <c r="C165" s="378"/>
      <c r="D165" s="668"/>
      <c r="E165" s="671"/>
      <c r="F165" s="1769"/>
      <c r="G165" s="179"/>
      <c r="H165" s="383"/>
      <c r="I165" s="1515"/>
      <c r="J165" s="77"/>
      <c r="K165" s="116"/>
      <c r="L165" s="72"/>
      <c r="M165" s="77"/>
      <c r="N165" s="116"/>
      <c r="O165" s="72"/>
      <c r="P165" s="140"/>
      <c r="Q165" s="116"/>
      <c r="R165" s="72"/>
      <c r="S165" s="53"/>
      <c r="T165" s="95"/>
      <c r="U165" s="1501"/>
      <c r="V165" s="288"/>
      <c r="W165" s="1955"/>
    </row>
    <row r="166" spans="1:27" ht="34.5" customHeight="1" x14ac:dyDescent="0.2">
      <c r="A166" s="380"/>
      <c r="B166" s="381"/>
      <c r="C166" s="484"/>
      <c r="D166" s="678" t="s">
        <v>17</v>
      </c>
      <c r="E166" s="678"/>
      <c r="F166" s="1459" t="s">
        <v>694</v>
      </c>
      <c r="G166" s="192"/>
      <c r="H166" s="383"/>
      <c r="I166" s="1515"/>
      <c r="J166" s="1475"/>
      <c r="K166" s="1467"/>
      <c r="L166" s="1477"/>
      <c r="M166" s="1475"/>
      <c r="N166" s="1467"/>
      <c r="O166" s="1477"/>
      <c r="P166" s="1476"/>
      <c r="Q166" s="1467"/>
      <c r="R166" s="1477"/>
      <c r="S166" s="1487" t="s">
        <v>118</v>
      </c>
      <c r="T166" s="1595" t="s">
        <v>745</v>
      </c>
      <c r="U166" s="240">
        <v>22</v>
      </c>
      <c r="V166" s="32">
        <v>22</v>
      </c>
      <c r="W166" s="1955"/>
    </row>
    <row r="167" spans="1:27" s="17" customFormat="1" ht="34.5" customHeight="1" x14ac:dyDescent="0.2">
      <c r="A167" s="1468"/>
      <c r="B167" s="1482"/>
      <c r="C167" s="90"/>
      <c r="D167" s="666" t="s">
        <v>19</v>
      </c>
      <c r="E167" s="666"/>
      <c r="F167" s="1768" t="s">
        <v>621</v>
      </c>
      <c r="G167" s="192"/>
      <c r="H167" s="1490"/>
      <c r="I167" s="1926"/>
      <c r="J167" s="1983"/>
      <c r="K167" s="1928"/>
      <c r="L167" s="1477"/>
      <c r="M167" s="1983"/>
      <c r="N167" s="1928"/>
      <c r="O167" s="1993"/>
      <c r="P167" s="1984"/>
      <c r="Q167" s="1928"/>
      <c r="R167" s="1993"/>
      <c r="S167" s="168" t="s">
        <v>211</v>
      </c>
      <c r="T167" s="1645" t="s">
        <v>746</v>
      </c>
      <c r="U167" s="58"/>
      <c r="V167" s="19"/>
      <c r="W167" s="1955"/>
    </row>
    <row r="168" spans="1:27" s="17" customFormat="1" ht="34.5" customHeight="1" x14ac:dyDescent="0.2">
      <c r="A168" s="1468"/>
      <c r="B168" s="1482"/>
      <c r="C168" s="90"/>
      <c r="D168" s="666"/>
      <c r="E168" s="666"/>
      <c r="F168" s="1769"/>
      <c r="G168" s="192"/>
      <c r="H168" s="1490"/>
      <c r="I168" s="1926"/>
      <c r="J168" s="1983"/>
      <c r="K168" s="1928"/>
      <c r="L168" s="1477"/>
      <c r="M168" s="1983"/>
      <c r="N168" s="1928"/>
      <c r="O168" s="1993"/>
      <c r="P168" s="1984"/>
      <c r="Q168" s="1928"/>
      <c r="R168" s="1993"/>
      <c r="S168" s="168" t="s">
        <v>145</v>
      </c>
      <c r="T168" s="26">
        <v>20</v>
      </c>
      <c r="U168" s="58"/>
      <c r="V168" s="19"/>
      <c r="W168" s="1955"/>
    </row>
    <row r="169" spans="1:27" s="17" customFormat="1" ht="34.5" customHeight="1" x14ac:dyDescent="0.2">
      <c r="A169" s="1457"/>
      <c r="B169" s="1482"/>
      <c r="C169" s="1214"/>
      <c r="D169" s="679" t="s">
        <v>21</v>
      </c>
      <c r="E169" s="679"/>
      <c r="F169" s="29" t="s">
        <v>613</v>
      </c>
      <c r="G169" s="383"/>
      <c r="H169" s="383"/>
      <c r="I169" s="1515"/>
      <c r="J169" s="1475"/>
      <c r="K169" s="1467"/>
      <c r="L169" s="1477"/>
      <c r="M169" s="1475"/>
      <c r="N169" s="1467"/>
      <c r="O169" s="1477"/>
      <c r="P169" s="1476"/>
      <c r="Q169" s="1467"/>
      <c r="R169" s="1477"/>
      <c r="S169" s="1534" t="s">
        <v>244</v>
      </c>
      <c r="T169" s="26">
        <v>3</v>
      </c>
      <c r="U169" s="58"/>
      <c r="V169" s="19"/>
      <c r="W169" s="1955"/>
      <c r="Y169" s="104"/>
      <c r="Z169" s="104"/>
      <c r="AA169" s="1463"/>
    </row>
    <row r="170" spans="1:27" s="17" customFormat="1" ht="34.5" customHeight="1" x14ac:dyDescent="0.2">
      <c r="A170" s="1507"/>
      <c r="B170" s="1518"/>
      <c r="C170" s="1533"/>
      <c r="D170" s="1660" t="s">
        <v>22</v>
      </c>
      <c r="E170" s="1660"/>
      <c r="F170" s="1977" t="s">
        <v>725</v>
      </c>
      <c r="G170" s="903"/>
      <c r="H170" s="1517"/>
      <c r="I170" s="1016"/>
      <c r="J170" s="1511"/>
      <c r="K170" s="1509"/>
      <c r="L170" s="1512"/>
      <c r="M170" s="1511"/>
      <c r="N170" s="1509"/>
      <c r="O170" s="1510"/>
      <c r="P170" s="1512"/>
      <c r="Q170" s="1509"/>
      <c r="R170" s="1512"/>
      <c r="S170" s="1979" t="s">
        <v>726</v>
      </c>
      <c r="T170" s="1595">
        <v>1</v>
      </c>
      <c r="U170" s="5"/>
      <c r="V170" s="595"/>
      <c r="W170" s="1955"/>
      <c r="Y170" s="104"/>
      <c r="Z170" s="104"/>
      <c r="AA170" s="1508"/>
    </row>
    <row r="171" spans="1:27" ht="16.5" customHeight="1" thickBot="1" x14ac:dyDescent="0.25">
      <c r="A171" s="380"/>
      <c r="B171" s="381"/>
      <c r="C171" s="478"/>
      <c r="D171" s="1661"/>
      <c r="E171" s="1661"/>
      <c r="F171" s="1978"/>
      <c r="G171" s="1788" t="s">
        <v>51</v>
      </c>
      <c r="H171" s="1788"/>
      <c r="I171" s="1915"/>
      <c r="J171" s="66">
        <f>SUM(J163:J169)</f>
        <v>332.3</v>
      </c>
      <c r="K171" s="111">
        <f>SUM(K163:K169)</f>
        <v>386.3</v>
      </c>
      <c r="L171" s="111">
        <f>SUM(L163:L169)</f>
        <v>54</v>
      </c>
      <c r="M171" s="66">
        <f t="shared" ref="M171:P171" si="30">SUM(M163:M169)</f>
        <v>293.5</v>
      </c>
      <c r="N171" s="111">
        <f t="shared" ref="N171:O171" si="31">SUM(N163:N169)</f>
        <v>293.5</v>
      </c>
      <c r="O171" s="437">
        <f t="shared" si="31"/>
        <v>0</v>
      </c>
      <c r="P171" s="269">
        <f t="shared" si="30"/>
        <v>330.1</v>
      </c>
      <c r="Q171" s="111">
        <f t="shared" ref="Q171:R171" si="32">SUM(Q163:Q169)</f>
        <v>330.1</v>
      </c>
      <c r="R171" s="269">
        <f t="shared" si="32"/>
        <v>0</v>
      </c>
      <c r="S171" s="1980"/>
      <c r="T171" s="1662"/>
      <c r="U171" s="332"/>
      <c r="V171" s="483"/>
      <c r="W171" s="1982"/>
    </row>
    <row r="172" spans="1:27" ht="15.75" customHeight="1" thickBot="1" x14ac:dyDescent="0.25">
      <c r="A172" s="485" t="s">
        <v>17</v>
      </c>
      <c r="B172" s="486" t="s">
        <v>14</v>
      </c>
      <c r="C172" s="1751" t="s">
        <v>20</v>
      </c>
      <c r="D172" s="1752"/>
      <c r="E172" s="1752"/>
      <c r="F172" s="1752"/>
      <c r="G172" s="1752"/>
      <c r="H172" s="1752"/>
      <c r="I172" s="1890"/>
      <c r="J172" s="806">
        <f t="shared" ref="J172:R172" si="33">J162+J152+J136+J171+J108</f>
        <v>4457.1000000000004</v>
      </c>
      <c r="K172" s="807">
        <f t="shared" si="33"/>
        <v>4500.1000000000004</v>
      </c>
      <c r="L172" s="807">
        <f t="shared" si="33"/>
        <v>43</v>
      </c>
      <c r="M172" s="806">
        <f t="shared" si="33"/>
        <v>9740.2000000000007</v>
      </c>
      <c r="N172" s="807">
        <f t="shared" si="33"/>
        <v>9740.2000000000007</v>
      </c>
      <c r="O172" s="843">
        <f t="shared" si="33"/>
        <v>0</v>
      </c>
      <c r="P172" s="808">
        <f t="shared" si="33"/>
        <v>10602.7</v>
      </c>
      <c r="Q172" s="807">
        <f t="shared" si="33"/>
        <v>10602.7</v>
      </c>
      <c r="R172" s="808">
        <f t="shared" si="33"/>
        <v>0</v>
      </c>
      <c r="S172" s="443"/>
      <c r="T172" s="444"/>
      <c r="U172" s="444"/>
      <c r="V172" s="444"/>
      <c r="W172" s="445"/>
    </row>
    <row r="173" spans="1:27" ht="17.25" customHeight="1" thickBot="1" x14ac:dyDescent="0.25">
      <c r="A173" s="380" t="s">
        <v>17</v>
      </c>
      <c r="B173" s="442" t="s">
        <v>17</v>
      </c>
      <c r="C173" s="1760" t="s">
        <v>69</v>
      </c>
      <c r="D173" s="1761"/>
      <c r="E173" s="1761"/>
      <c r="F173" s="1761"/>
      <c r="G173" s="1761"/>
      <c r="H173" s="1761"/>
      <c r="I173" s="1761"/>
      <c r="J173" s="1761"/>
      <c r="K173" s="1761"/>
      <c r="L173" s="1761"/>
      <c r="M173" s="1761"/>
      <c r="N173" s="1761"/>
      <c r="O173" s="1761"/>
      <c r="P173" s="1761"/>
      <c r="Q173" s="1761"/>
      <c r="R173" s="1761"/>
      <c r="S173" s="1761"/>
      <c r="T173" s="1761"/>
      <c r="U173" s="1761"/>
      <c r="V173" s="1761"/>
      <c r="W173" s="1762"/>
    </row>
    <row r="174" spans="1:27" ht="15.75" customHeight="1" x14ac:dyDescent="0.2">
      <c r="A174" s="487" t="s">
        <v>17</v>
      </c>
      <c r="B174" s="488" t="s">
        <v>17</v>
      </c>
      <c r="C174" s="450" t="s">
        <v>14</v>
      </c>
      <c r="D174" s="652"/>
      <c r="E174" s="652"/>
      <c r="F174" s="1790" t="s">
        <v>180</v>
      </c>
      <c r="G174" s="1474"/>
      <c r="H174" s="420">
        <v>2</v>
      </c>
      <c r="I174" s="490" t="s">
        <v>15</v>
      </c>
      <c r="J174" s="76">
        <v>44</v>
      </c>
      <c r="K174" s="175">
        <v>44</v>
      </c>
      <c r="L174" s="246"/>
      <c r="M174" s="1315">
        <v>17.2</v>
      </c>
      <c r="N174" s="1315">
        <v>17.2</v>
      </c>
      <c r="O174" s="1372"/>
      <c r="P174" s="76"/>
      <c r="Q174" s="175"/>
      <c r="R174" s="246"/>
      <c r="S174" s="146" t="s">
        <v>118</v>
      </c>
      <c r="T174" s="887">
        <v>8</v>
      </c>
      <c r="U174" s="616">
        <v>4</v>
      </c>
      <c r="V174" s="491"/>
      <c r="W174" s="491"/>
    </row>
    <row r="175" spans="1:27" ht="17.25" customHeight="1" thickBot="1" x14ac:dyDescent="0.25">
      <c r="A175" s="492"/>
      <c r="B175" s="401"/>
      <c r="C175" s="416"/>
      <c r="D175" s="649"/>
      <c r="E175" s="649"/>
      <c r="F175" s="1786"/>
      <c r="G175" s="1470"/>
      <c r="H175" s="417"/>
      <c r="I175" s="16" t="s">
        <v>16</v>
      </c>
      <c r="J175" s="66">
        <f t="shared" ref="J175:M175" si="34">J174</f>
        <v>44</v>
      </c>
      <c r="K175" s="111">
        <f t="shared" ref="K175" si="35">K174</f>
        <v>44</v>
      </c>
      <c r="L175" s="437"/>
      <c r="M175" s="1341">
        <f t="shared" si="34"/>
        <v>17.2</v>
      </c>
      <c r="N175" s="1341">
        <f t="shared" ref="N175:O175" si="36">N174</f>
        <v>17.2</v>
      </c>
      <c r="O175" s="269">
        <f t="shared" si="36"/>
        <v>0</v>
      </c>
      <c r="P175" s="66"/>
      <c r="Q175" s="111"/>
      <c r="R175" s="437"/>
      <c r="S175" s="201" t="s">
        <v>184</v>
      </c>
      <c r="T175" s="888">
        <v>586</v>
      </c>
      <c r="U175" s="617">
        <v>235</v>
      </c>
      <c r="V175" s="481"/>
      <c r="W175" s="481"/>
    </row>
    <row r="176" spans="1:27" ht="16.5" customHeight="1" x14ac:dyDescent="0.2">
      <c r="A176" s="407" t="s">
        <v>17</v>
      </c>
      <c r="B176" s="408" t="s">
        <v>17</v>
      </c>
      <c r="C176" s="681" t="s">
        <v>17</v>
      </c>
      <c r="D176" s="656"/>
      <c r="E176" s="652"/>
      <c r="F176" s="83" t="s">
        <v>84</v>
      </c>
      <c r="G176" s="891"/>
      <c r="H176" s="420">
        <v>2</v>
      </c>
      <c r="I176" s="411" t="s">
        <v>15</v>
      </c>
      <c r="J176" s="142">
        <v>77.2</v>
      </c>
      <c r="K176" s="143">
        <v>77.2</v>
      </c>
      <c r="L176" s="247"/>
      <c r="M176" s="1347">
        <v>72.5</v>
      </c>
      <c r="N176" s="1347">
        <v>72.5</v>
      </c>
      <c r="O176" s="152"/>
      <c r="P176" s="142"/>
      <c r="Q176" s="143"/>
      <c r="R176" s="247"/>
      <c r="S176" s="1196"/>
      <c r="T176" s="411"/>
      <c r="U176" s="453"/>
      <c r="V176" s="454"/>
      <c r="W176" s="454"/>
    </row>
    <row r="177" spans="1:25" s="17" customFormat="1" ht="18" customHeight="1" x14ac:dyDescent="0.2">
      <c r="A177" s="1457"/>
      <c r="B177" s="1482"/>
      <c r="C177" s="2"/>
      <c r="D177" s="894" t="s">
        <v>14</v>
      </c>
      <c r="E177" s="680"/>
      <c r="F177" s="1768" t="s">
        <v>88</v>
      </c>
      <c r="G177" s="892"/>
      <c r="H177" s="1490"/>
      <c r="I177" s="1471"/>
      <c r="J177" s="77"/>
      <c r="K177" s="116"/>
      <c r="L177" s="72"/>
      <c r="M177" s="1102"/>
      <c r="N177" s="1102"/>
      <c r="O177" s="140"/>
      <c r="P177" s="77"/>
      <c r="Q177" s="116"/>
      <c r="R177" s="72"/>
      <c r="S177" s="526" t="s">
        <v>118</v>
      </c>
      <c r="T177" s="26">
        <v>31</v>
      </c>
      <c r="U177" s="58">
        <v>6</v>
      </c>
      <c r="V177" s="19"/>
      <c r="W177" s="19"/>
      <c r="X177" s="31"/>
    </row>
    <row r="178" spans="1:25" s="17" customFormat="1" ht="14.25" customHeight="1" x14ac:dyDescent="0.2">
      <c r="A178" s="1457"/>
      <c r="B178" s="1482"/>
      <c r="C178" s="2"/>
      <c r="D178" s="655"/>
      <c r="E178" s="667"/>
      <c r="F178" s="1791"/>
      <c r="G178" s="892"/>
      <c r="H178" s="1490"/>
      <c r="I178" s="1471"/>
      <c r="J178" s="77"/>
      <c r="K178" s="116"/>
      <c r="L178" s="72"/>
      <c r="M178" s="1102"/>
      <c r="N178" s="1102"/>
      <c r="O178" s="140"/>
      <c r="P178" s="77"/>
      <c r="Q178" s="116"/>
      <c r="R178" s="72"/>
      <c r="S178" s="526" t="s">
        <v>66</v>
      </c>
      <c r="T178" s="8">
        <v>39</v>
      </c>
      <c r="U178" s="240">
        <v>9</v>
      </c>
      <c r="V178" s="1480"/>
      <c r="W178" s="1480"/>
      <c r="X178" s="1792"/>
      <c r="Y178" s="1793"/>
    </row>
    <row r="179" spans="1:25" s="17" customFormat="1" ht="43.5" customHeight="1" x14ac:dyDescent="0.2">
      <c r="A179" s="1457"/>
      <c r="B179" s="1482"/>
      <c r="C179" s="2"/>
      <c r="D179" s="894" t="s">
        <v>17</v>
      </c>
      <c r="E179" s="894"/>
      <c r="F179" s="1462" t="s">
        <v>695</v>
      </c>
      <c r="G179" s="892"/>
      <c r="H179" s="1490"/>
      <c r="I179" s="1471"/>
      <c r="J179" s="1333"/>
      <c r="K179" s="115"/>
      <c r="L179" s="103"/>
      <c r="M179" s="1376"/>
      <c r="N179" s="115"/>
      <c r="O179" s="1376"/>
      <c r="P179" s="1333"/>
      <c r="Q179" s="115"/>
      <c r="R179" s="103"/>
      <c r="S179" s="517" t="s">
        <v>212</v>
      </c>
      <c r="T179" s="26">
        <v>5</v>
      </c>
      <c r="U179" s="58">
        <v>50</v>
      </c>
      <c r="V179" s="33"/>
      <c r="W179" s="33"/>
      <c r="X179" s="1792"/>
      <c r="Y179" s="1793"/>
    </row>
    <row r="180" spans="1:25" s="17" customFormat="1" ht="15.75" customHeight="1" x14ac:dyDescent="0.2">
      <c r="A180" s="1457"/>
      <c r="B180" s="1482"/>
      <c r="C180" s="2"/>
      <c r="D180" s="657"/>
      <c r="E180" s="655"/>
      <c r="F180" s="1459" t="s">
        <v>251</v>
      </c>
      <c r="G180" s="892"/>
      <c r="H180" s="1490"/>
      <c r="I180" s="95"/>
      <c r="J180" s="253"/>
      <c r="K180" s="1486"/>
      <c r="L180" s="45"/>
      <c r="M180" s="1321"/>
      <c r="N180" s="1486"/>
      <c r="O180" s="1321"/>
      <c r="P180" s="253"/>
      <c r="Q180" s="1486"/>
      <c r="R180" s="45"/>
      <c r="S180" s="48" t="s">
        <v>128</v>
      </c>
      <c r="T180" s="27">
        <v>1</v>
      </c>
      <c r="U180" s="56">
        <v>10</v>
      </c>
      <c r="V180" s="20"/>
      <c r="W180" s="20"/>
      <c r="X180" s="1792"/>
      <c r="Y180" s="1793"/>
    </row>
    <row r="181" spans="1:25" s="17" customFormat="1" ht="15" customHeight="1" x14ac:dyDescent="0.2">
      <c r="A181" s="1457"/>
      <c r="B181" s="1482"/>
      <c r="C181" s="2"/>
      <c r="D181" s="657"/>
      <c r="E181" s="655"/>
      <c r="F181" s="87" t="s">
        <v>249</v>
      </c>
      <c r="G181" s="892"/>
      <c r="H181" s="1489">
        <v>1</v>
      </c>
      <c r="I181" s="93" t="s">
        <v>15</v>
      </c>
      <c r="J181" s="939">
        <v>158</v>
      </c>
      <c r="K181" s="1485">
        <v>158</v>
      </c>
      <c r="L181" s="42"/>
      <c r="M181" s="127">
        <f>252.8-80</f>
        <v>172.8</v>
      </c>
      <c r="N181" s="1485">
        <f>252.8-80</f>
        <v>172.8</v>
      </c>
      <c r="O181" s="127"/>
      <c r="P181" s="939">
        <f>185.5-30+104</f>
        <v>259.5</v>
      </c>
      <c r="Q181" s="1485">
        <f>185.5-30+104</f>
        <v>259.5</v>
      </c>
      <c r="R181" s="42"/>
      <c r="S181" s="168" t="s">
        <v>118</v>
      </c>
      <c r="T181" s="26">
        <v>10</v>
      </c>
      <c r="U181" s="593">
        <v>11</v>
      </c>
      <c r="V181" s="19">
        <v>12</v>
      </c>
      <c r="W181" s="19"/>
      <c r="X181" s="1792"/>
      <c r="Y181" s="1793"/>
    </row>
    <row r="182" spans="1:25" s="17" customFormat="1" ht="15.75" customHeight="1" x14ac:dyDescent="0.2">
      <c r="A182" s="1457"/>
      <c r="B182" s="1482"/>
      <c r="C182" s="2"/>
      <c r="D182" s="657"/>
      <c r="E182" s="667"/>
      <c r="F182" s="1768" t="s">
        <v>696</v>
      </c>
      <c r="G182" s="892"/>
      <c r="H182" s="1490"/>
      <c r="I182" s="1471"/>
      <c r="J182" s="1475"/>
      <c r="K182" s="1467"/>
      <c r="L182" s="1477"/>
      <c r="M182" s="1476"/>
      <c r="N182" s="1467"/>
      <c r="O182" s="1476"/>
      <c r="P182" s="1475"/>
      <c r="Q182" s="1467"/>
      <c r="R182" s="1477"/>
      <c r="S182" s="47" t="s">
        <v>118</v>
      </c>
      <c r="T182" s="8"/>
      <c r="U182" s="240"/>
      <c r="V182" s="1480">
        <v>52</v>
      </c>
      <c r="W182" s="1480"/>
      <c r="X182" s="1792"/>
      <c r="Y182" s="1793"/>
    </row>
    <row r="183" spans="1:25" s="17" customFormat="1" ht="15.75" customHeight="1" thickBot="1" x14ac:dyDescent="0.25">
      <c r="A183" s="1457"/>
      <c r="B183" s="1482"/>
      <c r="C183" s="2"/>
      <c r="D183" s="657"/>
      <c r="E183" s="667"/>
      <c r="F183" s="1791"/>
      <c r="G183" s="892"/>
      <c r="H183" s="1490"/>
      <c r="I183" s="1084" t="s">
        <v>16</v>
      </c>
      <c r="J183" s="39">
        <f>SUM(J176:J182)</f>
        <v>235.2</v>
      </c>
      <c r="K183" s="113">
        <f>SUM(K176:K182)</f>
        <v>235.2</v>
      </c>
      <c r="L183" s="1343"/>
      <c r="M183" s="40">
        <f t="shared" ref="M183:P183" si="37">SUM(M176:M182)</f>
        <v>245.3</v>
      </c>
      <c r="N183" s="113">
        <f t="shared" ref="N183:O183" si="38">SUM(N176:N182)</f>
        <v>245.3</v>
      </c>
      <c r="O183" s="40">
        <f t="shared" si="38"/>
        <v>0</v>
      </c>
      <c r="P183" s="39">
        <f t="shared" si="37"/>
        <v>259.5</v>
      </c>
      <c r="Q183" s="113">
        <f t="shared" ref="Q183:R183" si="39">SUM(Q176:Q182)</f>
        <v>259.5</v>
      </c>
      <c r="R183" s="1343">
        <f t="shared" si="39"/>
        <v>0</v>
      </c>
      <c r="S183" s="47"/>
      <c r="T183" s="8"/>
      <c r="U183" s="240"/>
      <c r="V183" s="63"/>
      <c r="W183" s="63"/>
    </row>
    <row r="184" spans="1:25" ht="15.75" customHeight="1" thickBot="1" x14ac:dyDescent="0.25">
      <c r="A184" s="441" t="s">
        <v>17</v>
      </c>
      <c r="B184" s="442" t="s">
        <v>17</v>
      </c>
      <c r="C184" s="1751" t="s">
        <v>20</v>
      </c>
      <c r="D184" s="1752"/>
      <c r="E184" s="1752"/>
      <c r="F184" s="1752"/>
      <c r="G184" s="1752"/>
      <c r="H184" s="1752"/>
      <c r="I184" s="1759"/>
      <c r="J184" s="1082">
        <f>+J175+J183</f>
        <v>279.2</v>
      </c>
      <c r="K184" s="1334">
        <f>+K175+K183</f>
        <v>279.2</v>
      </c>
      <c r="L184" s="1348"/>
      <c r="M184" s="1320">
        <f t="shared" ref="M184:R184" si="40">+M175+M183</f>
        <v>262.5</v>
      </c>
      <c r="N184" s="1334">
        <f t="shared" si="40"/>
        <v>262.5</v>
      </c>
      <c r="O184" s="1320">
        <f t="shared" si="40"/>
        <v>0</v>
      </c>
      <c r="P184" s="1082">
        <f t="shared" si="40"/>
        <v>259.5</v>
      </c>
      <c r="Q184" s="1334">
        <f t="shared" si="40"/>
        <v>259.5</v>
      </c>
      <c r="R184" s="1348">
        <f t="shared" si="40"/>
        <v>0</v>
      </c>
      <c r="S184" s="443"/>
      <c r="T184" s="444"/>
      <c r="U184" s="444"/>
      <c r="V184" s="445"/>
      <c r="W184" s="445"/>
    </row>
    <row r="185" spans="1:25" ht="15.75" customHeight="1" thickBot="1" x14ac:dyDescent="0.25">
      <c r="A185" s="441" t="s">
        <v>17</v>
      </c>
      <c r="B185" s="496" t="s">
        <v>19</v>
      </c>
      <c r="C185" s="1760" t="s">
        <v>34</v>
      </c>
      <c r="D185" s="1761"/>
      <c r="E185" s="1761"/>
      <c r="F185" s="1761"/>
      <c r="G185" s="1761"/>
      <c r="H185" s="1761"/>
      <c r="I185" s="1761"/>
      <c r="J185" s="1761"/>
      <c r="K185" s="1761"/>
      <c r="L185" s="1761"/>
      <c r="M185" s="1761"/>
      <c r="N185" s="1761"/>
      <c r="O185" s="1761"/>
      <c r="P185" s="1761"/>
      <c r="Q185" s="1761"/>
      <c r="R185" s="1761"/>
      <c r="S185" s="1761"/>
      <c r="T185" s="1761"/>
      <c r="U185" s="1761"/>
      <c r="V185" s="1761"/>
      <c r="W185" s="1762"/>
    </row>
    <row r="186" spans="1:25" ht="15.75" customHeight="1" x14ac:dyDescent="0.2">
      <c r="A186" s="407" t="s">
        <v>17</v>
      </c>
      <c r="B186" s="408" t="s">
        <v>19</v>
      </c>
      <c r="C186" s="409" t="s">
        <v>14</v>
      </c>
      <c r="D186" s="645"/>
      <c r="E186" s="645"/>
      <c r="F186" s="1763" t="s">
        <v>35</v>
      </c>
      <c r="G186" s="1474"/>
      <c r="H186" s="410">
        <v>6</v>
      </c>
      <c r="I186" s="13" t="s">
        <v>15</v>
      </c>
      <c r="J186" s="1562">
        <v>2143.6999999999998</v>
      </c>
      <c r="K186" s="1561">
        <f>2143.7-10.1-16.4+16.4</f>
        <v>2133.6</v>
      </c>
      <c r="L186" s="1563">
        <f>+K186-J186</f>
        <v>-10.099999999999909</v>
      </c>
      <c r="M186" s="849">
        <v>1897.2</v>
      </c>
      <c r="N186" s="850">
        <v>1897.2</v>
      </c>
      <c r="O186" s="851"/>
      <c r="P186" s="1133">
        <v>1859.2</v>
      </c>
      <c r="Q186" s="850">
        <v>1859.2</v>
      </c>
      <c r="R186" s="851"/>
      <c r="S186" s="497"/>
      <c r="T186" s="411"/>
      <c r="U186" s="453"/>
      <c r="V186" s="454"/>
      <c r="W186" s="1954"/>
    </row>
    <row r="187" spans="1:25" ht="15.75" customHeight="1" x14ac:dyDescent="0.2">
      <c r="A187" s="398"/>
      <c r="B187" s="381"/>
      <c r="C187" s="382"/>
      <c r="D187" s="646"/>
      <c r="E187" s="646"/>
      <c r="F187" s="1764"/>
      <c r="G187" s="1469"/>
      <c r="H187" s="370"/>
      <c r="I187" s="79" t="s">
        <v>98</v>
      </c>
      <c r="J187" s="1564">
        <v>102.5</v>
      </c>
      <c r="K187" s="1136">
        <v>102.5</v>
      </c>
      <c r="L187" s="1565">
        <f>+K187-J187</f>
        <v>0</v>
      </c>
      <c r="M187" s="1132"/>
      <c r="N187" s="1136"/>
      <c r="O187" s="1134"/>
      <c r="P187" s="1377"/>
      <c r="Q187" s="1136"/>
      <c r="R187" s="1134"/>
      <c r="S187" s="461"/>
      <c r="T187" s="388"/>
      <c r="U187" s="459"/>
      <c r="V187" s="460"/>
      <c r="W187" s="1955"/>
    </row>
    <row r="188" spans="1:25" ht="15.75" customHeight="1" x14ac:dyDescent="0.2">
      <c r="A188" s="398"/>
      <c r="B188" s="381"/>
      <c r="C188" s="382"/>
      <c r="D188" s="646"/>
      <c r="E188" s="646"/>
      <c r="F188" s="1764"/>
      <c r="G188" s="1469"/>
      <c r="H188" s="370"/>
      <c r="I188" s="79" t="s">
        <v>18</v>
      </c>
      <c r="J188" s="1566">
        <v>7.4</v>
      </c>
      <c r="K188" s="1615">
        <f>7.4+32.8</f>
        <v>40.199999999999996</v>
      </c>
      <c r="L188" s="1616">
        <f>+K188-J188</f>
        <v>32.799999999999997</v>
      </c>
      <c r="M188" s="1130">
        <v>7.4</v>
      </c>
      <c r="N188" s="1131">
        <v>7.4</v>
      </c>
      <c r="O188" s="1342"/>
      <c r="P188" s="1135">
        <v>7.4</v>
      </c>
      <c r="Q188" s="1131">
        <v>7.4</v>
      </c>
      <c r="R188" s="1342"/>
      <c r="S188" s="461"/>
      <c r="T188" s="388"/>
      <c r="U188" s="459"/>
      <c r="V188" s="460"/>
      <c r="W188" s="1955"/>
    </row>
    <row r="189" spans="1:25" ht="105" customHeight="1" x14ac:dyDescent="0.2">
      <c r="A189" s="398"/>
      <c r="B189" s="381"/>
      <c r="C189" s="456"/>
      <c r="D189" s="672" t="s">
        <v>14</v>
      </c>
      <c r="E189" s="672"/>
      <c r="F189" s="28" t="s">
        <v>697</v>
      </c>
      <c r="G189" s="1580"/>
      <c r="H189" s="370"/>
      <c r="I189" s="1577" t="s">
        <v>715</v>
      </c>
      <c r="J189" s="1586">
        <v>493.4</v>
      </c>
      <c r="K189" s="1575">
        <f>+J189-16.4</f>
        <v>477</v>
      </c>
      <c r="L189" s="1574">
        <f>+K189-J189</f>
        <v>-16.399999999999977</v>
      </c>
      <c r="M189" s="939"/>
      <c r="N189" s="1582"/>
      <c r="O189" s="42"/>
      <c r="P189" s="127"/>
      <c r="Q189" s="1582"/>
      <c r="R189" s="42"/>
      <c r="S189" s="73" t="s">
        <v>186</v>
      </c>
      <c r="T189" s="26">
        <v>16</v>
      </c>
      <c r="U189" s="593">
        <v>15</v>
      </c>
      <c r="V189" s="594">
        <v>15</v>
      </c>
      <c r="W189" s="1976"/>
    </row>
    <row r="190" spans="1:25" s="104" customFormat="1" ht="30.75" customHeight="1" x14ac:dyDescent="0.2">
      <c r="A190" s="398"/>
      <c r="B190" s="381"/>
      <c r="C190" s="456"/>
      <c r="D190" s="653" t="s">
        <v>17</v>
      </c>
      <c r="E190" s="653"/>
      <c r="F190" s="249" t="s">
        <v>86</v>
      </c>
      <c r="G190" s="1469"/>
      <c r="H190" s="370"/>
      <c r="I190" s="14"/>
      <c r="J190" s="1537"/>
      <c r="K190" s="1538"/>
      <c r="L190" s="1539"/>
      <c r="M190" s="1475"/>
      <c r="N190" s="1467"/>
      <c r="O190" s="1477"/>
      <c r="P190" s="1476"/>
      <c r="Q190" s="1467"/>
      <c r="R190" s="1477"/>
      <c r="S190" s="1464" t="s">
        <v>118</v>
      </c>
      <c r="T190" s="15">
        <v>93</v>
      </c>
      <c r="U190" s="596">
        <v>93</v>
      </c>
      <c r="V190" s="597">
        <v>93</v>
      </c>
      <c r="W190" s="1360"/>
    </row>
    <row r="191" spans="1:25" ht="28.5" customHeight="1" x14ac:dyDescent="0.2">
      <c r="A191" s="398"/>
      <c r="B191" s="381"/>
      <c r="C191" s="456"/>
      <c r="D191" s="682" t="s">
        <v>19</v>
      </c>
      <c r="E191" s="672"/>
      <c r="F191" s="249" t="s">
        <v>39</v>
      </c>
      <c r="G191" s="1469"/>
      <c r="H191" s="370"/>
      <c r="I191" s="14"/>
      <c r="J191" s="1537"/>
      <c r="K191" s="1538"/>
      <c r="L191" s="1539"/>
      <c r="M191" s="1475"/>
      <c r="N191" s="1467"/>
      <c r="O191" s="1477"/>
      <c r="P191" s="1476"/>
      <c r="Q191" s="1467"/>
      <c r="R191" s="1477"/>
      <c r="S191" s="1464" t="s">
        <v>187</v>
      </c>
      <c r="T191" s="15">
        <v>30</v>
      </c>
      <c r="U191" s="596">
        <v>30</v>
      </c>
      <c r="V191" s="597">
        <v>30</v>
      </c>
      <c r="W191" s="1360"/>
    </row>
    <row r="192" spans="1:25" ht="29.25" customHeight="1" x14ac:dyDescent="0.2">
      <c r="A192" s="398"/>
      <c r="B192" s="381"/>
      <c r="C192" s="456"/>
      <c r="D192" s="653" t="s">
        <v>21</v>
      </c>
      <c r="E192" s="653"/>
      <c r="F192" s="249" t="s">
        <v>41</v>
      </c>
      <c r="G192" s="1469"/>
      <c r="H192" s="370"/>
      <c r="I192" s="14"/>
      <c r="J192" s="1537"/>
      <c r="K192" s="1538"/>
      <c r="L192" s="1539"/>
      <c r="M192" s="1475"/>
      <c r="N192" s="1467"/>
      <c r="O192" s="1477"/>
      <c r="P192" s="1476"/>
      <c r="Q192" s="1467"/>
      <c r="R192" s="1477"/>
      <c r="S192" s="1464" t="s">
        <v>188</v>
      </c>
      <c r="T192" s="15">
        <v>3</v>
      </c>
      <c r="U192" s="596">
        <v>3</v>
      </c>
      <c r="V192" s="597">
        <v>3</v>
      </c>
      <c r="W192" s="1360"/>
    </row>
    <row r="193" spans="1:25" ht="18" customHeight="1" x14ac:dyDescent="0.2">
      <c r="A193" s="398"/>
      <c r="B193" s="381"/>
      <c r="C193" s="456"/>
      <c r="D193" s="672" t="s">
        <v>22</v>
      </c>
      <c r="E193" s="672"/>
      <c r="F193" s="28" t="s">
        <v>38</v>
      </c>
      <c r="G193" s="1469"/>
      <c r="H193" s="370"/>
      <c r="I193" s="14"/>
      <c r="J193" s="1537"/>
      <c r="K193" s="1538"/>
      <c r="L193" s="1539"/>
      <c r="M193" s="1475"/>
      <c r="N193" s="1467"/>
      <c r="O193" s="1477"/>
      <c r="P193" s="1476"/>
      <c r="Q193" s="1467"/>
      <c r="R193" s="1477"/>
      <c r="S193" s="73" t="s">
        <v>42</v>
      </c>
      <c r="T193" s="26">
        <v>35</v>
      </c>
      <c r="U193" s="593">
        <v>37</v>
      </c>
      <c r="V193" s="594">
        <v>38</v>
      </c>
      <c r="W193" s="1359"/>
      <c r="X193" s="104"/>
      <c r="Y193" s="1494"/>
    </row>
    <row r="194" spans="1:25" ht="30.75" customHeight="1" x14ac:dyDescent="0.2">
      <c r="A194" s="398"/>
      <c r="B194" s="381"/>
      <c r="C194" s="382"/>
      <c r="D194" s="646" t="s">
        <v>96</v>
      </c>
      <c r="E194" s="646"/>
      <c r="F194" s="108" t="s">
        <v>114</v>
      </c>
      <c r="G194" s="1469"/>
      <c r="H194" s="370"/>
      <c r="I194" s="14"/>
      <c r="J194" s="1537"/>
      <c r="K194" s="1538"/>
      <c r="L194" s="1539"/>
      <c r="M194" s="1475"/>
      <c r="N194" s="1467"/>
      <c r="O194" s="1477"/>
      <c r="P194" s="1476"/>
      <c r="Q194" s="1467"/>
      <c r="R194" s="1477"/>
      <c r="S194" s="1452" t="s">
        <v>189</v>
      </c>
      <c r="T194" s="26">
        <v>7</v>
      </c>
      <c r="U194" s="593">
        <v>3</v>
      </c>
      <c r="V194" s="594"/>
      <c r="W194" s="1359"/>
      <c r="X194" s="104"/>
      <c r="Y194" s="1494"/>
    </row>
    <row r="195" spans="1:25" ht="14.25" customHeight="1" x14ac:dyDescent="0.2">
      <c r="A195" s="398"/>
      <c r="B195" s="381"/>
      <c r="C195" s="382"/>
      <c r="D195" s="674" t="s">
        <v>97</v>
      </c>
      <c r="E195" s="674"/>
      <c r="F195" s="1187" t="s">
        <v>40</v>
      </c>
      <c r="G195" s="1469"/>
      <c r="H195" s="370"/>
      <c r="I195" s="14"/>
      <c r="J195" s="1537"/>
      <c r="K195" s="1538"/>
      <c r="L195" s="1539"/>
      <c r="M195" s="1475"/>
      <c r="N195" s="1467"/>
      <c r="O195" s="1477"/>
      <c r="P195" s="1476"/>
      <c r="Q195" s="1467"/>
      <c r="R195" s="1477"/>
      <c r="S195" s="1766" t="s">
        <v>190</v>
      </c>
      <c r="T195" s="8">
        <v>101</v>
      </c>
      <c r="U195" s="239">
        <v>101</v>
      </c>
      <c r="V195" s="595">
        <v>101</v>
      </c>
      <c r="W195" s="7"/>
      <c r="X195" s="104"/>
      <c r="Y195" s="1494"/>
    </row>
    <row r="196" spans="1:25" ht="14.25" customHeight="1" x14ac:dyDescent="0.2">
      <c r="A196" s="398"/>
      <c r="B196" s="381"/>
      <c r="C196" s="382"/>
      <c r="D196" s="675"/>
      <c r="E196" s="675"/>
      <c r="F196" s="238"/>
      <c r="G196" s="1469"/>
      <c r="H196" s="370"/>
      <c r="I196" s="8"/>
      <c r="J196" s="1537"/>
      <c r="K196" s="1538"/>
      <c r="L196" s="1539"/>
      <c r="M196" s="1475"/>
      <c r="N196" s="1467"/>
      <c r="O196" s="1477"/>
      <c r="P196" s="1476"/>
      <c r="Q196" s="1467"/>
      <c r="R196" s="1477"/>
      <c r="S196" s="1767"/>
      <c r="T196" s="8"/>
      <c r="U196" s="239"/>
      <c r="V196" s="595"/>
      <c r="W196" s="7"/>
      <c r="X196" s="104"/>
      <c r="Y196" s="1494"/>
    </row>
    <row r="197" spans="1:25" ht="27" customHeight="1" x14ac:dyDescent="0.2">
      <c r="A197" s="398"/>
      <c r="B197" s="381"/>
      <c r="C197" s="456"/>
      <c r="D197" s="653" t="s">
        <v>267</v>
      </c>
      <c r="E197" s="653"/>
      <c r="F197" s="46" t="s">
        <v>49</v>
      </c>
      <c r="G197" s="22"/>
      <c r="H197" s="41"/>
      <c r="I197" s="8"/>
      <c r="J197" s="1537"/>
      <c r="K197" s="1538"/>
      <c r="L197" s="1539"/>
      <c r="M197" s="1475"/>
      <c r="N197" s="1467"/>
      <c r="O197" s="1477"/>
      <c r="P197" s="1476"/>
      <c r="Q197" s="1467"/>
      <c r="R197" s="1477"/>
      <c r="S197" s="168" t="s">
        <v>118</v>
      </c>
      <c r="T197" s="26">
        <v>14</v>
      </c>
      <c r="U197" s="593">
        <v>10</v>
      </c>
      <c r="V197" s="594">
        <v>5</v>
      </c>
      <c r="W197" s="1359"/>
      <c r="X197" s="1472"/>
      <c r="Y197" s="1494"/>
    </row>
    <row r="198" spans="1:25" ht="29.25" customHeight="1" x14ac:dyDescent="0.2">
      <c r="A198" s="398"/>
      <c r="B198" s="381"/>
      <c r="C198" s="456"/>
      <c r="D198" s="672" t="s">
        <v>268</v>
      </c>
      <c r="E198" s="672"/>
      <c r="F198" s="87" t="s">
        <v>627</v>
      </c>
      <c r="G198" s="22"/>
      <c r="H198" s="41"/>
      <c r="I198" s="8"/>
      <c r="J198" s="1537"/>
      <c r="K198" s="1538"/>
      <c r="L198" s="1539"/>
      <c r="M198" s="1475"/>
      <c r="N198" s="1467"/>
      <c r="O198" s="1477"/>
      <c r="P198" s="1476"/>
      <c r="Q198" s="1467"/>
      <c r="R198" s="1477"/>
      <c r="S198" s="168" t="s">
        <v>118</v>
      </c>
      <c r="T198" s="26"/>
      <c r="U198" s="593"/>
      <c r="V198" s="594">
        <v>1</v>
      </c>
      <c r="W198" s="1359"/>
      <c r="X198" s="1472"/>
      <c r="Y198" s="1494"/>
    </row>
    <row r="199" spans="1:25" ht="30.75" customHeight="1" x14ac:dyDescent="0.2">
      <c r="A199" s="398"/>
      <c r="B199" s="381"/>
      <c r="C199" s="456"/>
      <c r="D199" s="672" t="s">
        <v>5</v>
      </c>
      <c r="E199" s="672"/>
      <c r="F199" s="87" t="s">
        <v>58</v>
      </c>
      <c r="G199" s="22"/>
      <c r="H199" s="41"/>
      <c r="I199" s="8"/>
      <c r="J199" s="1537"/>
      <c r="K199" s="1538"/>
      <c r="L199" s="1539"/>
      <c r="M199" s="1475"/>
      <c r="N199" s="1467"/>
      <c r="O199" s="1477"/>
      <c r="P199" s="1476"/>
      <c r="Q199" s="1467"/>
      <c r="R199" s="1477"/>
      <c r="S199" s="168" t="s">
        <v>118</v>
      </c>
      <c r="T199" s="15">
        <v>10</v>
      </c>
      <c r="U199" s="596">
        <v>10</v>
      </c>
      <c r="V199" s="597">
        <v>10</v>
      </c>
      <c r="W199" s="1360"/>
    </row>
    <row r="200" spans="1:25" ht="18" customHeight="1" x14ac:dyDescent="0.2">
      <c r="A200" s="398"/>
      <c r="B200" s="381"/>
      <c r="C200" s="456"/>
      <c r="D200" s="672" t="s">
        <v>269</v>
      </c>
      <c r="E200" s="672"/>
      <c r="F200" s="1465" t="s">
        <v>79</v>
      </c>
      <c r="G200" s="1501"/>
      <c r="H200" s="41"/>
      <c r="I200" s="8"/>
      <c r="J200" s="1537"/>
      <c r="K200" s="1538"/>
      <c r="L200" s="1539"/>
      <c r="M200" s="1475"/>
      <c r="N200" s="1467"/>
      <c r="O200" s="1477"/>
      <c r="P200" s="1476"/>
      <c r="Q200" s="1467"/>
      <c r="R200" s="1477"/>
      <c r="S200" s="168" t="s">
        <v>118</v>
      </c>
      <c r="T200" s="15">
        <v>12</v>
      </c>
      <c r="U200" s="596">
        <v>6</v>
      </c>
      <c r="V200" s="597">
        <v>6</v>
      </c>
      <c r="W200" s="1360"/>
    </row>
    <row r="201" spans="1:25" ht="27.75" customHeight="1" x14ac:dyDescent="0.2">
      <c r="A201" s="398"/>
      <c r="B201" s="381"/>
      <c r="C201" s="382"/>
      <c r="D201" s="646" t="s">
        <v>270</v>
      </c>
      <c r="E201" s="646"/>
      <c r="F201" s="1768" t="s">
        <v>701</v>
      </c>
      <c r="G201" s="1770" t="s">
        <v>48</v>
      </c>
      <c r="H201" s="370"/>
      <c r="I201" s="1560" t="s">
        <v>715</v>
      </c>
      <c r="J201" s="1567">
        <v>75</v>
      </c>
      <c r="K201" s="1553">
        <f>+J201-10.1</f>
        <v>64.900000000000006</v>
      </c>
      <c r="L201" s="1568">
        <f>+K201-J201</f>
        <v>-10.099999999999994</v>
      </c>
      <c r="M201" s="1475"/>
      <c r="N201" s="1467"/>
      <c r="O201" s="1477"/>
      <c r="P201" s="1476"/>
      <c r="Q201" s="1467"/>
      <c r="R201" s="1477"/>
      <c r="S201" s="1487" t="s">
        <v>192</v>
      </c>
      <c r="T201" s="15">
        <v>2</v>
      </c>
      <c r="U201" s="596">
        <v>2</v>
      </c>
      <c r="V201" s="597">
        <v>2</v>
      </c>
      <c r="W201" s="1774" t="s">
        <v>728</v>
      </c>
    </row>
    <row r="202" spans="1:25" ht="27.75" customHeight="1" x14ac:dyDescent="0.2">
      <c r="A202" s="398"/>
      <c r="B202" s="381"/>
      <c r="C202" s="382"/>
      <c r="D202" s="646"/>
      <c r="E202" s="646"/>
      <c r="F202" s="1769"/>
      <c r="G202" s="1771"/>
      <c r="H202" s="370"/>
      <c r="I202" s="14"/>
      <c r="J202" s="1537"/>
      <c r="K202" s="1538"/>
      <c r="L202" s="1539"/>
      <c r="M202" s="1475"/>
      <c r="N202" s="1467"/>
      <c r="O202" s="1477"/>
      <c r="P202" s="1476"/>
      <c r="Q202" s="1467"/>
      <c r="R202" s="1477"/>
      <c r="S202" s="73" t="s">
        <v>203</v>
      </c>
      <c r="T202" s="27">
        <v>5</v>
      </c>
      <c r="U202" s="5">
        <v>2</v>
      </c>
      <c r="V202" s="598">
        <v>2</v>
      </c>
      <c r="W202" s="1956"/>
    </row>
    <row r="203" spans="1:25" ht="28.5" customHeight="1" x14ac:dyDescent="0.2">
      <c r="A203" s="398"/>
      <c r="B203" s="381"/>
      <c r="C203" s="382"/>
      <c r="D203" s="674" t="s">
        <v>271</v>
      </c>
      <c r="E203" s="674"/>
      <c r="F203" s="230" t="s">
        <v>156</v>
      </c>
      <c r="G203" s="188"/>
      <c r="H203" s="383"/>
      <c r="I203" s="95"/>
      <c r="J203" s="1541"/>
      <c r="K203" s="1543"/>
      <c r="L203" s="45"/>
      <c r="M203" s="253"/>
      <c r="N203" s="1486"/>
      <c r="O203" s="45"/>
      <c r="P203" s="1321"/>
      <c r="Q203" s="1486"/>
      <c r="R203" s="45"/>
      <c r="S203" s="1452" t="s">
        <v>118</v>
      </c>
      <c r="T203" s="27">
        <v>33</v>
      </c>
      <c r="U203" s="5">
        <v>33</v>
      </c>
      <c r="V203" s="598">
        <v>33</v>
      </c>
      <c r="W203" s="1956"/>
    </row>
    <row r="204" spans="1:25" s="1598" customFormat="1" ht="103.5" customHeight="1" x14ac:dyDescent="0.2">
      <c r="A204" s="1587"/>
      <c r="B204" s="1588"/>
      <c r="C204" s="1589"/>
      <c r="D204" s="1590" t="s">
        <v>272</v>
      </c>
      <c r="E204" s="1590"/>
      <c r="F204" s="1977" t="s">
        <v>732</v>
      </c>
      <c r="G204" s="1591"/>
      <c r="H204" s="1592"/>
      <c r="I204" s="1607" t="s">
        <v>731</v>
      </c>
      <c r="J204" s="1608">
        <v>0</v>
      </c>
      <c r="K204" s="1553">
        <v>32.78</v>
      </c>
      <c r="L204" s="1554">
        <v>32.78</v>
      </c>
      <c r="M204" s="1609"/>
      <c r="N204" s="1584"/>
      <c r="O204" s="1593"/>
      <c r="P204" s="1585"/>
      <c r="Q204" s="1584"/>
      <c r="R204" s="1593"/>
      <c r="S204" s="1603" t="s">
        <v>186</v>
      </c>
      <c r="T204" s="1604">
        <v>2</v>
      </c>
      <c r="U204" s="1605"/>
      <c r="V204" s="1606"/>
      <c r="W204" s="1774" t="s">
        <v>737</v>
      </c>
    </row>
    <row r="205" spans="1:25" s="1598" customFormat="1" ht="18.75" customHeight="1" x14ac:dyDescent="0.2">
      <c r="A205" s="1587"/>
      <c r="B205" s="1588"/>
      <c r="C205" s="1589"/>
      <c r="D205" s="1599"/>
      <c r="E205" s="1599"/>
      <c r="F205" s="1981"/>
      <c r="G205" s="1591"/>
      <c r="H205" s="1592"/>
      <c r="I205" s="1610" t="s">
        <v>715</v>
      </c>
      <c r="J205" s="1611">
        <v>0</v>
      </c>
      <c r="K205" s="1612">
        <v>16.399999999999999</v>
      </c>
      <c r="L205" s="1613">
        <f>+K205</f>
        <v>16.399999999999999</v>
      </c>
      <c r="M205" s="1614"/>
      <c r="N205" s="1600"/>
      <c r="O205" s="1601"/>
      <c r="P205" s="1602"/>
      <c r="Q205" s="1600"/>
      <c r="R205" s="1601"/>
      <c r="S205" s="1594"/>
      <c r="T205" s="1595"/>
      <c r="U205" s="1596"/>
      <c r="V205" s="1597"/>
      <c r="W205" s="1956"/>
    </row>
    <row r="206" spans="1:25" ht="14.25" customHeight="1" thickBot="1" x14ac:dyDescent="0.25">
      <c r="A206" s="469"/>
      <c r="B206" s="415"/>
      <c r="C206" s="416"/>
      <c r="D206" s="649"/>
      <c r="E206" s="649"/>
      <c r="F206" s="1978"/>
      <c r="G206" s="1470"/>
      <c r="H206" s="498"/>
      <c r="I206" s="16" t="s">
        <v>16</v>
      </c>
      <c r="J206" s="66">
        <f>SUM(J186:J188)</f>
        <v>2253.6</v>
      </c>
      <c r="K206" s="111">
        <f>SUM(K186:K188)</f>
        <v>2276.2999999999997</v>
      </c>
      <c r="L206" s="1341">
        <f t="shared" ref="L206" si="41">SUM(L186:L188)</f>
        <v>22.700000000000088</v>
      </c>
      <c r="M206" s="66">
        <f t="shared" ref="M206:R206" si="42">SUM(M186:M203)</f>
        <v>1904.6000000000001</v>
      </c>
      <c r="N206" s="111">
        <f t="shared" si="42"/>
        <v>1904.6000000000001</v>
      </c>
      <c r="O206" s="437">
        <f t="shared" si="42"/>
        <v>0</v>
      </c>
      <c r="P206" s="269">
        <f t="shared" si="42"/>
        <v>1866.6000000000001</v>
      </c>
      <c r="Q206" s="111">
        <f t="shared" si="42"/>
        <v>1866.6000000000001</v>
      </c>
      <c r="R206" s="437">
        <f t="shared" si="42"/>
        <v>0</v>
      </c>
      <c r="S206" s="206"/>
      <c r="T206" s="393"/>
      <c r="U206" s="493"/>
      <c r="V206" s="494"/>
      <c r="W206" s="1775"/>
    </row>
    <row r="207" spans="1:25" s="17" customFormat="1" ht="26.25" customHeight="1" x14ac:dyDescent="0.2">
      <c r="A207" s="1776" t="s">
        <v>17</v>
      </c>
      <c r="B207" s="1778" t="s">
        <v>19</v>
      </c>
      <c r="C207" s="2" t="s">
        <v>17</v>
      </c>
      <c r="D207" s="1096"/>
      <c r="E207" s="1097"/>
      <c r="F207" s="1780" t="s">
        <v>625</v>
      </c>
      <c r="G207" s="1781"/>
      <c r="H207" s="1783">
        <v>2</v>
      </c>
      <c r="I207" s="898" t="s">
        <v>15</v>
      </c>
      <c r="J207" s="151">
        <v>31.3</v>
      </c>
      <c r="K207" s="112">
        <v>31.3</v>
      </c>
      <c r="L207" s="38"/>
      <c r="M207" s="1335">
        <v>31.3</v>
      </c>
      <c r="N207" s="112">
        <v>31.3</v>
      </c>
      <c r="O207" s="38"/>
      <c r="P207" s="1378">
        <v>31.3</v>
      </c>
      <c r="Q207" s="112">
        <v>31.3</v>
      </c>
      <c r="R207" s="38"/>
      <c r="S207" s="1785" t="s">
        <v>626</v>
      </c>
      <c r="T207" s="898">
        <v>300</v>
      </c>
      <c r="U207" s="61">
        <v>300</v>
      </c>
      <c r="V207" s="236">
        <v>300</v>
      </c>
      <c r="W207" s="1361"/>
    </row>
    <row r="208" spans="1:25" s="17" customFormat="1" ht="16.5" customHeight="1" thickBot="1" x14ac:dyDescent="0.25">
      <c r="A208" s="1777"/>
      <c r="B208" s="1779"/>
      <c r="C208" s="86"/>
      <c r="D208" s="659"/>
      <c r="E208" s="676"/>
      <c r="F208" s="1773"/>
      <c r="G208" s="1782"/>
      <c r="H208" s="1784"/>
      <c r="I208" s="16" t="s">
        <v>16</v>
      </c>
      <c r="J208" s="1569">
        <f>SUM(J207:J207)</f>
        <v>31.3</v>
      </c>
      <c r="K208" s="113">
        <f>SUM(K207:K207)</f>
        <v>31.3</v>
      </c>
      <c r="L208" s="1343"/>
      <c r="M208" s="39">
        <f t="shared" ref="M208:R208" si="43">SUM(M207:M207)</f>
        <v>31.3</v>
      </c>
      <c r="N208" s="113">
        <f t="shared" si="43"/>
        <v>31.3</v>
      </c>
      <c r="O208" s="1343">
        <f t="shared" si="43"/>
        <v>0</v>
      </c>
      <c r="P208" s="40">
        <f t="shared" si="43"/>
        <v>31.3</v>
      </c>
      <c r="Q208" s="113">
        <f t="shared" si="43"/>
        <v>31.3</v>
      </c>
      <c r="R208" s="1343">
        <f t="shared" si="43"/>
        <v>0</v>
      </c>
      <c r="S208" s="1775"/>
      <c r="T208" s="225"/>
      <c r="U208" s="62"/>
      <c r="V208" s="237"/>
      <c r="W208" s="1362"/>
    </row>
    <row r="209" spans="1:35" ht="39" customHeight="1" x14ac:dyDescent="0.2">
      <c r="A209" s="407" t="s">
        <v>17</v>
      </c>
      <c r="B209" s="408" t="s">
        <v>19</v>
      </c>
      <c r="C209" s="495" t="s">
        <v>19</v>
      </c>
      <c r="D209" s="656"/>
      <c r="E209" s="652"/>
      <c r="F209" s="1957" t="s">
        <v>155</v>
      </c>
      <c r="G209" s="1939" t="s">
        <v>46</v>
      </c>
      <c r="H209" s="138">
        <v>2</v>
      </c>
      <c r="I209" s="13" t="s">
        <v>15</v>
      </c>
      <c r="J209" s="833">
        <v>35</v>
      </c>
      <c r="K209" s="1535">
        <v>20</v>
      </c>
      <c r="L209" s="1536">
        <f>+K209-J209</f>
        <v>-15</v>
      </c>
      <c r="M209" s="1324"/>
      <c r="N209" s="1101"/>
      <c r="O209" s="1344"/>
      <c r="P209" s="834"/>
      <c r="Q209" s="1101"/>
      <c r="R209" s="1344"/>
      <c r="S209" s="146" t="s">
        <v>193</v>
      </c>
      <c r="T209" s="1617" t="s">
        <v>734</v>
      </c>
      <c r="U209" s="453"/>
      <c r="V209" s="454"/>
      <c r="W209" s="1954" t="s">
        <v>738</v>
      </c>
    </row>
    <row r="210" spans="1:35" ht="39" customHeight="1" x14ac:dyDescent="0.2">
      <c r="A210" s="398"/>
      <c r="B210" s="381"/>
      <c r="C210" s="466"/>
      <c r="D210" s="647"/>
      <c r="E210" s="653"/>
      <c r="F210" s="1958"/>
      <c r="G210" s="1940"/>
      <c r="H210" s="137"/>
      <c r="I210" s="14"/>
      <c r="J210" s="837"/>
      <c r="K210" s="1337"/>
      <c r="L210" s="1345"/>
      <c r="M210" s="1336"/>
      <c r="N210" s="1337"/>
      <c r="O210" s="1345"/>
      <c r="P210" s="838"/>
      <c r="Q210" s="1337"/>
      <c r="R210" s="1345"/>
      <c r="S210" s="47"/>
      <c r="T210" s="500"/>
      <c r="U210" s="459"/>
      <c r="V210" s="460"/>
      <c r="W210" s="1955"/>
    </row>
    <row r="211" spans="1:35" ht="30" customHeight="1" thickBot="1" x14ac:dyDescent="0.25">
      <c r="A211" s="469"/>
      <c r="B211" s="415"/>
      <c r="C211" s="499"/>
      <c r="D211" s="660"/>
      <c r="E211" s="663"/>
      <c r="F211" s="1455"/>
      <c r="G211" s="176" t="s">
        <v>206</v>
      </c>
      <c r="H211" s="501"/>
      <c r="I211" s="125" t="s">
        <v>16</v>
      </c>
      <c r="J211" s="150">
        <f t="shared" ref="J211" si="44">+J209</f>
        <v>35</v>
      </c>
      <c r="K211" s="1327">
        <f t="shared" ref="K211:L211" si="45">+K209</f>
        <v>20</v>
      </c>
      <c r="L211" s="1327">
        <f t="shared" si="45"/>
        <v>-15</v>
      </c>
      <c r="M211" s="703"/>
      <c r="N211" s="1327"/>
      <c r="O211" s="1346"/>
      <c r="P211" s="856"/>
      <c r="Q211" s="1327"/>
      <c r="R211" s="1346"/>
      <c r="S211" s="74"/>
      <c r="T211" s="388"/>
      <c r="U211" s="459"/>
      <c r="V211" s="460"/>
      <c r="W211" s="1982"/>
    </row>
    <row r="212" spans="1:35" ht="15" customHeight="1" x14ac:dyDescent="0.2">
      <c r="A212" s="407" t="s">
        <v>17</v>
      </c>
      <c r="B212" s="408" t="s">
        <v>19</v>
      </c>
      <c r="C212" s="450" t="s">
        <v>21</v>
      </c>
      <c r="D212" s="652"/>
      <c r="E212" s="652"/>
      <c r="F212" s="1919" t="s">
        <v>89</v>
      </c>
      <c r="G212" s="84"/>
      <c r="H212" s="138">
        <v>6</v>
      </c>
      <c r="I212" s="105" t="s">
        <v>15</v>
      </c>
      <c r="J212" s="858">
        <v>1856.2</v>
      </c>
      <c r="K212" s="1527">
        <f>1856.2-68.8-14</f>
        <v>1773.4</v>
      </c>
      <c r="L212" s="1544">
        <f>+K212-J212</f>
        <v>-82.799999999999955</v>
      </c>
      <c r="M212" s="756">
        <v>2182.8000000000002</v>
      </c>
      <c r="N212" s="757">
        <v>2182.8000000000002</v>
      </c>
      <c r="O212" s="758"/>
      <c r="P212" s="859">
        <v>2119.9</v>
      </c>
      <c r="Q212" s="757">
        <v>2119.9</v>
      </c>
      <c r="R212" s="758"/>
      <c r="S212" s="1196"/>
      <c r="T212" s="411"/>
      <c r="U212" s="453"/>
      <c r="V212" s="454"/>
      <c r="W212" s="1570"/>
      <c r="X212" s="1473"/>
    </row>
    <row r="213" spans="1:35" ht="15" customHeight="1" x14ac:dyDescent="0.2">
      <c r="A213" s="398"/>
      <c r="B213" s="381"/>
      <c r="C213" s="456"/>
      <c r="D213" s="653"/>
      <c r="E213" s="653"/>
      <c r="F213" s="1840"/>
      <c r="G213" s="106"/>
      <c r="H213" s="137"/>
      <c r="I213" s="121" t="s">
        <v>98</v>
      </c>
      <c r="J213" s="954">
        <v>388.8</v>
      </c>
      <c r="K213" s="162">
        <v>388.8</v>
      </c>
      <c r="L213" s="886">
        <f>+K213-J213</f>
        <v>0</v>
      </c>
      <c r="M213" s="196"/>
      <c r="N213" s="162"/>
      <c r="O213" s="760"/>
      <c r="P213" s="1186"/>
      <c r="Q213" s="162"/>
      <c r="R213" s="760"/>
      <c r="S213" s="1487"/>
      <c r="T213" s="388"/>
      <c r="U213" s="459"/>
      <c r="V213" s="460"/>
      <c r="W213" s="1571"/>
      <c r="X213" s="1473"/>
    </row>
    <row r="214" spans="1:35" ht="15" customHeight="1" x14ac:dyDescent="0.2">
      <c r="A214" s="398"/>
      <c r="B214" s="381"/>
      <c r="C214" s="456"/>
      <c r="D214" s="653"/>
      <c r="E214" s="653"/>
      <c r="F214" s="1441"/>
      <c r="G214" s="106"/>
      <c r="H214" s="137"/>
      <c r="I214" s="938" t="s">
        <v>3</v>
      </c>
      <c r="J214" s="939">
        <v>143</v>
      </c>
      <c r="K214" s="1629">
        <f>143-70</f>
        <v>73</v>
      </c>
      <c r="L214" s="1630">
        <f>+K214-J214</f>
        <v>-70</v>
      </c>
      <c r="M214" s="939">
        <v>127.7</v>
      </c>
      <c r="N214" s="1485">
        <v>127.7</v>
      </c>
      <c r="O214" s="42"/>
      <c r="P214" s="127"/>
      <c r="Q214" s="1485"/>
      <c r="R214" s="42"/>
      <c r="S214" s="1487"/>
      <c r="T214" s="388"/>
      <c r="U214" s="459"/>
      <c r="V214" s="460"/>
      <c r="W214" s="1571"/>
      <c r="X214" s="1473"/>
    </row>
    <row r="215" spans="1:35" ht="15" customHeight="1" x14ac:dyDescent="0.2">
      <c r="A215" s="398"/>
      <c r="B215" s="381"/>
      <c r="C215" s="456"/>
      <c r="D215" s="653"/>
      <c r="E215" s="653"/>
      <c r="F215" s="1619"/>
      <c r="G215" s="106"/>
      <c r="H215" s="1636">
        <v>2</v>
      </c>
      <c r="I215" s="1631" t="s">
        <v>15</v>
      </c>
      <c r="J215" s="1632"/>
      <c r="K215" s="1633">
        <v>14</v>
      </c>
      <c r="L215" s="1632">
        <f>+K215-J215</f>
        <v>14</v>
      </c>
      <c r="M215" s="939"/>
      <c r="N215" s="1622"/>
      <c r="O215" s="42"/>
      <c r="P215" s="127"/>
      <c r="Q215" s="1622"/>
      <c r="R215" s="42"/>
      <c r="S215" s="1621"/>
      <c r="T215" s="388"/>
      <c r="U215" s="459"/>
      <c r="V215" s="460"/>
      <c r="W215" s="1571"/>
      <c r="X215" s="1618"/>
    </row>
    <row r="216" spans="1:35" ht="15" customHeight="1" x14ac:dyDescent="0.2">
      <c r="A216" s="398"/>
      <c r="B216" s="381"/>
      <c r="C216" s="456"/>
      <c r="D216" s="653"/>
      <c r="E216" s="653"/>
      <c r="F216" s="1619"/>
      <c r="G216" s="106"/>
      <c r="H216" s="1635"/>
      <c r="I216" s="1631" t="s">
        <v>3</v>
      </c>
      <c r="J216" s="1634"/>
      <c r="K216" s="1633">
        <v>70</v>
      </c>
      <c r="L216" s="1632">
        <f t="shared" ref="L216" si="46">+K216-J216</f>
        <v>70</v>
      </c>
      <c r="M216" s="939"/>
      <c r="N216" s="1622"/>
      <c r="O216" s="42"/>
      <c r="P216" s="127"/>
      <c r="Q216" s="1622"/>
      <c r="R216" s="42"/>
      <c r="S216" s="1621"/>
      <c r="T216" s="388"/>
      <c r="U216" s="459"/>
      <c r="V216" s="460"/>
      <c r="W216" s="1571"/>
      <c r="X216" s="1618"/>
    </row>
    <row r="217" spans="1:35" s="503" customFormat="1" ht="24.75" customHeight="1" x14ac:dyDescent="0.2">
      <c r="A217" s="398"/>
      <c r="B217" s="381"/>
      <c r="C217" s="466"/>
      <c r="D217" s="1088" t="s">
        <v>14</v>
      </c>
      <c r="E217" s="672"/>
      <c r="F217" s="1581" t="s">
        <v>78</v>
      </c>
      <c r="G217" s="172"/>
      <c r="H217" s="137"/>
      <c r="I217" s="1577" t="s">
        <v>715</v>
      </c>
      <c r="J217" s="1578">
        <v>1722.1</v>
      </c>
      <c r="K217" s="1575">
        <f>+J217-44.8-24</f>
        <v>1653.3</v>
      </c>
      <c r="L217" s="1574">
        <f>+K217-J217</f>
        <v>-68.799999999999955</v>
      </c>
      <c r="M217" s="939"/>
      <c r="N217" s="1551"/>
      <c r="O217" s="42"/>
      <c r="P217" s="127"/>
      <c r="Q217" s="1551"/>
      <c r="R217" s="42"/>
      <c r="S217" s="73" t="s">
        <v>194</v>
      </c>
      <c r="T217" s="211">
        <v>92</v>
      </c>
      <c r="U217" s="54">
        <v>92</v>
      </c>
      <c r="V217" s="256">
        <v>92</v>
      </c>
      <c r="W217" s="1955" t="s">
        <v>729</v>
      </c>
      <c r="X217" s="455"/>
      <c r="Y217" s="502"/>
      <c r="Z217" s="502"/>
      <c r="AA217" s="502"/>
      <c r="AB217" s="502"/>
      <c r="AC217" s="502"/>
      <c r="AD217" s="502"/>
      <c r="AE217" s="502"/>
      <c r="AF217" s="502"/>
      <c r="AG217" s="502"/>
      <c r="AH217" s="502"/>
      <c r="AI217" s="502"/>
    </row>
    <row r="218" spans="1:35" s="503" customFormat="1" ht="30.75" customHeight="1" x14ac:dyDescent="0.2">
      <c r="A218" s="398"/>
      <c r="B218" s="381"/>
      <c r="C218" s="81"/>
      <c r="D218" s="661" t="s">
        <v>17</v>
      </c>
      <c r="E218" s="661"/>
      <c r="F218" s="1748" t="s">
        <v>85</v>
      </c>
      <c r="G218" s="173"/>
      <c r="H218" s="137"/>
      <c r="I218" s="80"/>
      <c r="J218" s="1138"/>
      <c r="K218" s="1139"/>
      <c r="L218" s="1406"/>
      <c r="M218" s="1138"/>
      <c r="N218" s="1139"/>
      <c r="O218" s="1406"/>
      <c r="P218" s="1476"/>
      <c r="Q218" s="1467"/>
      <c r="R218" s="1477"/>
      <c r="S218" s="199" t="s">
        <v>195</v>
      </c>
      <c r="T218" s="1220">
        <v>59</v>
      </c>
      <c r="U218" s="6">
        <v>79</v>
      </c>
      <c r="V218" s="604">
        <v>89</v>
      </c>
      <c r="W218" s="1976"/>
      <c r="X218" s="502"/>
      <c r="Y218" s="502"/>
      <c r="Z218" s="502"/>
      <c r="AA218" s="502"/>
      <c r="AB218" s="502"/>
      <c r="AC218" s="502"/>
      <c r="AD218" s="502"/>
      <c r="AE218" s="502"/>
      <c r="AF218" s="502"/>
      <c r="AG218" s="502"/>
      <c r="AH218" s="502"/>
      <c r="AI218" s="502"/>
    </row>
    <row r="219" spans="1:35" s="503" customFormat="1" ht="29.25" customHeight="1" x14ac:dyDescent="0.2">
      <c r="A219" s="398"/>
      <c r="B219" s="381"/>
      <c r="C219" s="81"/>
      <c r="D219" s="661"/>
      <c r="E219" s="661"/>
      <c r="F219" s="1941"/>
      <c r="G219" s="172"/>
      <c r="H219" s="137"/>
      <c r="I219" s="1140"/>
      <c r="J219" s="1141"/>
      <c r="K219" s="1142"/>
      <c r="L219" s="1143"/>
      <c r="M219" s="1141"/>
      <c r="N219" s="1142"/>
      <c r="O219" s="1143"/>
      <c r="P219" s="1322"/>
      <c r="Q219" s="1142"/>
      <c r="R219" s="1143"/>
      <c r="S219" s="226" t="s">
        <v>196</v>
      </c>
      <c r="T219" s="210">
        <v>20</v>
      </c>
      <c r="U219" s="10">
        <v>10</v>
      </c>
      <c r="V219" s="955"/>
      <c r="W219" s="1363"/>
      <c r="X219" s="502"/>
      <c r="Y219" s="502"/>
      <c r="Z219" s="502"/>
      <c r="AA219" s="502"/>
      <c r="AB219" s="502"/>
      <c r="AC219" s="502"/>
      <c r="AD219" s="502"/>
      <c r="AE219" s="502"/>
      <c r="AF219" s="502"/>
      <c r="AG219" s="502"/>
      <c r="AH219" s="502"/>
      <c r="AI219" s="502"/>
    </row>
    <row r="220" spans="1:35" s="3" customFormat="1" ht="42" customHeight="1" x14ac:dyDescent="0.2">
      <c r="A220" s="1457"/>
      <c r="B220" s="1482"/>
      <c r="C220" s="81"/>
      <c r="D220" s="683" t="s">
        <v>19</v>
      </c>
      <c r="E220" s="683"/>
      <c r="F220" s="1466" t="s">
        <v>698</v>
      </c>
      <c r="G220" s="173"/>
      <c r="H220" s="166"/>
      <c r="I220" s="80"/>
      <c r="J220" s="1540"/>
      <c r="K220" s="1538"/>
      <c r="L220" s="1539"/>
      <c r="M220" s="1405"/>
      <c r="N220" s="630"/>
      <c r="O220" s="1085"/>
      <c r="P220" s="923"/>
      <c r="Q220" s="630"/>
      <c r="R220" s="1085"/>
      <c r="S220" s="199" t="s">
        <v>194</v>
      </c>
      <c r="T220" s="227">
        <v>1</v>
      </c>
      <c r="U220" s="239"/>
      <c r="V220" s="1054"/>
      <c r="W220" s="336"/>
      <c r="X220" s="1"/>
      <c r="Y220" s="1"/>
      <c r="Z220" s="1"/>
      <c r="AA220" s="1"/>
      <c r="AB220" s="1"/>
      <c r="AC220" s="1"/>
      <c r="AD220" s="1"/>
      <c r="AE220" s="1"/>
      <c r="AF220" s="1"/>
      <c r="AG220" s="1"/>
      <c r="AH220" s="1"/>
      <c r="AI220" s="1"/>
    </row>
    <row r="221" spans="1:35" s="503" customFormat="1" ht="33" customHeight="1" x14ac:dyDescent="0.2">
      <c r="A221" s="398"/>
      <c r="B221" s="377"/>
      <c r="C221" s="81"/>
      <c r="D221" s="661" t="s">
        <v>21</v>
      </c>
      <c r="E221" s="661"/>
      <c r="F221" s="1747" t="s">
        <v>700</v>
      </c>
      <c r="G221" s="173"/>
      <c r="H221" s="1579">
        <v>2</v>
      </c>
      <c r="I221" s="1573" t="s">
        <v>715</v>
      </c>
      <c r="J221" s="1574"/>
      <c r="K221" s="1575">
        <v>14</v>
      </c>
      <c r="L221" s="1574">
        <f>+K221-J221</f>
        <v>14</v>
      </c>
      <c r="M221" s="939"/>
      <c r="N221" s="1551"/>
      <c r="O221" s="42"/>
      <c r="P221" s="127"/>
      <c r="Q221" s="1551"/>
      <c r="R221" s="42"/>
      <c r="S221" s="1137" t="s">
        <v>197</v>
      </c>
      <c r="T221" s="221">
        <v>4</v>
      </c>
      <c r="U221" s="593"/>
      <c r="V221" s="464"/>
      <c r="W221" s="1774" t="s">
        <v>739</v>
      </c>
      <c r="X221" s="502"/>
      <c r="Y221" s="502"/>
      <c r="Z221" s="502"/>
      <c r="AA221" s="502"/>
      <c r="AB221" s="502"/>
      <c r="AC221" s="502"/>
      <c r="AD221" s="502"/>
      <c r="AE221" s="502"/>
      <c r="AF221" s="502"/>
      <c r="AG221" s="502"/>
      <c r="AH221" s="502"/>
      <c r="AI221" s="502"/>
    </row>
    <row r="222" spans="1:35" s="503" customFormat="1" ht="33" customHeight="1" x14ac:dyDescent="0.2">
      <c r="A222" s="398"/>
      <c r="B222" s="377"/>
      <c r="C222" s="81"/>
      <c r="D222" s="661"/>
      <c r="E222" s="661"/>
      <c r="F222" s="1748"/>
      <c r="G222" s="173"/>
      <c r="H222" s="137"/>
      <c r="I222" s="1573" t="s">
        <v>730</v>
      </c>
      <c r="J222" s="1576"/>
      <c r="K222" s="1575">
        <v>70</v>
      </c>
      <c r="L222" s="1574">
        <f t="shared" ref="L222" si="47">+K222-J222</f>
        <v>70</v>
      </c>
      <c r="M222" s="939"/>
      <c r="N222" s="1551"/>
      <c r="O222" s="42"/>
      <c r="P222" s="127"/>
      <c r="Q222" s="1551"/>
      <c r="R222" s="42"/>
      <c r="S222" s="1746" t="s">
        <v>262</v>
      </c>
      <c r="T222" s="918">
        <v>2</v>
      </c>
      <c r="U222" s="919">
        <v>2</v>
      </c>
      <c r="V222" s="1504"/>
      <c r="W222" s="1956"/>
      <c r="X222" s="502"/>
      <c r="Y222" s="502"/>
      <c r="Z222" s="502"/>
      <c r="AA222" s="502"/>
      <c r="AB222" s="502"/>
      <c r="AC222" s="502"/>
      <c r="AD222" s="502"/>
      <c r="AE222" s="502"/>
      <c r="AF222" s="502"/>
      <c r="AG222" s="502"/>
      <c r="AH222" s="502"/>
      <c r="AI222" s="502"/>
    </row>
    <row r="223" spans="1:35" s="503" customFormat="1" ht="24" customHeight="1" x14ac:dyDescent="0.2">
      <c r="A223" s="398"/>
      <c r="B223" s="377"/>
      <c r="C223" s="81"/>
      <c r="D223" s="661"/>
      <c r="E223" s="661"/>
      <c r="F223" s="1748"/>
      <c r="G223" s="173"/>
      <c r="H223" s="1579">
        <v>6</v>
      </c>
      <c r="I223" s="1573" t="s">
        <v>715</v>
      </c>
      <c r="J223" s="1574">
        <v>14</v>
      </c>
      <c r="K223" s="1575"/>
      <c r="L223" s="1574">
        <f>+K223-J223</f>
        <v>-14</v>
      </c>
      <c r="M223" s="939"/>
      <c r="N223" s="1572"/>
      <c r="O223" s="42"/>
      <c r="P223" s="127"/>
      <c r="Q223" s="1572"/>
      <c r="R223" s="42"/>
      <c r="S223" s="1746"/>
      <c r="T223" s="8"/>
      <c r="U223" s="239"/>
      <c r="V223" s="1504"/>
      <c r="W223" s="1956"/>
      <c r="X223" s="502"/>
      <c r="Y223" s="502"/>
      <c r="Z223" s="502"/>
      <c r="AA223" s="502"/>
      <c r="AB223" s="502"/>
      <c r="AC223" s="502"/>
      <c r="AD223" s="502"/>
      <c r="AE223" s="502"/>
      <c r="AF223" s="502"/>
      <c r="AG223" s="502"/>
      <c r="AH223" s="502"/>
      <c r="AI223" s="502"/>
    </row>
    <row r="224" spans="1:35" ht="42" customHeight="1" x14ac:dyDescent="0.2">
      <c r="A224" s="398"/>
      <c r="B224" s="377"/>
      <c r="C224" s="81"/>
      <c r="D224" s="661"/>
      <c r="E224" s="661"/>
      <c r="F224" s="1941"/>
      <c r="G224" s="172"/>
      <c r="H224" s="137"/>
      <c r="I224" s="1573" t="s">
        <v>730</v>
      </c>
      <c r="J224" s="1576">
        <v>70</v>
      </c>
      <c r="K224" s="1575"/>
      <c r="L224" s="1574">
        <f t="shared" ref="L224" si="48">+K224-J224</f>
        <v>-70</v>
      </c>
      <c r="M224" s="141"/>
      <c r="N224" s="936"/>
      <c r="O224" s="126"/>
      <c r="P224" s="70"/>
      <c r="Q224" s="936"/>
      <c r="R224" s="126"/>
      <c r="S224" s="226" t="s">
        <v>631</v>
      </c>
      <c r="T224" s="221">
        <v>2</v>
      </c>
      <c r="U224" s="593">
        <v>2</v>
      </c>
      <c r="V224" s="505"/>
      <c r="W224" s="1956"/>
    </row>
    <row r="225" spans="1:30" ht="26.25" customHeight="1" x14ac:dyDescent="0.2">
      <c r="A225" s="398"/>
      <c r="B225" s="381"/>
      <c r="C225" s="81"/>
      <c r="D225" s="684" t="s">
        <v>22</v>
      </c>
      <c r="E225" s="684"/>
      <c r="F225" s="1747" t="s">
        <v>699</v>
      </c>
      <c r="G225" s="173"/>
      <c r="H225" s="1478">
        <v>5</v>
      </c>
      <c r="I225" s="938" t="s">
        <v>15</v>
      </c>
      <c r="J225" s="939">
        <v>237.1</v>
      </c>
      <c r="K225" s="1542">
        <v>237.1</v>
      </c>
      <c r="L225" s="42"/>
      <c r="M225" s="939">
        <v>692.9</v>
      </c>
      <c r="N225" s="1485">
        <v>692.9</v>
      </c>
      <c r="O225" s="42"/>
      <c r="P225" s="127"/>
      <c r="Q225" s="1485"/>
      <c r="R225" s="42"/>
      <c r="S225" s="217" t="s">
        <v>263</v>
      </c>
      <c r="T225" s="227">
        <v>30</v>
      </c>
      <c r="U225" s="5">
        <v>100</v>
      </c>
      <c r="V225" s="287"/>
      <c r="W225" s="1956"/>
      <c r="X225" s="455"/>
    </row>
    <row r="226" spans="1:30" ht="16.5" customHeight="1" x14ac:dyDescent="0.2">
      <c r="A226" s="398"/>
      <c r="B226" s="506"/>
      <c r="C226" s="82"/>
      <c r="D226" s="662"/>
      <c r="E226" s="662"/>
      <c r="F226" s="1748"/>
      <c r="G226" s="173"/>
      <c r="H226" s="1478">
        <v>6</v>
      </c>
      <c r="I226" s="609" t="s">
        <v>98</v>
      </c>
      <c r="J226" s="141">
        <v>5</v>
      </c>
      <c r="K226" s="936">
        <v>5</v>
      </c>
      <c r="L226" s="126"/>
      <c r="M226" s="141"/>
      <c r="N226" s="936"/>
      <c r="O226" s="126"/>
      <c r="P226" s="70"/>
      <c r="Q226" s="936"/>
      <c r="R226" s="126"/>
      <c r="S226" s="1746"/>
      <c r="T226" s="222"/>
      <c r="U226" s="240"/>
      <c r="V226" s="23"/>
      <c r="W226" s="1488"/>
    </row>
    <row r="227" spans="1:30" ht="14.25" customHeight="1" thickBot="1" x14ac:dyDescent="0.25">
      <c r="A227" s="398"/>
      <c r="B227" s="506"/>
      <c r="C227" s="82"/>
      <c r="D227" s="662"/>
      <c r="E227" s="662"/>
      <c r="F227" s="1749"/>
      <c r="G227" s="174"/>
      <c r="H227" s="501"/>
      <c r="I227" s="4" t="s">
        <v>16</v>
      </c>
      <c r="J227" s="66">
        <f>SUM(J212:J226)-J217-J221-J222-J223-J224</f>
        <v>2630.1000000000008</v>
      </c>
      <c r="K227" s="111">
        <f t="shared" ref="K227:L227" si="49">SUM(K212:K226)-K217-K221-K222-K223-K224</f>
        <v>2561.3000000000002</v>
      </c>
      <c r="L227" s="269">
        <f t="shared" si="49"/>
        <v>-68.799999999999955</v>
      </c>
      <c r="M227" s="66">
        <f t="shared" ref="M227:O227" si="50">SUM(M212:M226)</f>
        <v>3003.4</v>
      </c>
      <c r="N227" s="111">
        <f t="shared" si="50"/>
        <v>3003.4</v>
      </c>
      <c r="O227" s="437">
        <f t="shared" si="50"/>
        <v>0</v>
      </c>
      <c r="P227" s="269">
        <f t="shared" ref="P227:Q227" si="51">SUM(P212:P226)</f>
        <v>2119.9</v>
      </c>
      <c r="Q227" s="111">
        <f t="shared" si="51"/>
        <v>2119.9</v>
      </c>
      <c r="R227" s="437">
        <f t="shared" ref="R227" si="52">SUM(R212:R226)</f>
        <v>0</v>
      </c>
      <c r="S227" s="1750"/>
      <c r="T227" s="216"/>
      <c r="U227" s="332"/>
      <c r="V227" s="483"/>
      <c r="W227" s="1492"/>
    </row>
    <row r="228" spans="1:30" s="508" customFormat="1" ht="14.25" customHeight="1" thickBot="1" x14ac:dyDescent="0.25">
      <c r="A228" s="507" t="s">
        <v>17</v>
      </c>
      <c r="B228" s="486" t="s">
        <v>21</v>
      </c>
      <c r="C228" s="1751" t="s">
        <v>20</v>
      </c>
      <c r="D228" s="1752"/>
      <c r="E228" s="1752"/>
      <c r="F228" s="1752"/>
      <c r="G228" s="1752"/>
      <c r="H228" s="1752"/>
      <c r="I228" s="1752"/>
      <c r="J228" s="806">
        <f t="shared" ref="J228:R228" si="53">+J206+J211+J227+J208</f>
        <v>4950.0000000000009</v>
      </c>
      <c r="K228" s="807">
        <f t="shared" si="53"/>
        <v>4888.9000000000005</v>
      </c>
      <c r="L228" s="862">
        <f t="shared" si="53"/>
        <v>-61.099999999999866</v>
      </c>
      <c r="M228" s="806">
        <f t="shared" si="53"/>
        <v>4939.3</v>
      </c>
      <c r="N228" s="807">
        <f t="shared" si="53"/>
        <v>4939.3</v>
      </c>
      <c r="O228" s="843">
        <f t="shared" si="53"/>
        <v>0</v>
      </c>
      <c r="P228" s="808">
        <f t="shared" si="53"/>
        <v>4017.8</v>
      </c>
      <c r="Q228" s="807">
        <f t="shared" si="53"/>
        <v>4017.8</v>
      </c>
      <c r="R228" s="843">
        <f t="shared" si="53"/>
        <v>0</v>
      </c>
      <c r="S228" s="443"/>
      <c r="T228" s="606"/>
      <c r="U228" s="606"/>
      <c r="V228" s="444"/>
      <c r="W228" s="607"/>
    </row>
    <row r="229" spans="1:30" s="344" customFormat="1" ht="14.25" customHeight="1" thickBot="1" x14ac:dyDescent="0.25">
      <c r="A229" s="507" t="s">
        <v>17</v>
      </c>
      <c r="B229" s="1891" t="s">
        <v>6</v>
      </c>
      <c r="C229" s="1892"/>
      <c r="D229" s="1892"/>
      <c r="E229" s="1892"/>
      <c r="F229" s="1892"/>
      <c r="G229" s="1892"/>
      <c r="H229" s="1892"/>
      <c r="I229" s="1892"/>
      <c r="J229" s="1086">
        <f t="shared" ref="J229:R229" si="54">J228+J184+J172</f>
        <v>9686.3000000000011</v>
      </c>
      <c r="K229" s="865">
        <f t="shared" si="54"/>
        <v>9668.2000000000007</v>
      </c>
      <c r="L229" s="863">
        <f t="shared" si="54"/>
        <v>-18.099999999999866</v>
      </c>
      <c r="M229" s="1086">
        <f t="shared" si="54"/>
        <v>14942</v>
      </c>
      <c r="N229" s="865">
        <f t="shared" si="54"/>
        <v>14942</v>
      </c>
      <c r="O229" s="866">
        <f t="shared" si="54"/>
        <v>0</v>
      </c>
      <c r="P229" s="864">
        <f t="shared" si="54"/>
        <v>14880</v>
      </c>
      <c r="Q229" s="865">
        <f t="shared" si="54"/>
        <v>14880</v>
      </c>
      <c r="R229" s="866">
        <f t="shared" si="54"/>
        <v>0</v>
      </c>
      <c r="S229" s="446"/>
      <c r="T229" s="340"/>
      <c r="U229" s="340"/>
      <c r="V229" s="340"/>
      <c r="W229" s="341"/>
      <c r="Y229" s="347"/>
      <c r="AA229" s="347"/>
    </row>
    <row r="230" spans="1:30" s="344" customFormat="1" ht="14.25" customHeight="1" thickBot="1" x14ac:dyDescent="0.25">
      <c r="A230" s="509" t="s">
        <v>5</v>
      </c>
      <c r="B230" s="1753" t="s">
        <v>7</v>
      </c>
      <c r="C230" s="1754"/>
      <c r="D230" s="1754"/>
      <c r="E230" s="1754"/>
      <c r="F230" s="1754"/>
      <c r="G230" s="1754"/>
      <c r="H230" s="1754"/>
      <c r="I230" s="1754"/>
      <c r="J230" s="1087">
        <f t="shared" ref="J230:R230" si="55">J229+J103</f>
        <v>89552.599999999991</v>
      </c>
      <c r="K230" s="869">
        <f t="shared" si="55"/>
        <v>90203.699999999983</v>
      </c>
      <c r="L230" s="867">
        <f t="shared" si="55"/>
        <v>651.09999999999718</v>
      </c>
      <c r="M230" s="1087">
        <f t="shared" si="55"/>
        <v>94542.699999999983</v>
      </c>
      <c r="N230" s="869">
        <f t="shared" si="55"/>
        <v>94542.699999999983</v>
      </c>
      <c r="O230" s="870">
        <f t="shared" si="55"/>
        <v>0</v>
      </c>
      <c r="P230" s="868">
        <f t="shared" si="55"/>
        <v>94064.4</v>
      </c>
      <c r="Q230" s="869">
        <f t="shared" si="55"/>
        <v>94064.4</v>
      </c>
      <c r="R230" s="870">
        <f t="shared" si="55"/>
        <v>0</v>
      </c>
      <c r="S230" s="510"/>
      <c r="T230" s="511"/>
      <c r="U230" s="511"/>
      <c r="V230" s="511"/>
      <c r="W230" s="512"/>
    </row>
    <row r="231" spans="1:30" s="344" customFormat="1" ht="23.25" customHeight="1" thickBot="1" x14ac:dyDescent="0.25">
      <c r="A231" s="1755" t="s">
        <v>0</v>
      </c>
      <c r="B231" s="1755"/>
      <c r="C231" s="1755"/>
      <c r="D231" s="1755"/>
      <c r="E231" s="1755"/>
      <c r="F231" s="1755"/>
      <c r="G231" s="1755"/>
      <c r="H231" s="1755"/>
      <c r="I231" s="1755"/>
      <c r="J231" s="1755"/>
      <c r="K231" s="1755"/>
      <c r="L231" s="1755"/>
      <c r="M231" s="1755"/>
      <c r="N231" s="1755"/>
      <c r="O231" s="1755"/>
      <c r="P231" s="1755"/>
      <c r="Q231" s="1755"/>
      <c r="R231" s="1755"/>
      <c r="S231" s="1144"/>
      <c r="T231" s="1144"/>
      <c r="U231" s="1144"/>
      <c r="V231" s="1144"/>
      <c r="W231" s="1144"/>
    </row>
    <row r="232" spans="1:30" s="344" customFormat="1" ht="77.25" customHeight="1" thickBot="1" x14ac:dyDescent="0.25">
      <c r="A232" s="1930" t="s">
        <v>1</v>
      </c>
      <c r="B232" s="1931"/>
      <c r="C232" s="1931"/>
      <c r="D232" s="1931"/>
      <c r="E232" s="1931"/>
      <c r="F232" s="1931"/>
      <c r="G232" s="1931"/>
      <c r="H232" s="1931"/>
      <c r="I232" s="1932"/>
      <c r="J232" s="329" t="s">
        <v>703</v>
      </c>
      <c r="K232" s="642" t="s">
        <v>707</v>
      </c>
      <c r="L232" s="640" t="s">
        <v>708</v>
      </c>
      <c r="M232" s="329" t="s">
        <v>113</v>
      </c>
      <c r="N232" s="642" t="s">
        <v>718</v>
      </c>
      <c r="O232" s="1379" t="s">
        <v>708</v>
      </c>
      <c r="P232" s="329" t="s">
        <v>265</v>
      </c>
      <c r="Q232" s="642" t="s">
        <v>720</v>
      </c>
      <c r="R232" s="640" t="s">
        <v>708</v>
      </c>
      <c r="S232" s="89"/>
      <c r="T232" s="342"/>
      <c r="U232" s="342"/>
      <c r="V232" s="342"/>
      <c r="W232" s="342"/>
      <c r="Z232" s="347"/>
    </row>
    <row r="233" spans="1:30" s="344" customFormat="1" ht="13.5" customHeight="1" x14ac:dyDescent="0.2">
      <c r="A233" s="1924" t="s">
        <v>24</v>
      </c>
      <c r="B233" s="1925"/>
      <c r="C233" s="1925"/>
      <c r="D233" s="1925"/>
      <c r="E233" s="1925"/>
      <c r="F233" s="1925"/>
      <c r="G233" s="1925"/>
      <c r="H233" s="1925"/>
      <c r="I233" s="1975"/>
      <c r="J233" s="639">
        <f>+J234+J241+J242+J243+J244</f>
        <v>88896.4</v>
      </c>
      <c r="K233" s="643">
        <f>+K234+K241+K242+K243+K244</f>
        <v>89547.499999999985</v>
      </c>
      <c r="L233" s="1323">
        <f>+L234+L241+L242+L243+L244</f>
        <v>651.09999999999854</v>
      </c>
      <c r="M233" s="639">
        <f t="shared" ref="M233:R233" si="56">SUM(M235:M240)</f>
        <v>93904.900000000023</v>
      </c>
      <c r="N233" s="643">
        <f t="shared" si="56"/>
        <v>93904.900000000023</v>
      </c>
      <c r="O233" s="1323">
        <f t="shared" si="56"/>
        <v>0</v>
      </c>
      <c r="P233" s="639">
        <f t="shared" si="56"/>
        <v>94064.400000000009</v>
      </c>
      <c r="Q233" s="643">
        <f t="shared" si="56"/>
        <v>94064.400000000009</v>
      </c>
      <c r="R233" s="641">
        <f t="shared" si="56"/>
        <v>0</v>
      </c>
      <c r="S233" s="89"/>
      <c r="T233" s="342"/>
      <c r="U233" s="342"/>
      <c r="V233" s="342"/>
      <c r="W233" s="1473"/>
    </row>
    <row r="234" spans="1:30" s="344" customFormat="1" ht="13.5" customHeight="1" x14ac:dyDescent="0.2">
      <c r="A234" s="1933" t="s">
        <v>711</v>
      </c>
      <c r="B234" s="1934"/>
      <c r="C234" s="1934"/>
      <c r="D234" s="1934"/>
      <c r="E234" s="1934"/>
      <c r="F234" s="1934"/>
      <c r="G234" s="1934"/>
      <c r="H234" s="1934"/>
      <c r="I234" s="1950"/>
      <c r="J234" s="1353">
        <f t="shared" ref="J234:R234" si="57">SUM(J235:J240)</f>
        <v>87376.8</v>
      </c>
      <c r="K234" s="1367">
        <f t="shared" si="57"/>
        <v>87721.099999999991</v>
      </c>
      <c r="L234" s="1367">
        <f t="shared" si="57"/>
        <v>344.29999999999853</v>
      </c>
      <c r="M234" s="1353">
        <f t="shared" si="57"/>
        <v>93904.900000000023</v>
      </c>
      <c r="N234" s="1408">
        <f t="shared" si="57"/>
        <v>93904.900000000023</v>
      </c>
      <c r="O234" s="1411">
        <f t="shared" si="57"/>
        <v>0</v>
      </c>
      <c r="P234" s="1353">
        <f t="shared" si="57"/>
        <v>94064.400000000009</v>
      </c>
      <c r="Q234" s="1408">
        <f>SUM(Q235:Q240)</f>
        <v>94064.400000000009</v>
      </c>
      <c r="R234" s="1415">
        <f t="shared" si="57"/>
        <v>0</v>
      </c>
      <c r="S234" s="89"/>
      <c r="T234" s="342"/>
      <c r="U234" s="342"/>
      <c r="V234" s="342"/>
      <c r="W234" s="342"/>
    </row>
    <row r="235" spans="1:30" s="344" customFormat="1" ht="14.25" customHeight="1" x14ac:dyDescent="0.2">
      <c r="A235" s="1937" t="s">
        <v>27</v>
      </c>
      <c r="B235" s="1938"/>
      <c r="C235" s="1938"/>
      <c r="D235" s="1938"/>
      <c r="E235" s="1938"/>
      <c r="F235" s="1938"/>
      <c r="G235" s="1938"/>
      <c r="H235" s="1938"/>
      <c r="I235" s="1971"/>
      <c r="J235" s="96">
        <f>SUMIF(I13:I226,"sb",J13:J226)</f>
        <v>38842.700000000004</v>
      </c>
      <c r="K235" s="117">
        <f>SUMIF(I13:I226,"sb",K13:K226)</f>
        <v>39197.500000000007</v>
      </c>
      <c r="L235" s="1317">
        <f>+K235-J235</f>
        <v>354.80000000000291</v>
      </c>
      <c r="M235" s="96">
        <f>SUMIF(I13:I226,"sb",M13:M226)</f>
        <v>42497.300000000017</v>
      </c>
      <c r="N235" s="117">
        <f>SUMIF(I13:I226,"sb",N13:N226)</f>
        <v>42497.300000000017</v>
      </c>
      <c r="O235" s="1317">
        <f>SUMIF(I13:I226,"sb",O13:O226)</f>
        <v>0</v>
      </c>
      <c r="P235" s="96">
        <f>SUMIF(I13:I226,"sb",P13:P226)</f>
        <v>41934.800000000003</v>
      </c>
      <c r="Q235" s="117">
        <f>SUMIF(I13:I226,"sb",Q13:Q226)</f>
        <v>41934.800000000003</v>
      </c>
      <c r="R235" s="129">
        <f>SUMIF(I13:I226,"sb",R13:R226)</f>
        <v>0</v>
      </c>
      <c r="S235" s="163"/>
      <c r="T235" s="342"/>
      <c r="U235" s="342"/>
      <c r="V235" s="342"/>
      <c r="W235" s="342"/>
    </row>
    <row r="236" spans="1:30" s="344" customFormat="1" ht="15.75" customHeight="1" x14ac:dyDescent="0.2">
      <c r="A236" s="1937" t="s">
        <v>32</v>
      </c>
      <c r="B236" s="1938"/>
      <c r="C236" s="1938"/>
      <c r="D236" s="1938"/>
      <c r="E236" s="1938"/>
      <c r="F236" s="1938"/>
      <c r="G236" s="1938"/>
      <c r="H236" s="1938"/>
      <c r="I236" s="1971"/>
      <c r="J236" s="96">
        <f>SUMIF(I13:I226,"sb(sp)",J13:J226)</f>
        <v>5544.9</v>
      </c>
      <c r="K236" s="117">
        <f>SUMIF(I13:I226,"sb(sp)",K13:K226)</f>
        <v>5544.9</v>
      </c>
      <c r="L236" s="1317">
        <f t="shared" ref="L236:L240" si="58">+K236-J236</f>
        <v>0</v>
      </c>
      <c r="M236" s="96">
        <f>SUMIF(I13:I226,"sb(sp)",M13:M226)</f>
        <v>5544.9</v>
      </c>
      <c r="N236" s="117">
        <f>SUMIF(I13:I226,"sb(sp)",N13:N226)</f>
        <v>5544.9</v>
      </c>
      <c r="O236" s="1317">
        <f>SUMIF(I13:I226,"sb(sp)",O13:O226)</f>
        <v>0</v>
      </c>
      <c r="P236" s="96">
        <f>SUMIF(I13:I226,"sb(sp)",P13:P226)</f>
        <v>5544.9</v>
      </c>
      <c r="Q236" s="117">
        <f>SUMIF(I13:I226,"sb(sp)",Q13:Q226)</f>
        <v>5544.9</v>
      </c>
      <c r="R236" s="129">
        <f>SUMIF(I13:I226,"sb(sp)",R13:R226)</f>
        <v>0</v>
      </c>
      <c r="S236" s="88"/>
      <c r="T236" s="342"/>
      <c r="U236" s="342"/>
      <c r="V236" s="342"/>
      <c r="W236" s="342"/>
    </row>
    <row r="237" spans="1:30" s="344" customFormat="1" ht="15.75" customHeight="1" x14ac:dyDescent="0.2">
      <c r="A237" s="1937" t="s">
        <v>215</v>
      </c>
      <c r="B237" s="1938"/>
      <c r="C237" s="1938"/>
      <c r="D237" s="1938"/>
      <c r="E237" s="1938"/>
      <c r="F237" s="1938"/>
      <c r="G237" s="1938"/>
      <c r="H237" s="1938"/>
      <c r="I237" s="1971"/>
      <c r="J237" s="96">
        <f>SUMIF(I13:I226,"sb(p)",J13:J226)</f>
        <v>200</v>
      </c>
      <c r="K237" s="117">
        <f>SUMIF(I13:I226,"sb(p)",K13:K226)</f>
        <v>200</v>
      </c>
      <c r="L237" s="1317">
        <f t="shared" si="58"/>
        <v>0</v>
      </c>
      <c r="M237" s="96">
        <f>SUMIF(I13:I226,"sb(p)",M13:M226)</f>
        <v>2986.5</v>
      </c>
      <c r="N237" s="117">
        <f>SUMIF(I13:I226,"sb(p)",N13:N226)</f>
        <v>2986.5</v>
      </c>
      <c r="O237" s="1317">
        <f>SUMIF(I13:I226,"sb(p)",O13:O226)</f>
        <v>0</v>
      </c>
      <c r="P237" s="96">
        <f>SUMIF(I13:I226,"sb(p)",P13:P226)</f>
        <v>4900</v>
      </c>
      <c r="Q237" s="117">
        <f>SUMIF(I13:I226,"sb(p)",Q13:Q226)</f>
        <v>4900</v>
      </c>
      <c r="R237" s="129">
        <f>SUMIF(I13:I226,"sb(p)",R13:R226)</f>
        <v>0</v>
      </c>
      <c r="S237" s="88"/>
      <c r="T237" s="342"/>
      <c r="U237" s="342"/>
      <c r="V237" s="342"/>
      <c r="W237" s="342"/>
    </row>
    <row r="238" spans="1:30" s="344" customFormat="1" ht="15.75" customHeight="1" x14ac:dyDescent="0.2">
      <c r="A238" s="1937" t="s">
        <v>28</v>
      </c>
      <c r="B238" s="1938"/>
      <c r="C238" s="1938"/>
      <c r="D238" s="1938"/>
      <c r="E238" s="1938"/>
      <c r="F238" s="1938"/>
      <c r="G238" s="1938"/>
      <c r="H238" s="1938"/>
      <c r="I238" s="1971"/>
      <c r="J238" s="97">
        <f>SUMIF(I13:I226,"sb(vb)",J13:J226)</f>
        <v>40729.699999999997</v>
      </c>
      <c r="K238" s="118">
        <f>SUMIF(I13:I226,"sb(vb)",K13:K226)</f>
        <v>40762.499999999993</v>
      </c>
      <c r="L238" s="1317">
        <f t="shared" si="58"/>
        <v>32.799999999995634</v>
      </c>
      <c r="M238" s="97">
        <f>SUMIF(I13:I226,"sb(vb)",M13:M226)</f>
        <v>40920.699999999997</v>
      </c>
      <c r="N238" s="118">
        <f>SUMIF(I13:I226,"sb(vb)",N13:N226)</f>
        <v>40920.699999999997</v>
      </c>
      <c r="O238" s="1380">
        <f>SUMIF(I13:I226,"sb(vb)",O13:O226)</f>
        <v>0</v>
      </c>
      <c r="P238" s="97">
        <f>SUMIF(I13:I226,"sb(vb)",P13:P226)</f>
        <v>41031.5</v>
      </c>
      <c r="Q238" s="118">
        <f>SUMIF(I13:I226,"sb(vb)",Q13:Q226)</f>
        <v>41031.5</v>
      </c>
      <c r="R238" s="154">
        <f>SUMIF(I13:I226,"sb(vb)",R13:R226)</f>
        <v>0</v>
      </c>
      <c r="S238" s="88"/>
      <c r="T238" s="342"/>
      <c r="U238" s="342"/>
      <c r="V238" s="342"/>
      <c r="W238" s="342"/>
      <c r="AA238" s="347"/>
    </row>
    <row r="239" spans="1:30" ht="30" customHeight="1" x14ac:dyDescent="0.2">
      <c r="A239" s="1937" t="s">
        <v>199</v>
      </c>
      <c r="B239" s="1938"/>
      <c r="C239" s="1938"/>
      <c r="D239" s="1938"/>
      <c r="E239" s="1938"/>
      <c r="F239" s="1938"/>
      <c r="G239" s="1938"/>
      <c r="H239" s="1938"/>
      <c r="I239" s="1971"/>
      <c r="J239" s="203">
        <f>SUMIF(I13:I227,"sb(esa)",J13:J227)</f>
        <v>43.3</v>
      </c>
      <c r="K239" s="1355">
        <f>SUMIF(I12:I226,"sb(esa)",K12:K226)</f>
        <v>0</v>
      </c>
      <c r="L239" s="1317">
        <f t="shared" si="58"/>
        <v>-43.3</v>
      </c>
      <c r="M239" s="203">
        <f>SUMIF(I13:I227,"sb(esa)",M13:M227)</f>
        <v>7.7</v>
      </c>
      <c r="N239" s="245">
        <f>SUMIF(I13:I227,"sb(esa)",N13:N227)</f>
        <v>7.7</v>
      </c>
      <c r="O239" s="244">
        <f>SUMIF(I13:I227,"sb(esa)",O13:O227)</f>
        <v>0</v>
      </c>
      <c r="P239" s="203">
        <f>SUMIF(I13:I227,"sb(esa)",P13:P227)</f>
        <v>0</v>
      </c>
      <c r="Q239" s="245">
        <f>SUMIF(I13:I227,"sb(esa)",Q13:Q227)</f>
        <v>0</v>
      </c>
      <c r="R239" s="873">
        <f>SUMIF(I13:I227,"sb(esa)",R13:R227)</f>
        <v>0</v>
      </c>
      <c r="S239" s="88"/>
      <c r="T239" s="342"/>
      <c r="U239" s="342"/>
      <c r="V239" s="342"/>
      <c r="W239" s="342"/>
      <c r="X239" s="344"/>
      <c r="Y239" s="344"/>
      <c r="Z239" s="344"/>
      <c r="AA239" s="344"/>
      <c r="AB239" s="344"/>
      <c r="AC239" s="344"/>
      <c r="AD239" s="344"/>
    </row>
    <row r="240" spans="1:30" ht="28.5" customHeight="1" x14ac:dyDescent="0.2">
      <c r="A240" s="1935" t="s">
        <v>702</v>
      </c>
      <c r="B240" s="1936"/>
      <c r="C240" s="1936"/>
      <c r="D240" s="1936"/>
      <c r="E240" s="1936"/>
      <c r="F240" s="1936"/>
      <c r="G240" s="1936"/>
      <c r="H240" s="1936"/>
      <c r="I240" s="1972"/>
      <c r="J240" s="1354">
        <f>SUMIF(I13:I226,"sb(es)",J13:J226)</f>
        <v>2016.1999999999998</v>
      </c>
      <c r="K240" s="1355">
        <f>SUMIF(I13:I226,"sb(es)",K13:K226)</f>
        <v>2016.1999999999998</v>
      </c>
      <c r="L240" s="1317">
        <f t="shared" si="58"/>
        <v>0</v>
      </c>
      <c r="M240" s="1354">
        <f>SUMIF(I13:I227,"sb(es)",M13:M227)</f>
        <v>1947.8</v>
      </c>
      <c r="N240" s="1355">
        <f>SUMIF(I13:I227,"sb(es)",N13:N227)</f>
        <v>1947.8</v>
      </c>
      <c r="O240" s="1381">
        <f>SUMIF(I13:I227,"sb(es)",O13:O227)</f>
        <v>0</v>
      </c>
      <c r="P240" s="1354">
        <f>SUMIF(I13:I227,"sb(es)",P13:P227)</f>
        <v>653.20000000000005</v>
      </c>
      <c r="Q240" s="117">
        <f>SUMIF(I13:I227,"sb(es)",Q13:Q227)</f>
        <v>653.20000000000005</v>
      </c>
      <c r="R240" s="248">
        <f>SUMIF(I12:I226,"sb(es)",R13:R227)</f>
        <v>0</v>
      </c>
      <c r="S240" s="88"/>
      <c r="T240" s="342"/>
      <c r="U240" s="342"/>
      <c r="V240" s="342"/>
      <c r="W240" s="342"/>
      <c r="X240" s="344"/>
      <c r="Y240" s="344"/>
      <c r="Z240" s="344"/>
      <c r="AA240" s="344"/>
      <c r="AB240" s="344"/>
      <c r="AC240" s="344"/>
      <c r="AD240" s="344"/>
    </row>
    <row r="241" spans="1:30" ht="28.5" customHeight="1" x14ac:dyDescent="0.2">
      <c r="A241" s="1968" t="s">
        <v>709</v>
      </c>
      <c r="B241" s="1969"/>
      <c r="C241" s="1969"/>
      <c r="D241" s="1969"/>
      <c r="E241" s="1969"/>
      <c r="F241" s="1969"/>
      <c r="G241" s="1969"/>
      <c r="H241" s="1969"/>
      <c r="I241" s="1970"/>
      <c r="J241" s="1356">
        <f>SUMIF(I13:I226,"sb(esl)",J13:J226)</f>
        <v>11.399999999999999</v>
      </c>
      <c r="K241" s="1368">
        <f>SUMIF(I13:I226,"sb(esl)",K13:K226)</f>
        <v>11.399999999999999</v>
      </c>
      <c r="L241" s="1370">
        <f>+K241-J241</f>
        <v>0</v>
      </c>
      <c r="M241" s="1356"/>
      <c r="N241" s="1409"/>
      <c r="O241" s="1382"/>
      <c r="P241" s="1356"/>
      <c r="Q241" s="1409"/>
      <c r="R241" s="1357"/>
      <c r="S241" s="88"/>
      <c r="T241" s="342"/>
      <c r="U241" s="342"/>
      <c r="V241" s="342"/>
      <c r="W241" s="342"/>
      <c r="X241" s="344"/>
      <c r="Z241" s="344"/>
      <c r="AA241" s="344"/>
      <c r="AB241" s="344"/>
      <c r="AC241" s="344"/>
      <c r="AD241" s="344"/>
    </row>
    <row r="242" spans="1:30" ht="17.25" customHeight="1" x14ac:dyDescent="0.2">
      <c r="A242" s="1968" t="s">
        <v>99</v>
      </c>
      <c r="B242" s="1969"/>
      <c r="C242" s="1969"/>
      <c r="D242" s="1969"/>
      <c r="E242" s="1969"/>
      <c r="F242" s="1969"/>
      <c r="G242" s="1969"/>
      <c r="H242" s="1969"/>
      <c r="I242" s="1970"/>
      <c r="J242" s="1356">
        <f>SUMIF(I13:I226,"sb(l)",J13:J226)</f>
        <v>1025.2</v>
      </c>
      <c r="K242" s="1368">
        <f>SUMIF(I12:I226,"sb(l)",K12:K226)</f>
        <v>1332</v>
      </c>
      <c r="L242" s="1370">
        <f t="shared" ref="L242:L244" si="59">+K242-J242</f>
        <v>306.79999999999995</v>
      </c>
      <c r="M242" s="1356"/>
      <c r="N242" s="1409"/>
      <c r="O242" s="1382"/>
      <c r="P242" s="1356"/>
      <c r="Q242" s="1409"/>
      <c r="R242" s="1357"/>
      <c r="S242" s="88"/>
      <c r="T242" s="342"/>
      <c r="U242" s="342"/>
      <c r="V242" s="342"/>
      <c r="W242" s="342"/>
      <c r="X242" s="344"/>
      <c r="Y242" s="344"/>
      <c r="Z242" s="344"/>
      <c r="AA242" s="344"/>
      <c r="AB242" s="344"/>
      <c r="AC242" s="344"/>
      <c r="AD242" s="344"/>
    </row>
    <row r="243" spans="1:30" ht="17.25" customHeight="1" x14ac:dyDescent="0.2">
      <c r="A243" s="1968" t="s">
        <v>67</v>
      </c>
      <c r="B243" s="1969"/>
      <c r="C243" s="1969"/>
      <c r="D243" s="1969"/>
      <c r="E243" s="1969"/>
      <c r="F243" s="1969"/>
      <c r="G243" s="1969"/>
      <c r="H243" s="1969"/>
      <c r="I243" s="1970"/>
      <c r="J243" s="1356">
        <f>SUMIF(I13:I230,"sb(spl)",J13:J230)</f>
        <v>482.3</v>
      </c>
      <c r="K243" s="1368">
        <f>SUMIF(I12:I226,"sb(spl)",K12:K226)</f>
        <v>482.3</v>
      </c>
      <c r="L243" s="1370">
        <f t="shared" si="59"/>
        <v>0</v>
      </c>
      <c r="M243" s="1356"/>
      <c r="N243" s="1409"/>
      <c r="O243" s="1382"/>
      <c r="P243" s="1356"/>
      <c r="Q243" s="1409"/>
      <c r="R243" s="1357"/>
      <c r="S243" s="88"/>
      <c r="T243" s="342"/>
      <c r="U243" s="342"/>
      <c r="V243" s="342"/>
      <c r="W243" s="342"/>
      <c r="X243" s="344"/>
      <c r="Y243" s="344"/>
      <c r="Z243" s="344"/>
      <c r="AA243" s="344"/>
      <c r="AB243" s="344"/>
      <c r="AC243" s="344"/>
      <c r="AD243" s="344"/>
    </row>
    <row r="244" spans="1:30" ht="17.25" customHeight="1" thickBot="1" x14ac:dyDescent="0.25">
      <c r="A244" s="1965" t="s">
        <v>710</v>
      </c>
      <c r="B244" s="1966"/>
      <c r="C244" s="1966"/>
      <c r="D244" s="1966"/>
      <c r="E244" s="1966"/>
      <c r="F244" s="1966"/>
      <c r="G244" s="1966"/>
      <c r="H244" s="1966"/>
      <c r="I244" s="1967"/>
      <c r="J244" s="1356">
        <f>SUMIF(I13:I226,"sb(vbl)",J13:J226)</f>
        <v>0.7</v>
      </c>
      <c r="K244" s="1369">
        <f>SUMIF(I12:I226,"sb(vbl)",K12:K226)</f>
        <v>0.7</v>
      </c>
      <c r="L244" s="1369">
        <f t="shared" si="59"/>
        <v>0</v>
      </c>
      <c r="M244" s="1407"/>
      <c r="N244" s="1410"/>
      <c r="O244" s="1383"/>
      <c r="P244" s="1407"/>
      <c r="Q244" s="1410"/>
      <c r="R244" s="1358"/>
      <c r="S244" s="88"/>
      <c r="T244" s="342"/>
      <c r="U244" s="342"/>
      <c r="V244" s="342"/>
      <c r="W244" s="342"/>
      <c r="X244" s="344"/>
      <c r="Y244" s="344"/>
      <c r="Z244" s="344"/>
      <c r="AA244" s="344"/>
      <c r="AB244" s="344"/>
      <c r="AC244" s="344"/>
      <c r="AD244" s="344"/>
    </row>
    <row r="245" spans="1:30" ht="17.25" customHeight="1" thickBot="1" x14ac:dyDescent="0.25">
      <c r="A245" s="1973" t="s">
        <v>25</v>
      </c>
      <c r="B245" s="1754"/>
      <c r="C245" s="1754"/>
      <c r="D245" s="1754"/>
      <c r="E245" s="1754"/>
      <c r="F245" s="1754"/>
      <c r="G245" s="1754"/>
      <c r="H245" s="1754"/>
      <c r="I245" s="1974"/>
      <c r="J245" s="234">
        <f>SUM(J246:J247)</f>
        <v>656.2</v>
      </c>
      <c r="K245" s="1338">
        <f>SUM(K246:K247)</f>
        <v>656.2</v>
      </c>
      <c r="L245" s="1365"/>
      <c r="M245" s="234">
        <f>SUM(M246:M247)</f>
        <v>637.79999999999995</v>
      </c>
      <c r="N245" s="235">
        <f>SUM(N246:N247)</f>
        <v>637.79999999999995</v>
      </c>
      <c r="O245" s="1384">
        <f>SUM(O246:O247)</f>
        <v>0</v>
      </c>
      <c r="P245" s="234">
        <f>SUM(P246:P246)</f>
        <v>0</v>
      </c>
      <c r="Q245" s="235">
        <f>SUM(Q246:Q246)</f>
        <v>0</v>
      </c>
      <c r="R245" s="876">
        <f>SUM(R246:R246)</f>
        <v>0</v>
      </c>
      <c r="S245" s="89"/>
      <c r="T245" s="342"/>
      <c r="U245" s="342"/>
      <c r="V245" s="342"/>
      <c r="W245" s="342"/>
      <c r="X245" s="344"/>
      <c r="Y245" s="344"/>
      <c r="Z245" s="344"/>
      <c r="AA245" s="344"/>
      <c r="AC245" s="344"/>
      <c r="AD245" s="344"/>
    </row>
    <row r="246" spans="1:30" ht="15" customHeight="1" x14ac:dyDescent="0.2">
      <c r="A246" s="1794" t="s">
        <v>105</v>
      </c>
      <c r="B246" s="1795"/>
      <c r="C246" s="1795"/>
      <c r="D246" s="1795"/>
      <c r="E246" s="1795"/>
      <c r="F246" s="1795"/>
      <c r="G246" s="1795"/>
      <c r="H246" s="1795"/>
      <c r="I246" s="1959"/>
      <c r="J246" s="98">
        <f>SUMIF(I13:I226,"lrvb",J13:J226)</f>
        <v>146.80000000000001</v>
      </c>
      <c r="K246" s="1339">
        <f>SUMIF(I13:I226,"lrvb",K13:K226)</f>
        <v>146.80000000000001</v>
      </c>
      <c r="L246" s="1366"/>
      <c r="M246" s="98">
        <f>SUMIF(I13:I226,"lrvb",M13:M226)</f>
        <v>128.4</v>
      </c>
      <c r="N246" s="132">
        <f>SUMIF(I13:I226,"lrvb",N13:N226)</f>
        <v>128.4</v>
      </c>
      <c r="O246" s="1385">
        <f>SUMIF(K13:K226,"lrvb",O13:O226)</f>
        <v>0</v>
      </c>
      <c r="P246" s="98">
        <f>SUMIF(I13:I226,"lrvb",P13:P226)</f>
        <v>0</v>
      </c>
      <c r="Q246" s="132">
        <f>SUMIF(I13:I226,"lrvb",Q13:Q226)</f>
        <v>0</v>
      </c>
      <c r="R246" s="155">
        <f>SUMIF(I13:I226,"lrvb",R13:R226)</f>
        <v>0</v>
      </c>
      <c r="S246" s="88"/>
      <c r="T246" s="342"/>
      <c r="U246" s="342"/>
      <c r="V246" s="342"/>
      <c r="W246" s="342"/>
    </row>
    <row r="247" spans="1:30" ht="15" customHeight="1" thickBot="1" x14ac:dyDescent="0.25">
      <c r="A247" s="1946" t="s">
        <v>638</v>
      </c>
      <c r="B247" s="1947"/>
      <c r="C247" s="1947"/>
      <c r="D247" s="1947"/>
      <c r="E247" s="1947"/>
      <c r="F247" s="1947"/>
      <c r="G247" s="1947"/>
      <c r="H247" s="1947"/>
      <c r="I247" s="1960"/>
      <c r="J247" s="98">
        <f>SUMIF(I13:I226,"es",J13:J226)</f>
        <v>509.4</v>
      </c>
      <c r="K247" s="132">
        <f>SUMIF(I13:I227,"es",K13:K227)</f>
        <v>509.4</v>
      </c>
      <c r="L247" s="155"/>
      <c r="M247" s="1412">
        <f>SUMIF(I15:I227,"es",M15:M227)</f>
        <v>509.4</v>
      </c>
      <c r="N247" s="1182">
        <f>SUMIF(I15:I227,"es",N15:N227)</f>
        <v>509.4</v>
      </c>
      <c r="O247" s="1386">
        <f>SUMIF(K15:K227,"es",O15:O227)</f>
        <v>0</v>
      </c>
      <c r="P247" s="98">
        <f>SUMIF(I14:I227,"es",P14:P227)</f>
        <v>0</v>
      </c>
      <c r="Q247" s="132">
        <f>SUMIF(I14:I227,"lrvb",Q14:Q227)</f>
        <v>0</v>
      </c>
      <c r="R247" s="1183"/>
      <c r="S247" s="88"/>
      <c r="T247" s="342"/>
      <c r="U247" s="342"/>
      <c r="V247" s="342"/>
      <c r="W247" s="342"/>
    </row>
    <row r="248" spans="1:30" ht="16.5" customHeight="1" thickBot="1" x14ac:dyDescent="0.25">
      <c r="A248" s="1756" t="s">
        <v>26</v>
      </c>
      <c r="B248" s="1757"/>
      <c r="C248" s="1757"/>
      <c r="D248" s="1757"/>
      <c r="E248" s="1757"/>
      <c r="F248" s="1757"/>
      <c r="G248" s="1757"/>
      <c r="H248" s="1757"/>
      <c r="I248" s="1961"/>
      <c r="J248" s="100">
        <f t="shared" ref="J248:R248" si="60">J245+J233</f>
        <v>89552.599999999991</v>
      </c>
      <c r="K248" s="120">
        <f t="shared" si="60"/>
        <v>90203.699999999983</v>
      </c>
      <c r="L248" s="1340">
        <f t="shared" si="60"/>
        <v>651.09999999999854</v>
      </c>
      <c r="M248" s="100">
        <f t="shared" si="60"/>
        <v>94542.700000000026</v>
      </c>
      <c r="N248" s="120">
        <f t="shared" si="60"/>
        <v>94542.700000000026</v>
      </c>
      <c r="O248" s="1387">
        <f t="shared" si="60"/>
        <v>0</v>
      </c>
      <c r="P248" s="100">
        <f t="shared" si="60"/>
        <v>94064.400000000009</v>
      </c>
      <c r="Q248" s="120">
        <f t="shared" si="60"/>
        <v>94064.400000000009</v>
      </c>
      <c r="R248" s="157">
        <f t="shared" si="60"/>
        <v>0</v>
      </c>
      <c r="S248" s="89"/>
    </row>
    <row r="250" spans="1:30" ht="22.5" customHeight="1" x14ac:dyDescent="0.2">
      <c r="A250" s="1758" t="s">
        <v>216</v>
      </c>
      <c r="B250" s="1758"/>
      <c r="C250" s="1758"/>
      <c r="D250" s="1758"/>
      <c r="E250" s="1758"/>
      <c r="F250" s="1758"/>
      <c r="G250" s="1758"/>
      <c r="H250" s="1758"/>
      <c r="I250" s="1758"/>
      <c r="J250" s="1758"/>
      <c r="K250" s="1758"/>
      <c r="L250" s="1758"/>
      <c r="M250" s="1758"/>
      <c r="N250" s="1758"/>
      <c r="O250" s="1758"/>
      <c r="P250" s="1758"/>
      <c r="Q250" s="1758"/>
      <c r="R250" s="1758"/>
      <c r="S250" s="1758"/>
      <c r="T250" s="1758"/>
      <c r="U250" s="1758"/>
      <c r="V250" s="1758"/>
      <c r="W250" s="1758"/>
    </row>
    <row r="251" spans="1:30" x14ac:dyDescent="0.2">
      <c r="F251" s="347"/>
      <c r="G251" s="1473"/>
      <c r="H251" s="1473"/>
      <c r="I251" s="457"/>
      <c r="J251" s="504"/>
      <c r="K251" s="504"/>
      <c r="L251" s="504"/>
      <c r="M251" s="504"/>
      <c r="N251" s="504"/>
      <c r="O251" s="504"/>
      <c r="P251" s="504"/>
      <c r="Q251" s="504"/>
      <c r="R251" s="504"/>
    </row>
    <row r="252" spans="1:30" x14ac:dyDescent="0.2">
      <c r="F252" s="347"/>
      <c r="G252" s="1473"/>
      <c r="H252" s="1473"/>
      <c r="I252" s="457"/>
      <c r="J252" s="504"/>
      <c r="K252" s="504"/>
      <c r="L252" s="504"/>
      <c r="M252" s="504"/>
      <c r="N252" s="504"/>
      <c r="O252" s="504"/>
      <c r="P252" s="504"/>
      <c r="Q252" s="504"/>
      <c r="R252" s="504"/>
    </row>
    <row r="253" spans="1:30" x14ac:dyDescent="0.2">
      <c r="F253" s="347"/>
      <c r="G253" s="1473"/>
      <c r="H253" s="1473"/>
      <c r="I253" s="457"/>
      <c r="J253" s="504"/>
      <c r="K253" s="504"/>
      <c r="L253" s="504"/>
      <c r="M253" s="504"/>
      <c r="N253" s="504"/>
      <c r="O253" s="504"/>
      <c r="P253" s="504"/>
      <c r="Q253" s="504"/>
      <c r="R253" s="504"/>
    </row>
    <row r="254" spans="1:30" x14ac:dyDescent="0.2">
      <c r="F254" s="347"/>
      <c r="G254" s="1473"/>
      <c r="H254" s="1473"/>
      <c r="I254" s="457"/>
      <c r="J254" s="504"/>
      <c r="K254" s="504"/>
      <c r="L254" s="504"/>
      <c r="M254" s="504"/>
      <c r="N254" s="504"/>
      <c r="O254" s="504"/>
      <c r="P254" s="504"/>
      <c r="Q254" s="504"/>
      <c r="R254" s="504"/>
    </row>
    <row r="255" spans="1:30" x14ac:dyDescent="0.2">
      <c r="F255" s="347"/>
      <c r="G255" s="1473"/>
      <c r="H255" s="1473"/>
      <c r="I255" s="457"/>
      <c r="J255" s="504"/>
      <c r="K255" s="504"/>
      <c r="L255" s="504"/>
      <c r="M255" s="504"/>
      <c r="N255" s="504"/>
      <c r="O255" s="504"/>
      <c r="P255" s="504"/>
      <c r="Q255" s="504"/>
      <c r="R255" s="504"/>
    </row>
    <row r="256" spans="1:30" x14ac:dyDescent="0.2">
      <c r="F256" s="347"/>
      <c r="G256" s="1473"/>
      <c r="H256" s="1473"/>
      <c r="I256" s="457"/>
      <c r="J256" s="504"/>
      <c r="K256" s="504"/>
      <c r="L256" s="504"/>
      <c r="M256" s="504"/>
      <c r="N256" s="504"/>
      <c r="O256" s="504"/>
      <c r="P256" s="504"/>
      <c r="Q256" s="504"/>
      <c r="R256" s="504"/>
    </row>
    <row r="257" spans="1:19" x14ac:dyDescent="0.2">
      <c r="F257" s="347"/>
      <c r="G257" s="1473"/>
      <c r="H257" s="1473"/>
      <c r="I257" s="457"/>
      <c r="J257" s="504"/>
      <c r="K257" s="504"/>
      <c r="L257" s="504"/>
      <c r="M257" s="504"/>
      <c r="N257" s="504"/>
      <c r="O257" s="504"/>
      <c r="P257" s="504"/>
      <c r="Q257" s="504"/>
      <c r="R257" s="504"/>
    </row>
    <row r="258" spans="1:19" x14ac:dyDescent="0.2">
      <c r="F258" s="347"/>
      <c r="G258" s="1473"/>
      <c r="H258" s="1473"/>
      <c r="I258" s="457"/>
      <c r="J258" s="504"/>
      <c r="K258" s="504"/>
      <c r="L258" s="504"/>
      <c r="M258" s="504"/>
      <c r="N258" s="504"/>
      <c r="O258" s="504"/>
      <c r="P258" s="504"/>
      <c r="Q258" s="504"/>
      <c r="R258" s="504"/>
    </row>
    <row r="259" spans="1:19" x14ac:dyDescent="0.2">
      <c r="F259" s="347"/>
      <c r="G259" s="1473"/>
      <c r="H259" s="1473"/>
      <c r="I259" s="457"/>
      <c r="J259" s="504"/>
      <c r="K259" s="504"/>
      <c r="L259" s="504"/>
      <c r="M259" s="504"/>
      <c r="N259" s="504"/>
      <c r="O259" s="504"/>
      <c r="P259" s="504"/>
      <c r="Q259" s="504"/>
      <c r="R259" s="504"/>
    </row>
    <row r="260" spans="1:19" x14ac:dyDescent="0.2">
      <c r="A260" s="467"/>
      <c r="B260" s="467"/>
      <c r="C260" s="467"/>
      <c r="D260" s="654"/>
      <c r="E260" s="677"/>
      <c r="F260" s="347"/>
      <c r="G260" s="1473"/>
      <c r="H260" s="1473"/>
      <c r="I260" s="457"/>
      <c r="J260" s="504"/>
      <c r="K260" s="504"/>
      <c r="L260" s="504"/>
      <c r="M260" s="504"/>
      <c r="N260" s="504"/>
      <c r="O260" s="504"/>
      <c r="P260" s="504"/>
      <c r="Q260" s="504"/>
      <c r="R260" s="504"/>
      <c r="S260" s="347"/>
    </row>
    <row r="261" spans="1:19" x14ac:dyDescent="0.2">
      <c r="A261" s="467"/>
      <c r="B261" s="467"/>
      <c r="C261" s="467"/>
      <c r="D261" s="654"/>
      <c r="E261" s="677"/>
      <c r="F261" s="347"/>
      <c r="G261" s="1473"/>
      <c r="H261" s="1473"/>
      <c r="I261" s="457"/>
      <c r="J261" s="504"/>
      <c r="K261" s="504"/>
      <c r="L261" s="504"/>
      <c r="M261" s="504"/>
      <c r="N261" s="504"/>
      <c r="O261" s="504"/>
      <c r="P261" s="504"/>
      <c r="Q261" s="504"/>
      <c r="R261" s="504"/>
      <c r="S261" s="347"/>
    </row>
    <row r="262" spans="1:19" x14ac:dyDescent="0.2">
      <c r="A262" s="467"/>
      <c r="B262" s="467"/>
      <c r="C262" s="467"/>
      <c r="D262" s="654"/>
      <c r="E262" s="677"/>
      <c r="F262" s="347"/>
      <c r="G262" s="1473"/>
      <c r="H262" s="1473"/>
      <c r="I262" s="457"/>
      <c r="J262" s="504"/>
      <c r="K262" s="504"/>
      <c r="L262" s="504"/>
      <c r="M262" s="504"/>
      <c r="N262" s="504"/>
      <c r="O262" s="504"/>
      <c r="P262" s="504"/>
      <c r="Q262" s="504"/>
      <c r="R262" s="504"/>
      <c r="S262" s="347"/>
    </row>
    <row r="263" spans="1:19" x14ac:dyDescent="0.2">
      <c r="A263" s="467"/>
      <c r="B263" s="467"/>
      <c r="C263" s="467"/>
      <c r="D263" s="654"/>
      <c r="E263" s="677"/>
      <c r="F263" s="347"/>
      <c r="G263" s="1473"/>
      <c r="H263" s="1473"/>
      <c r="I263" s="457"/>
      <c r="J263" s="504"/>
      <c r="K263" s="504"/>
      <c r="L263" s="504"/>
      <c r="M263" s="504"/>
      <c r="N263" s="504"/>
      <c r="O263" s="504"/>
      <c r="P263" s="504"/>
      <c r="Q263" s="504"/>
      <c r="R263" s="504"/>
      <c r="S263" s="347"/>
    </row>
    <row r="264" spans="1:19" x14ac:dyDescent="0.2">
      <c r="A264" s="467"/>
      <c r="B264" s="467"/>
      <c r="C264" s="467"/>
      <c r="D264" s="654"/>
      <c r="E264" s="677"/>
      <c r="F264" s="347"/>
      <c r="G264" s="1473"/>
      <c r="H264" s="1473"/>
      <c r="I264" s="457"/>
      <c r="J264" s="504"/>
      <c r="K264" s="504"/>
      <c r="L264" s="504"/>
      <c r="M264" s="504"/>
      <c r="N264" s="504"/>
      <c r="O264" s="504"/>
      <c r="P264" s="504"/>
      <c r="Q264" s="504"/>
      <c r="R264" s="504"/>
      <c r="S264" s="347"/>
    </row>
    <row r="265" spans="1:19" x14ac:dyDescent="0.2">
      <c r="A265" s="467"/>
      <c r="B265" s="467"/>
      <c r="C265" s="467"/>
      <c r="D265" s="654"/>
      <c r="E265" s="677"/>
      <c r="F265" s="347"/>
      <c r="G265" s="1473"/>
      <c r="H265" s="1473"/>
      <c r="I265" s="457"/>
      <c r="J265" s="504"/>
      <c r="K265" s="504"/>
      <c r="L265" s="504"/>
      <c r="M265" s="504"/>
      <c r="N265" s="504"/>
      <c r="O265" s="504"/>
      <c r="P265" s="504"/>
      <c r="Q265" s="504"/>
      <c r="R265" s="504"/>
      <c r="S265" s="347"/>
    </row>
    <row r="266" spans="1:19" x14ac:dyDescent="0.2">
      <c r="A266" s="467"/>
      <c r="B266" s="467"/>
      <c r="C266" s="467"/>
      <c r="D266" s="654"/>
      <c r="E266" s="677"/>
      <c r="F266" s="347"/>
      <c r="G266" s="1473"/>
      <c r="H266" s="1473"/>
      <c r="I266" s="457"/>
      <c r="J266" s="504"/>
      <c r="K266" s="504"/>
      <c r="L266" s="504"/>
      <c r="M266" s="504"/>
      <c r="N266" s="504"/>
      <c r="O266" s="504"/>
      <c r="P266" s="504"/>
      <c r="Q266" s="504"/>
      <c r="R266" s="504"/>
      <c r="S266" s="347"/>
    </row>
    <row r="267" spans="1:19" x14ac:dyDescent="0.2">
      <c r="A267" s="467"/>
      <c r="B267" s="467"/>
      <c r="C267" s="467"/>
      <c r="D267" s="654"/>
      <c r="E267" s="677"/>
      <c r="F267" s="347"/>
      <c r="G267" s="1473"/>
      <c r="H267" s="1473"/>
      <c r="I267" s="457"/>
      <c r="J267" s="504"/>
      <c r="K267" s="504"/>
      <c r="L267" s="504"/>
      <c r="M267" s="504"/>
      <c r="N267" s="504"/>
      <c r="O267" s="504"/>
      <c r="P267" s="504"/>
      <c r="Q267" s="504"/>
      <c r="R267" s="504"/>
      <c r="S267" s="347"/>
    </row>
    <row r="268" spans="1:19" x14ac:dyDescent="0.2">
      <c r="A268" s="467"/>
      <c r="B268" s="467"/>
      <c r="C268" s="467"/>
      <c r="D268" s="654"/>
      <c r="E268" s="677"/>
      <c r="F268" s="347"/>
      <c r="G268" s="1473"/>
      <c r="H268" s="1473"/>
      <c r="I268" s="457"/>
      <c r="J268" s="504"/>
      <c r="K268" s="504"/>
      <c r="L268" s="504"/>
      <c r="M268" s="504"/>
      <c r="N268" s="504"/>
      <c r="O268" s="504"/>
      <c r="P268" s="504"/>
      <c r="Q268" s="504"/>
      <c r="R268" s="504"/>
      <c r="S268" s="347"/>
    </row>
    <row r="269" spans="1:19" x14ac:dyDescent="0.2">
      <c r="A269" s="467"/>
      <c r="B269" s="467"/>
      <c r="C269" s="467"/>
      <c r="D269" s="654"/>
      <c r="E269" s="677"/>
      <c r="F269" s="347"/>
      <c r="G269" s="1473"/>
      <c r="H269" s="1473"/>
      <c r="I269" s="457"/>
      <c r="J269" s="504"/>
      <c r="K269" s="504"/>
      <c r="L269" s="504"/>
      <c r="M269" s="504"/>
      <c r="N269" s="504"/>
      <c r="O269" s="504"/>
      <c r="P269" s="504"/>
      <c r="Q269" s="504"/>
      <c r="R269" s="504"/>
      <c r="S269" s="347"/>
    </row>
    <row r="270" spans="1:19" x14ac:dyDescent="0.2">
      <c r="A270" s="467"/>
      <c r="B270" s="467"/>
      <c r="C270" s="467"/>
      <c r="D270" s="654"/>
      <c r="E270" s="677"/>
      <c r="F270" s="347"/>
      <c r="G270" s="1473"/>
      <c r="H270" s="1473"/>
      <c r="I270" s="457"/>
      <c r="J270" s="504"/>
      <c r="K270" s="504"/>
      <c r="L270" s="504"/>
      <c r="M270" s="504"/>
      <c r="N270" s="504"/>
      <c r="O270" s="504"/>
      <c r="P270" s="504"/>
      <c r="Q270" s="504"/>
      <c r="R270" s="504"/>
      <c r="S270" s="347"/>
    </row>
    <row r="271" spans="1:19" x14ac:dyDescent="0.2">
      <c r="A271" s="467"/>
      <c r="B271" s="467"/>
      <c r="C271" s="467"/>
      <c r="D271" s="654"/>
      <c r="E271" s="677"/>
      <c r="F271" s="347"/>
      <c r="G271" s="1473"/>
      <c r="H271" s="1473"/>
      <c r="I271" s="457"/>
      <c r="J271" s="504"/>
      <c r="K271" s="504"/>
      <c r="L271" s="504"/>
      <c r="M271" s="504"/>
      <c r="N271" s="504"/>
      <c r="O271" s="504"/>
      <c r="P271" s="504"/>
      <c r="Q271" s="504"/>
      <c r="R271" s="504"/>
      <c r="S271" s="347"/>
    </row>
    <row r="272" spans="1:19" x14ac:dyDescent="0.2">
      <c r="A272" s="467"/>
      <c r="B272" s="467"/>
      <c r="C272" s="467"/>
      <c r="D272" s="654"/>
      <c r="E272" s="677"/>
      <c r="F272" s="347"/>
      <c r="G272" s="1473"/>
      <c r="H272" s="1473"/>
      <c r="I272" s="457"/>
      <c r="J272" s="504"/>
      <c r="K272" s="504"/>
      <c r="L272" s="504"/>
      <c r="M272" s="504"/>
      <c r="N272" s="504"/>
      <c r="O272" s="504"/>
      <c r="P272" s="504"/>
      <c r="Q272" s="504"/>
      <c r="R272" s="504"/>
      <c r="S272" s="347"/>
    </row>
  </sheetData>
  <mergeCells count="182">
    <mergeCell ref="W37:W38"/>
    <mergeCell ref="W221:W225"/>
    <mergeCell ref="W209:W211"/>
    <mergeCell ref="W217:W218"/>
    <mergeCell ref="F122:F124"/>
    <mergeCell ref="N6:N8"/>
    <mergeCell ref="N167:N168"/>
    <mergeCell ref="O6:O8"/>
    <mergeCell ref="O167:O168"/>
    <mergeCell ref="Q6:Q8"/>
    <mergeCell ref="Q167:Q168"/>
    <mergeCell ref="R6:R8"/>
    <mergeCell ref="R167:R168"/>
    <mergeCell ref="A9:W9"/>
    <mergeCell ref="A10:W10"/>
    <mergeCell ref="F27:F29"/>
    <mergeCell ref="F30:F33"/>
    <mergeCell ref="F35:F36"/>
    <mergeCell ref="F37:F38"/>
    <mergeCell ref="S37:S38"/>
    <mergeCell ref="F39:F45"/>
    <mergeCell ref="B11:W11"/>
    <mergeCell ref="W128:W131"/>
    <mergeCell ref="C12:W12"/>
    <mergeCell ref="G13:G15"/>
    <mergeCell ref="F20:F23"/>
    <mergeCell ref="F24:F26"/>
    <mergeCell ref="S1:W1"/>
    <mergeCell ref="A2:W2"/>
    <mergeCell ref="A3:W3"/>
    <mergeCell ref="A4:W4"/>
    <mergeCell ref="U5:W5"/>
    <mergeCell ref="A6:A8"/>
    <mergeCell ref="B6:B8"/>
    <mergeCell ref="C6:C8"/>
    <mergeCell ref="D6:D8"/>
    <mergeCell ref="E6:E8"/>
    <mergeCell ref="P6:P8"/>
    <mergeCell ref="S7:S8"/>
    <mergeCell ref="F6:F8"/>
    <mergeCell ref="G6:G8"/>
    <mergeCell ref="H6:H8"/>
    <mergeCell ref="I6:I8"/>
    <mergeCell ref="J6:J8"/>
    <mergeCell ref="M6:M8"/>
    <mergeCell ref="W13:W36"/>
    <mergeCell ref="F13:F15"/>
    <mergeCell ref="F56:F57"/>
    <mergeCell ref="F58:F60"/>
    <mergeCell ref="F65:F66"/>
    <mergeCell ref="F68:F69"/>
    <mergeCell ref="G68:G69"/>
    <mergeCell ref="F78:F79"/>
    <mergeCell ref="Y40:Y41"/>
    <mergeCell ref="Z40:Z41"/>
    <mergeCell ref="F46:F47"/>
    <mergeCell ref="S46:S47"/>
    <mergeCell ref="F48:F50"/>
    <mergeCell ref="F51:F52"/>
    <mergeCell ref="S51:S52"/>
    <mergeCell ref="W39:W47"/>
    <mergeCell ref="F96:F97"/>
    <mergeCell ref="S96:S97"/>
    <mergeCell ref="F98:F99"/>
    <mergeCell ref="F100:F101"/>
    <mergeCell ref="C102:I102"/>
    <mergeCell ref="B103:I103"/>
    <mergeCell ref="F80:F81"/>
    <mergeCell ref="G81:I81"/>
    <mergeCell ref="F91:F92"/>
    <mergeCell ref="S91:S92"/>
    <mergeCell ref="F93:F95"/>
    <mergeCell ref="S94:S95"/>
    <mergeCell ref="F109:F111"/>
    <mergeCell ref="F116:F119"/>
    <mergeCell ref="S116:S117"/>
    <mergeCell ref="S118:S119"/>
    <mergeCell ref="F120:F121"/>
    <mergeCell ref="S120:S121"/>
    <mergeCell ref="B104:W104"/>
    <mergeCell ref="C105:W105"/>
    <mergeCell ref="A106:A108"/>
    <mergeCell ref="B106:B108"/>
    <mergeCell ref="C106:C108"/>
    <mergeCell ref="F106:F108"/>
    <mergeCell ref="G106:G108"/>
    <mergeCell ref="S106:S108"/>
    <mergeCell ref="F134:F136"/>
    <mergeCell ref="F137:F139"/>
    <mergeCell ref="F141:F142"/>
    <mergeCell ref="F143:F145"/>
    <mergeCell ref="S143:S144"/>
    <mergeCell ref="F147:F148"/>
    <mergeCell ref="F125:F126"/>
    <mergeCell ref="S125:S126"/>
    <mergeCell ref="F128:F129"/>
    <mergeCell ref="F130:F131"/>
    <mergeCell ref="F132:F133"/>
    <mergeCell ref="S132:S133"/>
    <mergeCell ref="F204:F206"/>
    <mergeCell ref="W201:W203"/>
    <mergeCell ref="W204:W206"/>
    <mergeCell ref="AA162:AA163"/>
    <mergeCell ref="F164:F165"/>
    <mergeCell ref="F149:F151"/>
    <mergeCell ref="S149:S150"/>
    <mergeCell ref="S151:S152"/>
    <mergeCell ref="G152:I152"/>
    <mergeCell ref="AA152:AA153"/>
    <mergeCell ref="F153:F154"/>
    <mergeCell ref="W153:W157"/>
    <mergeCell ref="W163:W171"/>
    <mergeCell ref="F167:F168"/>
    <mergeCell ref="I167:I168"/>
    <mergeCell ref="J167:J168"/>
    <mergeCell ref="M167:M168"/>
    <mergeCell ref="P167:P168"/>
    <mergeCell ref="F158:F159"/>
    <mergeCell ref="F160:F162"/>
    <mergeCell ref="S160:S162"/>
    <mergeCell ref="G162:I162"/>
    <mergeCell ref="X178:Y182"/>
    <mergeCell ref="F182:F183"/>
    <mergeCell ref="C185:W185"/>
    <mergeCell ref="F186:F188"/>
    <mergeCell ref="S195:S196"/>
    <mergeCell ref="W186:W189"/>
    <mergeCell ref="G171:I171"/>
    <mergeCell ref="C172:I172"/>
    <mergeCell ref="C173:W173"/>
    <mergeCell ref="F174:F175"/>
    <mergeCell ref="F177:F178"/>
    <mergeCell ref="F170:F171"/>
    <mergeCell ref="S170:S171"/>
    <mergeCell ref="A246:I246"/>
    <mergeCell ref="A247:I247"/>
    <mergeCell ref="A248:I248"/>
    <mergeCell ref="A250:W250"/>
    <mergeCell ref="K6:K8"/>
    <mergeCell ref="L6:L8"/>
    <mergeCell ref="K167:K168"/>
    <mergeCell ref="A244:I244"/>
    <mergeCell ref="A241:I241"/>
    <mergeCell ref="A236:I236"/>
    <mergeCell ref="A237:I237"/>
    <mergeCell ref="A238:I238"/>
    <mergeCell ref="A239:I239"/>
    <mergeCell ref="A240:I240"/>
    <mergeCell ref="A245:I245"/>
    <mergeCell ref="A243:I243"/>
    <mergeCell ref="A242:I242"/>
    <mergeCell ref="B230:I230"/>
    <mergeCell ref="A232:I232"/>
    <mergeCell ref="A233:I233"/>
    <mergeCell ref="A235:I235"/>
    <mergeCell ref="F221:F224"/>
    <mergeCell ref="S222:S223"/>
    <mergeCell ref="G207:G208"/>
    <mergeCell ref="A231:R231"/>
    <mergeCell ref="A234:I234"/>
    <mergeCell ref="S6:V6"/>
    <mergeCell ref="T7:V7"/>
    <mergeCell ref="W6:W8"/>
    <mergeCell ref="W109:W112"/>
    <mergeCell ref="G136:I136"/>
    <mergeCell ref="W86:W88"/>
    <mergeCell ref="F225:F227"/>
    <mergeCell ref="S226:S227"/>
    <mergeCell ref="C228:I228"/>
    <mergeCell ref="B229:I229"/>
    <mergeCell ref="H207:H208"/>
    <mergeCell ref="S207:S208"/>
    <mergeCell ref="F209:F210"/>
    <mergeCell ref="G209:G210"/>
    <mergeCell ref="F212:F213"/>
    <mergeCell ref="F218:F219"/>
    <mergeCell ref="F201:F202"/>
    <mergeCell ref="G201:G202"/>
    <mergeCell ref="A207:A208"/>
    <mergeCell ref="B207:B208"/>
    <mergeCell ref="F207:F208"/>
    <mergeCell ref="C184:I184"/>
  </mergeCells>
  <printOptions horizontalCentered="1"/>
  <pageMargins left="0.31496062992125984" right="0.31496062992125984" top="0.74803149606299213" bottom="0.35433070866141736" header="0.31496062992125984" footer="0.31496062992125984"/>
  <pageSetup paperSize="9" scale="68" orientation="landscape" r:id="rId1"/>
  <rowBreaks count="8" manualBreakCount="8">
    <brk id="36" max="22" man="1"/>
    <brk id="61" max="22" man="1"/>
    <brk id="84" max="22" man="1"/>
    <brk id="105" max="22" man="1"/>
    <brk id="136" max="22" man="1"/>
    <brk id="162" max="22" man="1"/>
    <brk id="208" max="22" man="1"/>
    <brk id="230" max="22" man="1"/>
  </rowBreaks>
  <colBreaks count="1" manualBreakCount="1">
    <brk id="2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92"/>
  <sheetViews>
    <sheetView topLeftCell="A88" zoomScaleNormal="100" zoomScaleSheetLayoutView="50" workbookViewId="0"/>
  </sheetViews>
  <sheetFormatPr defaultRowHeight="12.75" x14ac:dyDescent="0.2"/>
  <cols>
    <col min="1" max="3" width="2.7109375" style="343" customWidth="1"/>
    <col min="4" max="4" width="2.7109375" style="644" customWidth="1"/>
    <col min="5" max="5" width="2.7109375" style="673" customWidth="1"/>
    <col min="6" max="6" width="32.28515625" style="344" customWidth="1"/>
    <col min="7" max="8" width="3" style="342" customWidth="1"/>
    <col min="9" max="9" width="12.85546875" style="345" customWidth="1"/>
    <col min="10" max="10" width="7.42578125" style="345" customWidth="1"/>
    <col min="11" max="11" width="9.42578125" style="346" customWidth="1"/>
    <col min="12" max="14" width="8.85546875" style="346" customWidth="1"/>
    <col min="15" max="15" width="23.5703125" style="344" customWidth="1"/>
    <col min="16" max="16" width="7" style="342" customWidth="1"/>
    <col min="17" max="19" width="6.42578125" style="1242" customWidth="1"/>
    <col min="20" max="20" width="11.140625" style="347" customWidth="1"/>
    <col min="21" max="16384" width="9.140625" style="347"/>
  </cols>
  <sheetData>
    <row r="1" spans="1:22" ht="28.5" customHeight="1" x14ac:dyDescent="0.2">
      <c r="O1" s="2092" t="s">
        <v>266</v>
      </c>
      <c r="P1" s="2092"/>
      <c r="Q1" s="2092"/>
      <c r="R1" s="2092"/>
      <c r="S1" s="2092"/>
    </row>
    <row r="2" spans="1:22" s="348" customFormat="1" ht="15.75" x14ac:dyDescent="0.2">
      <c r="A2" s="1797" t="s">
        <v>634</v>
      </c>
      <c r="B2" s="1797"/>
      <c r="C2" s="1797"/>
      <c r="D2" s="1797"/>
      <c r="E2" s="1797"/>
      <c r="F2" s="1797"/>
      <c r="G2" s="1797"/>
      <c r="H2" s="1797"/>
      <c r="I2" s="1797"/>
      <c r="J2" s="1797"/>
      <c r="K2" s="1797"/>
      <c r="L2" s="1797"/>
      <c r="M2" s="1797"/>
      <c r="N2" s="1797"/>
      <c r="O2" s="1797"/>
      <c r="P2" s="1797"/>
      <c r="Q2" s="1797"/>
      <c r="R2" s="1797"/>
      <c r="S2" s="1797"/>
    </row>
    <row r="3" spans="1:22" s="348" customFormat="1" ht="19.5" customHeight="1" x14ac:dyDescent="0.2">
      <c r="A3" s="1798" t="s">
        <v>30</v>
      </c>
      <c r="B3" s="1798"/>
      <c r="C3" s="1798"/>
      <c r="D3" s="1798"/>
      <c r="E3" s="1798"/>
      <c r="F3" s="1798"/>
      <c r="G3" s="1798"/>
      <c r="H3" s="1798"/>
      <c r="I3" s="1798"/>
      <c r="J3" s="1798"/>
      <c r="K3" s="1798"/>
      <c r="L3" s="1798"/>
      <c r="M3" s="1798"/>
      <c r="N3" s="1798"/>
      <c r="O3" s="1798"/>
      <c r="P3" s="1798"/>
      <c r="Q3" s="1798"/>
      <c r="R3" s="1798"/>
      <c r="S3" s="1798"/>
    </row>
    <row r="4" spans="1:22" s="348" customFormat="1" ht="19.5" customHeight="1" x14ac:dyDescent="0.2">
      <c r="A4" s="1799" t="s">
        <v>52</v>
      </c>
      <c r="B4" s="1799"/>
      <c r="C4" s="1799"/>
      <c r="D4" s="1799"/>
      <c r="E4" s="1799"/>
      <c r="F4" s="1799"/>
      <c r="G4" s="1799"/>
      <c r="H4" s="1799"/>
      <c r="I4" s="1799"/>
      <c r="J4" s="1799"/>
      <c r="K4" s="1799"/>
      <c r="L4" s="1799"/>
      <c r="M4" s="1799"/>
      <c r="N4" s="1799"/>
      <c r="O4" s="1799"/>
      <c r="P4" s="1799"/>
      <c r="Q4" s="1799"/>
      <c r="R4" s="1799"/>
      <c r="S4" s="1799"/>
    </row>
    <row r="5" spans="1:22" ht="15.75" customHeight="1" thickBot="1" x14ac:dyDescent="0.25">
      <c r="A5" s="34"/>
      <c r="B5" s="34"/>
      <c r="F5" s="1230"/>
      <c r="G5" s="1230"/>
      <c r="H5" s="1230"/>
      <c r="I5" s="1230"/>
      <c r="J5" s="533"/>
      <c r="K5" s="1230"/>
      <c r="L5" s="1230"/>
      <c r="M5" s="1230"/>
      <c r="N5" s="1230"/>
      <c r="O5" s="1230"/>
      <c r="P5" s="1230"/>
      <c r="Q5" s="1276"/>
      <c r="R5" s="2081" t="s">
        <v>72</v>
      </c>
      <c r="S5" s="2081"/>
    </row>
    <row r="6" spans="1:22" ht="24" customHeight="1" x14ac:dyDescent="0.2">
      <c r="A6" s="1801" t="s">
        <v>8</v>
      </c>
      <c r="B6" s="1804" t="s">
        <v>9</v>
      </c>
      <c r="C6" s="1807" t="s">
        <v>10</v>
      </c>
      <c r="D6" s="1807" t="s">
        <v>281</v>
      </c>
      <c r="E6" s="1807" t="s">
        <v>282</v>
      </c>
      <c r="F6" s="1827" t="s">
        <v>109</v>
      </c>
      <c r="G6" s="1830" t="s">
        <v>11</v>
      </c>
      <c r="H6" s="1833" t="s">
        <v>12</v>
      </c>
      <c r="I6" s="2083" t="s">
        <v>236</v>
      </c>
      <c r="J6" s="2078" t="s">
        <v>13</v>
      </c>
      <c r="K6" s="1816" t="s">
        <v>110</v>
      </c>
      <c r="L6" s="1810" t="s">
        <v>703</v>
      </c>
      <c r="M6" s="1813" t="s">
        <v>111</v>
      </c>
      <c r="N6" s="1816" t="s">
        <v>217</v>
      </c>
      <c r="O6" s="1819" t="s">
        <v>112</v>
      </c>
      <c r="P6" s="1951"/>
      <c r="Q6" s="1951"/>
      <c r="R6" s="1951"/>
      <c r="S6" s="2077"/>
    </row>
    <row r="7" spans="1:22" ht="15.75" customHeight="1" x14ac:dyDescent="0.2">
      <c r="A7" s="1802"/>
      <c r="B7" s="1805"/>
      <c r="C7" s="1808"/>
      <c r="D7" s="1808"/>
      <c r="E7" s="1808"/>
      <c r="F7" s="1828"/>
      <c r="G7" s="1831"/>
      <c r="H7" s="1834"/>
      <c r="I7" s="2084"/>
      <c r="J7" s="2079"/>
      <c r="K7" s="1817"/>
      <c r="L7" s="1811"/>
      <c r="M7" s="1814"/>
      <c r="N7" s="1817"/>
      <c r="O7" s="2086" t="s">
        <v>23</v>
      </c>
      <c r="P7" s="2082" t="s">
        <v>56</v>
      </c>
      <c r="Q7" s="1823"/>
      <c r="R7" s="1823"/>
      <c r="S7" s="1824"/>
    </row>
    <row r="8" spans="1:22" ht="93.75" customHeight="1" thickBot="1" x14ac:dyDescent="0.25">
      <c r="A8" s="1803"/>
      <c r="B8" s="1806"/>
      <c r="C8" s="1809"/>
      <c r="D8" s="1809"/>
      <c r="E8" s="1809"/>
      <c r="F8" s="1829"/>
      <c r="G8" s="1832"/>
      <c r="H8" s="1835"/>
      <c r="I8" s="2085"/>
      <c r="J8" s="2080"/>
      <c r="K8" s="1818"/>
      <c r="L8" s="1812"/>
      <c r="M8" s="1815"/>
      <c r="N8" s="1818"/>
      <c r="O8" s="2087"/>
      <c r="P8" s="159" t="s">
        <v>57</v>
      </c>
      <c r="Q8" s="297" t="s">
        <v>76</v>
      </c>
      <c r="R8" s="159" t="s">
        <v>108</v>
      </c>
      <c r="S8" s="160" t="s">
        <v>218</v>
      </c>
    </row>
    <row r="9" spans="1:22" ht="15.75" customHeight="1" thickBot="1" x14ac:dyDescent="0.25">
      <c r="A9" s="1836" t="s">
        <v>64</v>
      </c>
      <c r="B9" s="1837"/>
      <c r="C9" s="1837"/>
      <c r="D9" s="1837"/>
      <c r="E9" s="1837"/>
      <c r="F9" s="1837"/>
      <c r="G9" s="1837"/>
      <c r="H9" s="1837"/>
      <c r="I9" s="1837"/>
      <c r="J9" s="1837"/>
      <c r="K9" s="1837"/>
      <c r="L9" s="1837"/>
      <c r="M9" s="1837"/>
      <c r="N9" s="1837"/>
      <c r="O9" s="1837"/>
      <c r="P9" s="1837"/>
      <c r="Q9" s="1837"/>
      <c r="R9" s="1837"/>
      <c r="S9" s="1838"/>
    </row>
    <row r="10" spans="1:22" s="350" customFormat="1" ht="15.75" customHeight="1" thickBot="1" x14ac:dyDescent="0.25">
      <c r="A10" s="1844" t="s">
        <v>31</v>
      </c>
      <c r="B10" s="1845"/>
      <c r="C10" s="1845"/>
      <c r="D10" s="1845"/>
      <c r="E10" s="1845"/>
      <c r="F10" s="1845"/>
      <c r="G10" s="1845"/>
      <c r="H10" s="1845"/>
      <c r="I10" s="1845"/>
      <c r="J10" s="1845"/>
      <c r="K10" s="1845"/>
      <c r="L10" s="1845"/>
      <c r="M10" s="1845"/>
      <c r="N10" s="1845"/>
      <c r="O10" s="1845"/>
      <c r="P10" s="1845"/>
      <c r="Q10" s="1845"/>
      <c r="R10" s="1845"/>
      <c r="S10" s="1846"/>
      <c r="T10" s="349"/>
    </row>
    <row r="11" spans="1:22" s="350" customFormat="1" ht="15.75" customHeight="1" thickBot="1" x14ac:dyDescent="0.25">
      <c r="A11" s="351" t="s">
        <v>14</v>
      </c>
      <c r="B11" s="1847" t="s">
        <v>36</v>
      </c>
      <c r="C11" s="1848"/>
      <c r="D11" s="1848"/>
      <c r="E11" s="1848"/>
      <c r="F11" s="1848"/>
      <c r="G11" s="1848"/>
      <c r="H11" s="1848"/>
      <c r="I11" s="1848"/>
      <c r="J11" s="1848"/>
      <c r="K11" s="1848"/>
      <c r="L11" s="1848"/>
      <c r="M11" s="1848"/>
      <c r="N11" s="1848"/>
      <c r="O11" s="1848"/>
      <c r="P11" s="1848"/>
      <c r="Q11" s="1848"/>
      <c r="R11" s="1848"/>
      <c r="S11" s="1849"/>
    </row>
    <row r="12" spans="1:22" s="350" customFormat="1" ht="15.75" customHeight="1" thickBot="1" x14ac:dyDescent="0.25">
      <c r="A12" s="352" t="s">
        <v>14</v>
      </c>
      <c r="B12" s="353" t="s">
        <v>14</v>
      </c>
      <c r="C12" s="1850" t="s">
        <v>68</v>
      </c>
      <c r="D12" s="1851"/>
      <c r="E12" s="1851"/>
      <c r="F12" s="1851"/>
      <c r="G12" s="1851"/>
      <c r="H12" s="1851"/>
      <c r="I12" s="1851"/>
      <c r="J12" s="1851"/>
      <c r="K12" s="1851"/>
      <c r="L12" s="1851"/>
      <c r="M12" s="1851"/>
      <c r="N12" s="1851"/>
      <c r="O12" s="1851"/>
      <c r="P12" s="1851"/>
      <c r="Q12" s="1851"/>
      <c r="R12" s="1851"/>
      <c r="S12" s="1852"/>
    </row>
    <row r="13" spans="1:22" s="350" customFormat="1" ht="32.25" customHeight="1" x14ac:dyDescent="0.2">
      <c r="A13" s="354" t="s">
        <v>14</v>
      </c>
      <c r="B13" s="355" t="s">
        <v>14</v>
      </c>
      <c r="C13" s="356" t="s">
        <v>14</v>
      </c>
      <c r="D13" s="652"/>
      <c r="E13" s="652"/>
      <c r="F13" s="1227" t="s">
        <v>44</v>
      </c>
      <c r="G13" s="1228" t="s">
        <v>206</v>
      </c>
      <c r="H13" s="357">
        <v>2</v>
      </c>
      <c r="I13" s="1262" t="s">
        <v>237</v>
      </c>
      <c r="J13" s="121" t="s">
        <v>63</v>
      </c>
      <c r="K13" s="755">
        <v>593.70000000000005</v>
      </c>
      <c r="L13" s="756"/>
      <c r="M13" s="757"/>
      <c r="N13" s="758"/>
      <c r="O13" s="218"/>
      <c r="P13" s="316"/>
      <c r="Q13" s="311"/>
      <c r="R13" s="299"/>
      <c r="S13" s="316"/>
    </row>
    <row r="14" spans="1:22" s="350" customFormat="1" ht="14.25" customHeight="1" x14ac:dyDescent="0.2">
      <c r="A14" s="358"/>
      <c r="B14" s="359"/>
      <c r="C14" s="360"/>
      <c r="D14" s="669" t="s">
        <v>14</v>
      </c>
      <c r="E14" s="670"/>
      <c r="F14" s="1853" t="s">
        <v>150</v>
      </c>
      <c r="G14" s="197"/>
      <c r="H14" s="361"/>
      <c r="I14" s="1252"/>
      <c r="J14" s="121" t="s">
        <v>15</v>
      </c>
      <c r="K14" s="755">
        <v>13891</v>
      </c>
      <c r="L14" s="139">
        <v>15105.7</v>
      </c>
      <c r="M14" s="191">
        <f>+L14</f>
        <v>15105.7</v>
      </c>
      <c r="N14" s="110">
        <f>+M14</f>
        <v>15105.7</v>
      </c>
      <c r="O14" s="331" t="s">
        <v>118</v>
      </c>
      <c r="P14" s="1266">
        <v>47</v>
      </c>
      <c r="Q14" s="69">
        <v>47</v>
      </c>
      <c r="R14" s="1268">
        <v>47</v>
      </c>
      <c r="S14" s="1266">
        <v>47</v>
      </c>
      <c r="T14" s="321"/>
      <c r="U14" s="321"/>
      <c r="V14" s="321"/>
    </row>
    <row r="15" spans="1:22" s="350" customFormat="1" ht="14.25" customHeight="1" x14ac:dyDescent="0.2">
      <c r="A15" s="358"/>
      <c r="B15" s="359"/>
      <c r="C15" s="360"/>
      <c r="D15" s="647"/>
      <c r="E15" s="653"/>
      <c r="F15" s="1854"/>
      <c r="G15" s="197"/>
      <c r="H15" s="361"/>
      <c r="I15" s="1252"/>
      <c r="J15" s="204" t="s">
        <v>18</v>
      </c>
      <c r="K15" s="759">
        <f>7713.9+97.1</f>
        <v>7811</v>
      </c>
      <c r="L15" s="954">
        <v>8365.7999999999993</v>
      </c>
      <c r="M15" s="162">
        <v>8365.7999999999993</v>
      </c>
      <c r="N15" s="162">
        <v>8365.7999999999993</v>
      </c>
      <c r="O15" s="198" t="s">
        <v>119</v>
      </c>
      <c r="P15" s="1266">
        <v>7967</v>
      </c>
      <c r="Q15" s="69">
        <v>7947</v>
      </c>
      <c r="R15" s="920">
        <v>7950</v>
      </c>
      <c r="S15" s="1266">
        <v>7950</v>
      </c>
      <c r="T15" s="321"/>
      <c r="U15" s="321"/>
      <c r="V15" s="321"/>
    </row>
    <row r="16" spans="1:22" s="350" customFormat="1" ht="15" customHeight="1" x14ac:dyDescent="0.2">
      <c r="A16" s="358"/>
      <c r="B16" s="362"/>
      <c r="C16" s="360"/>
      <c r="D16" s="647"/>
      <c r="E16" s="653"/>
      <c r="F16" s="1854"/>
      <c r="G16" s="197"/>
      <c r="H16" s="361"/>
      <c r="I16" s="1252"/>
      <c r="J16" s="204" t="s">
        <v>18</v>
      </c>
      <c r="K16" s="755">
        <v>53.2</v>
      </c>
      <c r="L16" s="196">
        <v>0</v>
      </c>
      <c r="M16" s="162">
        <v>0</v>
      </c>
      <c r="N16" s="760">
        <v>0</v>
      </c>
      <c r="O16" s="1219"/>
      <c r="P16" s="948"/>
      <c r="Q16" s="1223"/>
      <c r="R16" s="1233"/>
      <c r="S16" s="948"/>
      <c r="T16" s="321"/>
    </row>
    <row r="17" spans="1:22" s="350" customFormat="1" ht="15.75" customHeight="1" thickBot="1" x14ac:dyDescent="0.25">
      <c r="A17" s="358"/>
      <c r="B17" s="362"/>
      <c r="C17" s="360"/>
      <c r="D17" s="668"/>
      <c r="E17" s="671"/>
      <c r="F17" s="1855"/>
      <c r="G17" s="197"/>
      <c r="H17" s="361"/>
      <c r="I17" s="1252"/>
      <c r="J17" s="308" t="s">
        <v>43</v>
      </c>
      <c r="K17" s="761">
        <f>3649.9+5</f>
        <v>3654.9</v>
      </c>
      <c r="L17" s="762">
        <v>3671.5</v>
      </c>
      <c r="M17" s="763">
        <v>3671.5</v>
      </c>
      <c r="N17" s="764">
        <v>3671.5</v>
      </c>
      <c r="O17" s="323"/>
      <c r="P17" s="413"/>
      <c r="Q17" s="307"/>
      <c r="R17" s="530"/>
      <c r="S17" s="413"/>
      <c r="T17" s="317"/>
    </row>
    <row r="18" spans="1:22" s="350" customFormat="1" ht="15.75" customHeight="1" x14ac:dyDescent="0.2">
      <c r="A18" s="358"/>
      <c r="B18" s="362"/>
      <c r="C18" s="360"/>
      <c r="D18" s="647" t="s">
        <v>17</v>
      </c>
      <c r="E18" s="653"/>
      <c r="F18" s="1853" t="s">
        <v>151</v>
      </c>
      <c r="G18" s="197"/>
      <c r="H18" s="361"/>
      <c r="I18" s="1252"/>
      <c r="J18" s="105" t="s">
        <v>18</v>
      </c>
      <c r="K18" s="765">
        <f>281.1+12.2</f>
        <v>293.3</v>
      </c>
      <c r="L18" s="858">
        <v>435.2</v>
      </c>
      <c r="M18" s="1185">
        <v>435.2</v>
      </c>
      <c r="N18" s="859">
        <v>435.2</v>
      </c>
      <c r="O18" s="1225" t="s">
        <v>118</v>
      </c>
      <c r="P18" s="315">
        <v>7</v>
      </c>
      <c r="Q18" s="311">
        <v>7</v>
      </c>
      <c r="R18" s="299">
        <v>7</v>
      </c>
      <c r="S18" s="316">
        <v>7</v>
      </c>
    </row>
    <row r="19" spans="1:22" s="350" customFormat="1" ht="14.25" customHeight="1" x14ac:dyDescent="0.2">
      <c r="A19" s="358"/>
      <c r="B19" s="359"/>
      <c r="C19" s="360"/>
      <c r="D19" s="647"/>
      <c r="E19" s="653"/>
      <c r="F19" s="1854"/>
      <c r="G19" s="197"/>
      <c r="H19" s="361"/>
      <c r="I19" s="1252"/>
      <c r="J19" s="101"/>
      <c r="K19" s="766"/>
      <c r="L19" s="767"/>
      <c r="M19" s="768"/>
      <c r="N19" s="769"/>
      <c r="O19" s="198" t="s">
        <v>119</v>
      </c>
      <c r="P19" s="1266">
        <v>301</v>
      </c>
      <c r="Q19" s="69">
        <v>340</v>
      </c>
      <c r="R19" s="920">
        <v>340</v>
      </c>
      <c r="S19" s="1266">
        <v>340</v>
      </c>
    </row>
    <row r="20" spans="1:22" s="350" customFormat="1" ht="15" customHeight="1" thickBot="1" x14ac:dyDescent="0.25">
      <c r="A20" s="358"/>
      <c r="B20" s="362"/>
      <c r="C20" s="360"/>
      <c r="D20" s="647"/>
      <c r="E20" s="653"/>
      <c r="F20" s="1854"/>
      <c r="G20" s="197"/>
      <c r="H20" s="361"/>
      <c r="I20" s="1252"/>
      <c r="J20" s="308"/>
      <c r="K20" s="761"/>
      <c r="L20" s="762"/>
      <c r="M20" s="763"/>
      <c r="N20" s="764"/>
      <c r="O20" s="323"/>
      <c r="P20" s="413"/>
      <c r="Q20" s="307"/>
      <c r="R20" s="530"/>
      <c r="S20" s="413"/>
    </row>
    <row r="21" spans="1:22" s="350" customFormat="1" ht="12.75" customHeight="1" x14ac:dyDescent="0.2">
      <c r="A21" s="363"/>
      <c r="B21" s="362"/>
      <c r="C21" s="364"/>
      <c r="D21" s="652" t="s">
        <v>19</v>
      </c>
      <c r="E21" s="652"/>
      <c r="F21" s="1856" t="s">
        <v>70</v>
      </c>
      <c r="G21" s="197"/>
      <c r="H21" s="638"/>
      <c r="I21" s="1252"/>
      <c r="J21" s="204" t="s">
        <v>15</v>
      </c>
      <c r="K21" s="759">
        <v>870.1</v>
      </c>
      <c r="L21" s="139">
        <v>960.7</v>
      </c>
      <c r="M21" s="191">
        <f>+L21</f>
        <v>960.7</v>
      </c>
      <c r="N21" s="110">
        <f>+M21</f>
        <v>960.7</v>
      </c>
      <c r="O21" s="193" t="s">
        <v>118</v>
      </c>
      <c r="P21" s="948">
        <v>4</v>
      </c>
      <c r="Q21" s="304">
        <v>4</v>
      </c>
      <c r="R21" s="1223">
        <v>4</v>
      </c>
      <c r="S21" s="948">
        <v>4</v>
      </c>
    </row>
    <row r="22" spans="1:22" s="350" customFormat="1" ht="15.75" customHeight="1" x14ac:dyDescent="0.2">
      <c r="A22" s="363"/>
      <c r="B22" s="362"/>
      <c r="C22" s="365"/>
      <c r="D22" s="653"/>
      <c r="E22" s="653"/>
      <c r="F22" s="1854"/>
      <c r="G22" s="197"/>
      <c r="H22" s="638"/>
      <c r="I22" s="1252"/>
      <c r="J22" s="204" t="s">
        <v>18</v>
      </c>
      <c r="K22" s="755">
        <f>1396.9+37.5</f>
        <v>1434.4</v>
      </c>
      <c r="L22" s="196">
        <v>1527</v>
      </c>
      <c r="M22" s="162">
        <v>1527</v>
      </c>
      <c r="N22" s="1186">
        <v>1527</v>
      </c>
      <c r="O22" s="198" t="s">
        <v>119</v>
      </c>
      <c r="P22" s="1266">
        <v>1319</v>
      </c>
      <c r="Q22" s="921">
        <v>1301</v>
      </c>
      <c r="R22" s="920">
        <v>1300</v>
      </c>
      <c r="S22" s="1266">
        <v>1300</v>
      </c>
    </row>
    <row r="23" spans="1:22" s="350" customFormat="1" ht="15.75" customHeight="1" thickBot="1" x14ac:dyDescent="0.25">
      <c r="A23" s="363"/>
      <c r="B23" s="362"/>
      <c r="C23" s="365"/>
      <c r="D23" s="663"/>
      <c r="E23" s="663"/>
      <c r="F23" s="1857"/>
      <c r="G23" s="197"/>
      <c r="H23" s="361"/>
      <c r="I23" s="1252"/>
      <c r="J23" s="121" t="s">
        <v>43</v>
      </c>
      <c r="K23" s="755">
        <v>423</v>
      </c>
      <c r="L23" s="196">
        <f>367.2+49.2</f>
        <v>416.4</v>
      </c>
      <c r="M23" s="162">
        <f>+L23</f>
        <v>416.4</v>
      </c>
      <c r="N23" s="760">
        <f>+M23</f>
        <v>416.4</v>
      </c>
      <c r="O23" s="260" t="s">
        <v>616</v>
      </c>
      <c r="P23" s="948">
        <v>925</v>
      </c>
      <c r="Q23" s="1223">
        <v>904</v>
      </c>
      <c r="R23" s="57">
        <v>900</v>
      </c>
      <c r="S23" s="948">
        <v>900</v>
      </c>
    </row>
    <row r="24" spans="1:22" s="350" customFormat="1" ht="15.75" customHeight="1" x14ac:dyDescent="0.2">
      <c r="A24" s="366"/>
      <c r="B24" s="359"/>
      <c r="C24" s="365"/>
      <c r="D24" s="653" t="s">
        <v>21</v>
      </c>
      <c r="E24" s="653"/>
      <c r="F24" s="1854" t="s">
        <v>152</v>
      </c>
      <c r="G24" s="197"/>
      <c r="H24" s="367"/>
      <c r="I24" s="1248"/>
      <c r="J24" s="213" t="s">
        <v>15</v>
      </c>
      <c r="K24" s="765">
        <v>6762</v>
      </c>
      <c r="L24" s="1062">
        <v>7204.1</v>
      </c>
      <c r="M24" s="701">
        <f>+L24</f>
        <v>7204.1</v>
      </c>
      <c r="N24" s="890">
        <f>+M24</f>
        <v>7204.1</v>
      </c>
      <c r="O24" s="194" t="s">
        <v>118</v>
      </c>
      <c r="P24" s="170">
        <v>32</v>
      </c>
      <c r="Q24" s="302">
        <v>32</v>
      </c>
      <c r="R24" s="171">
        <v>32</v>
      </c>
      <c r="S24" s="170">
        <v>32</v>
      </c>
    </row>
    <row r="25" spans="1:22" s="350" customFormat="1" ht="15.75" customHeight="1" x14ac:dyDescent="0.2">
      <c r="A25" s="366"/>
      <c r="B25" s="359"/>
      <c r="C25" s="365"/>
      <c r="D25" s="653"/>
      <c r="E25" s="653"/>
      <c r="F25" s="1854"/>
      <c r="G25" s="197"/>
      <c r="H25" s="367"/>
      <c r="I25" s="1248"/>
      <c r="J25" s="204" t="s">
        <v>18</v>
      </c>
      <c r="K25" s="774">
        <f>24101.1+73.9+720</f>
        <v>24895</v>
      </c>
      <c r="L25" s="775">
        <f>9646.6+16535.9</f>
        <v>26182.5</v>
      </c>
      <c r="M25" s="114">
        <v>26182.5</v>
      </c>
      <c r="N25" s="114">
        <v>26182.5</v>
      </c>
      <c r="O25" s="208" t="s">
        <v>119</v>
      </c>
      <c r="P25" s="50">
        <v>17398</v>
      </c>
      <c r="Q25" s="312">
        <v>17606</v>
      </c>
      <c r="R25" s="54">
        <v>17606</v>
      </c>
      <c r="S25" s="50">
        <v>17606</v>
      </c>
    </row>
    <row r="26" spans="1:22" s="350" customFormat="1" ht="15.75" customHeight="1" x14ac:dyDescent="0.2">
      <c r="A26" s="366"/>
      <c r="B26" s="359"/>
      <c r="C26" s="365"/>
      <c r="D26" s="653"/>
      <c r="E26" s="653"/>
      <c r="F26" s="1854"/>
      <c r="G26" s="197"/>
      <c r="H26" s="367"/>
      <c r="I26" s="1248"/>
      <c r="J26" s="121" t="s">
        <v>18</v>
      </c>
      <c r="K26" s="755">
        <v>983.1</v>
      </c>
      <c r="L26" s="196">
        <v>1056.2</v>
      </c>
      <c r="M26" s="162">
        <v>1056.2</v>
      </c>
      <c r="N26" s="886">
        <v>1056.2</v>
      </c>
      <c r="O26" s="260" t="s">
        <v>158</v>
      </c>
      <c r="P26" s="948">
        <v>17217</v>
      </c>
      <c r="Q26" s="304">
        <v>17423</v>
      </c>
      <c r="R26" s="57">
        <v>17420</v>
      </c>
      <c r="S26" s="948">
        <v>17420</v>
      </c>
    </row>
    <row r="27" spans="1:22" s="350" customFormat="1" ht="15.75" customHeight="1" x14ac:dyDescent="0.2">
      <c r="A27" s="366"/>
      <c r="B27" s="359"/>
      <c r="C27" s="365"/>
      <c r="D27" s="653"/>
      <c r="E27" s="653"/>
      <c r="F27" s="1854"/>
      <c r="G27" s="197"/>
      <c r="H27" s="367"/>
      <c r="I27" s="1248"/>
      <c r="J27" s="121" t="s">
        <v>18</v>
      </c>
      <c r="K27" s="755">
        <v>78.900000000000006</v>
      </c>
      <c r="L27" s="776">
        <v>0</v>
      </c>
      <c r="M27" s="771">
        <v>0</v>
      </c>
      <c r="N27" s="772">
        <v>0</v>
      </c>
      <c r="O27" s="260"/>
      <c r="P27" s="948"/>
      <c r="Q27" s="304"/>
      <c r="R27" s="57"/>
      <c r="S27" s="948"/>
    </row>
    <row r="28" spans="1:22" s="350" customFormat="1" ht="19.5" customHeight="1" x14ac:dyDescent="0.2">
      <c r="A28" s="366"/>
      <c r="B28" s="359"/>
      <c r="C28" s="365"/>
      <c r="D28" s="653"/>
      <c r="E28" s="653"/>
      <c r="F28" s="1854"/>
      <c r="G28" s="197"/>
      <c r="H28" s="367"/>
      <c r="I28" s="1248"/>
      <c r="J28" s="101" t="s">
        <v>43</v>
      </c>
      <c r="K28" s="432">
        <f>1014.3+27.8</f>
        <v>1042.0999999999999</v>
      </c>
      <c r="L28" s="272">
        <v>1035.4000000000001</v>
      </c>
      <c r="M28" s="263">
        <f>+L28</f>
        <v>1035.4000000000001</v>
      </c>
      <c r="N28" s="36">
        <f>+M28</f>
        <v>1035.4000000000001</v>
      </c>
      <c r="O28" s="260"/>
      <c r="P28" s="948"/>
      <c r="Q28" s="304"/>
      <c r="R28" s="57"/>
      <c r="S28" s="948"/>
    </row>
    <row r="29" spans="1:22" s="350" customFormat="1" ht="21" customHeight="1" x14ac:dyDescent="0.2">
      <c r="A29" s="366"/>
      <c r="B29" s="359"/>
      <c r="C29" s="365"/>
      <c r="D29" s="653"/>
      <c r="E29" s="670" t="s">
        <v>14</v>
      </c>
      <c r="F29" s="1853" t="s">
        <v>637</v>
      </c>
      <c r="G29" s="197"/>
      <c r="H29" s="367"/>
      <c r="I29" s="1248"/>
      <c r="J29" s="85" t="s">
        <v>15</v>
      </c>
      <c r="K29" s="432"/>
      <c r="L29" s="147">
        <v>66.8</v>
      </c>
      <c r="M29" s="262">
        <v>113</v>
      </c>
      <c r="N29" s="51"/>
      <c r="O29" s="198" t="s">
        <v>118</v>
      </c>
      <c r="P29" s="1266"/>
      <c r="Q29" s="921">
        <v>6</v>
      </c>
      <c r="R29" s="920">
        <v>6</v>
      </c>
      <c r="S29" s="1266"/>
      <c r="T29" s="321"/>
      <c r="U29" s="321"/>
      <c r="V29" s="321"/>
    </row>
    <row r="30" spans="1:22" s="350" customFormat="1" ht="21" customHeight="1" thickBot="1" x14ac:dyDescent="0.25">
      <c r="A30" s="366"/>
      <c r="B30" s="359"/>
      <c r="C30" s="365"/>
      <c r="D30" s="653"/>
      <c r="E30" s="653"/>
      <c r="F30" s="1857"/>
      <c r="G30" s="197"/>
      <c r="H30" s="367"/>
      <c r="I30" s="1248"/>
      <c r="J30" s="319" t="s">
        <v>4</v>
      </c>
      <c r="K30" s="796"/>
      <c r="L30" s="1178">
        <v>509.4</v>
      </c>
      <c r="M30" s="1179">
        <v>509.4</v>
      </c>
      <c r="N30" s="1056"/>
      <c r="O30" s="323"/>
      <c r="P30" s="413"/>
      <c r="Q30" s="1284"/>
      <c r="R30" s="530"/>
      <c r="S30" s="413"/>
    </row>
    <row r="31" spans="1:22" s="350" customFormat="1" ht="21.75" customHeight="1" x14ac:dyDescent="0.2">
      <c r="A31" s="366"/>
      <c r="B31" s="359"/>
      <c r="C31" s="365"/>
      <c r="D31" s="652" t="s">
        <v>22</v>
      </c>
      <c r="E31" s="652"/>
      <c r="F31" s="1856" t="s">
        <v>153</v>
      </c>
      <c r="G31" s="197"/>
      <c r="H31" s="367"/>
      <c r="I31" s="1248"/>
      <c r="J31" s="105" t="s">
        <v>18</v>
      </c>
      <c r="K31" s="765">
        <f>1264.5+66.4</f>
        <v>1330.9</v>
      </c>
      <c r="L31" s="756">
        <v>1854.4</v>
      </c>
      <c r="M31" s="757">
        <v>1854.4</v>
      </c>
      <c r="N31" s="758">
        <v>1854.4</v>
      </c>
      <c r="O31" s="194" t="s">
        <v>118</v>
      </c>
      <c r="P31" s="170">
        <v>5</v>
      </c>
      <c r="Q31" s="302">
        <v>5</v>
      </c>
      <c r="R31" s="171">
        <v>5</v>
      </c>
      <c r="S31" s="170">
        <v>5</v>
      </c>
    </row>
    <row r="32" spans="1:22" s="350" customFormat="1" ht="21.75" customHeight="1" thickBot="1" x14ac:dyDescent="0.25">
      <c r="A32" s="366"/>
      <c r="B32" s="359"/>
      <c r="C32" s="365"/>
      <c r="D32" s="663"/>
      <c r="E32" s="663"/>
      <c r="F32" s="1857"/>
      <c r="G32" s="197"/>
      <c r="H32" s="367"/>
      <c r="I32" s="1248"/>
      <c r="J32" s="308"/>
      <c r="K32" s="761"/>
      <c r="L32" s="762"/>
      <c r="M32" s="763"/>
      <c r="N32" s="764"/>
      <c r="O32" s="209" t="s">
        <v>119</v>
      </c>
      <c r="P32" s="52">
        <v>989</v>
      </c>
      <c r="Q32" s="313">
        <v>1100</v>
      </c>
      <c r="R32" s="282">
        <v>1100</v>
      </c>
      <c r="S32" s="52">
        <v>1100</v>
      </c>
    </row>
    <row r="33" spans="1:23" s="350" customFormat="1" ht="21.75" customHeight="1" x14ac:dyDescent="0.2">
      <c r="A33" s="366"/>
      <c r="B33" s="359"/>
      <c r="C33" s="365"/>
      <c r="D33" s="653" t="s">
        <v>96</v>
      </c>
      <c r="E33" s="653"/>
      <c r="F33" s="1858" t="s">
        <v>279</v>
      </c>
      <c r="G33" s="59"/>
      <c r="H33" s="368"/>
      <c r="I33" s="1279"/>
      <c r="J33" s="101" t="s">
        <v>15</v>
      </c>
      <c r="K33" s="766">
        <v>174.4</v>
      </c>
      <c r="L33" s="775">
        <v>55.8</v>
      </c>
      <c r="M33" s="114">
        <v>55.8</v>
      </c>
      <c r="N33" s="232">
        <v>55.8</v>
      </c>
      <c r="O33" s="1887" t="s">
        <v>219</v>
      </c>
      <c r="P33" s="316">
        <v>2050</v>
      </c>
      <c r="Q33" s="311">
        <v>2019</v>
      </c>
      <c r="R33" s="298">
        <v>2020</v>
      </c>
      <c r="S33" s="316">
        <v>2020</v>
      </c>
    </row>
    <row r="34" spans="1:23" s="371" customFormat="1" ht="19.5" customHeight="1" x14ac:dyDescent="0.2">
      <c r="A34" s="358"/>
      <c r="B34" s="359"/>
      <c r="C34" s="364"/>
      <c r="D34" s="653"/>
      <c r="E34" s="653"/>
      <c r="F34" s="1863"/>
      <c r="G34" s="369"/>
      <c r="H34" s="370"/>
      <c r="I34" s="1252"/>
      <c r="J34" s="95"/>
      <c r="K34" s="759"/>
      <c r="L34" s="770"/>
      <c r="M34" s="771"/>
      <c r="N34" s="772"/>
      <c r="O34" s="2088"/>
      <c r="P34" s="1267"/>
      <c r="Q34" s="305"/>
      <c r="R34" s="60"/>
      <c r="S34" s="1267"/>
    </row>
    <row r="35" spans="1:23" s="350" customFormat="1" ht="15.75" customHeight="1" x14ac:dyDescent="0.2">
      <c r="A35" s="366"/>
      <c r="B35" s="359"/>
      <c r="C35" s="365"/>
      <c r="D35" s="670" t="s">
        <v>97</v>
      </c>
      <c r="E35" s="670"/>
      <c r="F35" s="1853" t="s">
        <v>121</v>
      </c>
      <c r="G35" s="197"/>
      <c r="H35" s="367"/>
      <c r="I35" s="1248"/>
      <c r="J35" s="121" t="s">
        <v>15</v>
      </c>
      <c r="K35" s="755">
        <v>1.7</v>
      </c>
      <c r="L35" s="196"/>
      <c r="M35" s="162"/>
      <c r="N35" s="760"/>
      <c r="O35" s="1218" t="s">
        <v>120</v>
      </c>
      <c r="P35" s="200" t="s">
        <v>122</v>
      </c>
      <c r="Q35" s="314"/>
      <c r="R35" s="300"/>
      <c r="S35" s="301"/>
      <c r="T35" s="349"/>
    </row>
    <row r="36" spans="1:23" s="350" customFormat="1" ht="15" customHeight="1" thickBot="1" x14ac:dyDescent="0.25">
      <c r="A36" s="366"/>
      <c r="B36" s="359"/>
      <c r="C36" s="365"/>
      <c r="D36" s="653"/>
      <c r="E36" s="653"/>
      <c r="F36" s="1855"/>
      <c r="G36" s="197"/>
      <c r="H36" s="367"/>
      <c r="I36" s="1248"/>
      <c r="J36" s="85" t="s">
        <v>18</v>
      </c>
      <c r="K36" s="774">
        <v>0.6</v>
      </c>
      <c r="L36" s="777"/>
      <c r="M36" s="778"/>
      <c r="N36" s="779"/>
      <c r="O36" s="260"/>
      <c r="P36" s="948"/>
      <c r="Q36" s="71"/>
      <c r="R36" s="60"/>
      <c r="S36" s="1267"/>
    </row>
    <row r="37" spans="1:23" s="350" customFormat="1" ht="16.5" customHeight="1" x14ac:dyDescent="0.2">
      <c r="A37" s="363"/>
      <c r="B37" s="359"/>
      <c r="C37" s="365"/>
      <c r="D37" s="670" t="s">
        <v>267</v>
      </c>
      <c r="E37" s="670"/>
      <c r="F37" s="1853" t="s">
        <v>149</v>
      </c>
      <c r="G37" s="1226"/>
      <c r="H37" s="361"/>
      <c r="I37" s="1252"/>
      <c r="J37" s="105" t="s">
        <v>15</v>
      </c>
      <c r="K37" s="786">
        <v>5729.4</v>
      </c>
      <c r="L37" s="134">
        <f>6222.8-127-237.1</f>
        <v>5858.7</v>
      </c>
      <c r="M37" s="153">
        <f>+L37</f>
        <v>5858.7</v>
      </c>
      <c r="N37" s="149">
        <f>+M37</f>
        <v>5858.7</v>
      </c>
      <c r="O37" s="194" t="s">
        <v>118</v>
      </c>
      <c r="P37" s="170">
        <v>6</v>
      </c>
      <c r="Q37" s="302">
        <v>6</v>
      </c>
      <c r="R37" s="169">
        <v>6</v>
      </c>
      <c r="S37" s="170">
        <v>6</v>
      </c>
    </row>
    <row r="38" spans="1:23" s="350" customFormat="1" ht="15.75" customHeight="1" x14ac:dyDescent="0.2">
      <c r="A38" s="363"/>
      <c r="B38" s="359"/>
      <c r="C38" s="365"/>
      <c r="D38" s="653"/>
      <c r="E38" s="653"/>
      <c r="F38" s="1854"/>
      <c r="G38" s="1226"/>
      <c r="H38" s="361"/>
      <c r="I38" s="1252"/>
      <c r="J38" s="121" t="s">
        <v>18</v>
      </c>
      <c r="K38" s="619">
        <v>129.80000000000001</v>
      </c>
      <c r="L38" s="196">
        <v>137.80000000000001</v>
      </c>
      <c r="M38" s="162">
        <f t="shared" ref="M38:N38" si="0">+L38</f>
        <v>137.80000000000001</v>
      </c>
      <c r="N38" s="760">
        <f t="shared" si="0"/>
        <v>137.80000000000001</v>
      </c>
      <c r="O38" s="198" t="s">
        <v>119</v>
      </c>
      <c r="P38" s="1311">
        <v>5430</v>
      </c>
      <c r="Q38" s="921">
        <v>5564</v>
      </c>
      <c r="R38" s="920">
        <v>5560</v>
      </c>
      <c r="S38" s="1311">
        <v>5560</v>
      </c>
      <c r="U38" s="1842"/>
      <c r="V38" s="1842"/>
      <c r="W38" s="1842"/>
    </row>
    <row r="39" spans="1:23" s="350" customFormat="1" ht="15.75" customHeight="1" x14ac:dyDescent="0.2">
      <c r="A39" s="363"/>
      <c r="B39" s="359"/>
      <c r="C39" s="365"/>
      <c r="D39" s="653"/>
      <c r="E39" s="653"/>
      <c r="F39" s="1854"/>
      <c r="G39" s="1309"/>
      <c r="H39" s="361"/>
      <c r="I39" s="1310"/>
      <c r="J39" s="121" t="s">
        <v>18</v>
      </c>
      <c r="K39" s="432"/>
      <c r="L39" s="777">
        <v>237.1</v>
      </c>
      <c r="M39" s="778"/>
      <c r="N39" s="779"/>
      <c r="O39" s="260"/>
      <c r="P39" s="1312"/>
      <c r="Q39" s="305"/>
      <c r="R39" s="60"/>
      <c r="S39" s="1312"/>
      <c r="U39" s="1842"/>
      <c r="V39" s="1842"/>
      <c r="W39" s="1842"/>
    </row>
    <row r="40" spans="1:23" s="350" customFormat="1" ht="43.5" customHeight="1" x14ac:dyDescent="0.2">
      <c r="A40" s="363"/>
      <c r="B40" s="359"/>
      <c r="C40" s="365"/>
      <c r="D40" s="653"/>
      <c r="E40" s="653"/>
      <c r="F40" s="1854"/>
      <c r="G40" s="1226"/>
      <c r="H40" s="361"/>
      <c r="I40" s="1252"/>
      <c r="J40" s="101" t="s">
        <v>43</v>
      </c>
      <c r="K40" s="432">
        <f>324.5+3.5</f>
        <v>328</v>
      </c>
      <c r="L40" s="777">
        <v>330</v>
      </c>
      <c r="M40" s="778">
        <f t="shared" ref="M40:N40" si="1">+L40</f>
        <v>330</v>
      </c>
      <c r="N40" s="779">
        <f t="shared" si="1"/>
        <v>330</v>
      </c>
      <c r="O40" s="198" t="s">
        <v>220</v>
      </c>
      <c r="P40" s="50"/>
      <c r="Q40" s="303">
        <f>SUM(Q41:Q43)</f>
        <v>230</v>
      </c>
      <c r="R40" s="54">
        <f t="shared" ref="R40:S40" si="2">SUM(R41:R43)</f>
        <v>230</v>
      </c>
      <c r="S40" s="50">
        <f t="shared" si="2"/>
        <v>230</v>
      </c>
      <c r="U40" s="1842"/>
      <c r="V40" s="1842"/>
      <c r="W40" s="1842"/>
    </row>
    <row r="41" spans="1:23" s="350" customFormat="1" ht="17.25" customHeight="1" x14ac:dyDescent="0.2">
      <c r="A41" s="363"/>
      <c r="B41" s="359"/>
      <c r="C41" s="365"/>
      <c r="D41" s="653"/>
      <c r="E41" s="653"/>
      <c r="F41" s="1854"/>
      <c r="G41" s="1226"/>
      <c r="H41" s="361"/>
      <c r="I41" s="1252"/>
      <c r="J41" s="101"/>
      <c r="K41" s="618"/>
      <c r="L41" s="775"/>
      <c r="M41" s="114"/>
      <c r="N41" s="232"/>
      <c r="O41" s="208" t="s">
        <v>221</v>
      </c>
      <c r="P41" s="50"/>
      <c r="Q41" s="303">
        <v>100</v>
      </c>
      <c r="R41" s="54">
        <v>100</v>
      </c>
      <c r="S41" s="50">
        <v>100</v>
      </c>
      <c r="U41" s="1223"/>
      <c r="V41" s="1223"/>
      <c r="W41" s="1223"/>
    </row>
    <row r="42" spans="1:23" s="350" customFormat="1" ht="18" customHeight="1" x14ac:dyDescent="0.2">
      <c r="A42" s="363"/>
      <c r="B42" s="359"/>
      <c r="C42" s="365"/>
      <c r="D42" s="653"/>
      <c r="E42" s="653"/>
      <c r="F42" s="1854"/>
      <c r="G42" s="1226"/>
      <c r="H42" s="361"/>
      <c r="I42" s="1252"/>
      <c r="J42" s="101"/>
      <c r="K42" s="618"/>
      <c r="L42" s="775"/>
      <c r="M42" s="114"/>
      <c r="N42" s="232"/>
      <c r="O42" s="208" t="s">
        <v>222</v>
      </c>
      <c r="P42" s="50"/>
      <c r="Q42" s="303">
        <v>15</v>
      </c>
      <c r="R42" s="54">
        <v>15</v>
      </c>
      <c r="S42" s="50">
        <v>15</v>
      </c>
      <c r="U42" s="1223"/>
      <c r="V42" s="1223"/>
      <c r="W42" s="1223"/>
    </row>
    <row r="43" spans="1:23" s="350" customFormat="1" ht="30" customHeight="1" x14ac:dyDescent="0.2">
      <c r="A43" s="363"/>
      <c r="B43" s="359"/>
      <c r="C43" s="365"/>
      <c r="D43" s="653"/>
      <c r="E43" s="653"/>
      <c r="F43" s="1854"/>
      <c r="G43" s="1226"/>
      <c r="H43" s="361"/>
      <c r="I43" s="1252"/>
      <c r="J43" s="101"/>
      <c r="K43" s="618"/>
      <c r="L43" s="775"/>
      <c r="M43" s="114"/>
      <c r="N43" s="232"/>
      <c r="O43" s="208" t="s">
        <v>223</v>
      </c>
      <c r="P43" s="50"/>
      <c r="Q43" s="303">
        <v>115</v>
      </c>
      <c r="R43" s="54">
        <v>115</v>
      </c>
      <c r="S43" s="50">
        <v>115</v>
      </c>
      <c r="U43" s="1223"/>
      <c r="V43" s="1223"/>
      <c r="W43" s="1223"/>
    </row>
    <row r="44" spans="1:23" s="350" customFormat="1" ht="55.5" customHeight="1" thickBot="1" x14ac:dyDescent="0.25">
      <c r="A44" s="363"/>
      <c r="B44" s="359"/>
      <c r="C44" s="365"/>
      <c r="D44" s="671"/>
      <c r="E44" s="671"/>
      <c r="F44" s="1855"/>
      <c r="G44" s="1226"/>
      <c r="H44" s="361"/>
      <c r="I44" s="1252"/>
      <c r="J44" s="308"/>
      <c r="K44" s="780"/>
      <c r="L44" s="762"/>
      <c r="M44" s="763"/>
      <c r="N44" s="764"/>
      <c r="O44" s="209" t="s">
        <v>224</v>
      </c>
      <c r="P44" s="52"/>
      <c r="Q44" s="372">
        <v>5000</v>
      </c>
      <c r="R44" s="282">
        <v>5000</v>
      </c>
      <c r="S44" s="52">
        <v>5000</v>
      </c>
      <c r="U44" s="1223"/>
      <c r="V44" s="1223"/>
      <c r="W44" s="1223"/>
    </row>
    <row r="45" spans="1:23" s="350" customFormat="1" ht="12.75" customHeight="1" x14ac:dyDescent="0.2">
      <c r="A45" s="363"/>
      <c r="B45" s="359"/>
      <c r="C45" s="365"/>
      <c r="D45" s="653" t="s">
        <v>268</v>
      </c>
      <c r="E45" s="653"/>
      <c r="F45" s="2049" t="s">
        <v>50</v>
      </c>
      <c r="G45" s="1217"/>
      <c r="H45" s="361"/>
      <c r="I45" s="1252"/>
      <c r="J45" s="204" t="s">
        <v>15</v>
      </c>
      <c r="K45" s="759">
        <v>324.2</v>
      </c>
      <c r="L45" s="1063">
        <v>333.6</v>
      </c>
      <c r="M45" s="701">
        <f>+L45</f>
        <v>333.6</v>
      </c>
      <c r="N45" s="890">
        <f>+M45</f>
        <v>333.6</v>
      </c>
      <c r="O45" s="1219" t="s">
        <v>123</v>
      </c>
      <c r="P45" s="948">
        <v>5450</v>
      </c>
      <c r="Q45" s="318">
        <v>8500</v>
      </c>
      <c r="R45" s="298">
        <v>8500</v>
      </c>
      <c r="S45" s="316">
        <v>8501</v>
      </c>
    </row>
    <row r="46" spans="1:23" s="350" customFormat="1" x14ac:dyDescent="0.2">
      <c r="A46" s="363"/>
      <c r="B46" s="359"/>
      <c r="C46" s="365"/>
      <c r="D46" s="653"/>
      <c r="E46" s="653"/>
      <c r="F46" s="1843"/>
      <c r="G46" s="1217"/>
      <c r="H46" s="361"/>
      <c r="I46" s="1252"/>
      <c r="J46" s="121" t="s">
        <v>18</v>
      </c>
      <c r="K46" s="755">
        <v>252.8</v>
      </c>
      <c r="L46" s="196">
        <v>339.1</v>
      </c>
      <c r="M46" s="114">
        <v>339.1</v>
      </c>
      <c r="N46" s="232">
        <v>339.1</v>
      </c>
      <c r="O46" s="1219"/>
      <c r="P46" s="948"/>
      <c r="Q46" s="279"/>
      <c r="R46" s="57"/>
      <c r="S46" s="948"/>
    </row>
    <row r="47" spans="1:23" s="350" customFormat="1" ht="13.5" thickBot="1" x14ac:dyDescent="0.25">
      <c r="A47" s="363"/>
      <c r="B47" s="359"/>
      <c r="C47" s="365"/>
      <c r="D47" s="653"/>
      <c r="E47" s="653"/>
      <c r="F47" s="2050"/>
      <c r="G47" s="1217"/>
      <c r="H47" s="361"/>
      <c r="I47" s="1252"/>
      <c r="J47" s="85" t="s">
        <v>43</v>
      </c>
      <c r="K47" s="755">
        <v>20</v>
      </c>
      <c r="L47" s="196">
        <v>20</v>
      </c>
      <c r="M47" s="162">
        <v>20</v>
      </c>
      <c r="N47" s="760">
        <v>20</v>
      </c>
      <c r="O47" s="1219"/>
      <c r="P47" s="948"/>
      <c r="Q47" s="279"/>
      <c r="R47" s="57"/>
      <c r="S47" s="948"/>
    </row>
    <row r="48" spans="1:23" s="350" customFormat="1" ht="14.25" customHeight="1" x14ac:dyDescent="0.2">
      <c r="A48" s="363"/>
      <c r="B48" s="359"/>
      <c r="C48" s="365"/>
      <c r="D48" s="670" t="s">
        <v>5</v>
      </c>
      <c r="E48" s="670"/>
      <c r="F48" s="1839" t="s">
        <v>124</v>
      </c>
      <c r="G48" s="1217"/>
      <c r="H48" s="361"/>
      <c r="I48" s="1252"/>
      <c r="J48" s="213" t="s">
        <v>198</v>
      </c>
      <c r="K48" s="591">
        <v>43.3</v>
      </c>
      <c r="L48" s="781">
        <v>43.3</v>
      </c>
      <c r="M48" s="320">
        <v>7.7</v>
      </c>
      <c r="N48" s="773"/>
      <c r="O48" s="1232" t="s">
        <v>80</v>
      </c>
      <c r="P48" s="316">
        <v>85</v>
      </c>
      <c r="Q48" s="318">
        <v>85</v>
      </c>
      <c r="R48" s="298">
        <v>100</v>
      </c>
      <c r="S48" s="316">
        <v>0</v>
      </c>
    </row>
    <row r="49" spans="1:19" s="350" customFormat="1" ht="14.25" customHeight="1" x14ac:dyDescent="0.2">
      <c r="A49" s="363"/>
      <c r="B49" s="359"/>
      <c r="C49" s="365"/>
      <c r="D49" s="653"/>
      <c r="E49" s="653"/>
      <c r="F49" s="1840"/>
      <c r="G49" s="1217"/>
      <c r="H49" s="361"/>
      <c r="I49" s="1252"/>
      <c r="J49" s="121" t="s">
        <v>15</v>
      </c>
      <c r="K49" s="774">
        <v>3.8</v>
      </c>
      <c r="L49" s="777">
        <v>3.8</v>
      </c>
      <c r="M49" s="162">
        <v>0.7</v>
      </c>
      <c r="N49" s="760"/>
      <c r="O49" s="1219"/>
      <c r="P49" s="948"/>
      <c r="Q49" s="279"/>
      <c r="R49" s="57"/>
      <c r="S49" s="948"/>
    </row>
    <row r="50" spans="1:19" s="350" customFormat="1" ht="14.25" customHeight="1" thickBot="1" x14ac:dyDescent="0.25">
      <c r="A50" s="363"/>
      <c r="B50" s="359"/>
      <c r="C50" s="365"/>
      <c r="D50" s="671"/>
      <c r="E50" s="671"/>
      <c r="F50" s="1841"/>
      <c r="G50" s="1217"/>
      <c r="H50" s="361"/>
      <c r="I50" s="1252"/>
      <c r="J50" s="319" t="s">
        <v>3</v>
      </c>
      <c r="K50" s="782">
        <v>3.8</v>
      </c>
      <c r="L50" s="783">
        <v>3.8</v>
      </c>
      <c r="M50" s="784">
        <v>0.7</v>
      </c>
      <c r="N50" s="785"/>
      <c r="O50" s="206"/>
      <c r="P50" s="413"/>
      <c r="Q50" s="324"/>
      <c r="R50" s="530"/>
      <c r="S50" s="413"/>
    </row>
    <row r="51" spans="1:19" s="350" customFormat="1" ht="12.75" customHeight="1" x14ac:dyDescent="0.2">
      <c r="A51" s="373"/>
      <c r="B51" s="362"/>
      <c r="C51" s="360"/>
      <c r="D51" s="647" t="s">
        <v>269</v>
      </c>
      <c r="E51" s="653"/>
      <c r="F51" s="1839" t="s">
        <v>159</v>
      </c>
      <c r="G51" s="1222"/>
      <c r="H51" s="570"/>
      <c r="I51" s="1248"/>
      <c r="J51" s="213" t="s">
        <v>15</v>
      </c>
      <c r="K51" s="786">
        <v>387.8</v>
      </c>
      <c r="L51" s="1062">
        <v>430.5</v>
      </c>
      <c r="M51" s="701">
        <f>+L51</f>
        <v>430.5</v>
      </c>
      <c r="N51" s="890">
        <f>+M51</f>
        <v>430.5</v>
      </c>
      <c r="O51" s="1232" t="s">
        <v>123</v>
      </c>
      <c r="P51" s="316">
        <v>152</v>
      </c>
      <c r="Q51" s="318">
        <v>150</v>
      </c>
      <c r="R51" s="298">
        <v>150</v>
      </c>
      <c r="S51" s="316">
        <v>150</v>
      </c>
    </row>
    <row r="52" spans="1:19" s="350" customFormat="1" ht="12.75" customHeight="1" x14ac:dyDescent="0.2">
      <c r="A52" s="373"/>
      <c r="B52" s="362"/>
      <c r="C52" s="360"/>
      <c r="D52" s="647"/>
      <c r="E52" s="653"/>
      <c r="F52" s="1840"/>
      <c r="G52" s="1222"/>
      <c r="H52" s="367"/>
      <c r="I52" s="1248"/>
      <c r="J52" s="204" t="s">
        <v>18</v>
      </c>
      <c r="K52" s="619">
        <f>139.1+5.6</f>
        <v>144.69999999999999</v>
      </c>
      <c r="L52" s="77">
        <v>151.1</v>
      </c>
      <c r="M52" s="114">
        <v>151.1</v>
      </c>
      <c r="N52" s="232">
        <v>151.1</v>
      </c>
      <c r="O52" s="1219"/>
      <c r="P52" s="136"/>
      <c r="Q52" s="295"/>
      <c r="R52" s="135"/>
      <c r="S52" s="948"/>
    </row>
    <row r="53" spans="1:19" s="350" customFormat="1" ht="14.25" customHeight="1" thickBot="1" x14ac:dyDescent="0.25">
      <c r="A53" s="373"/>
      <c r="B53" s="362"/>
      <c r="C53" s="360"/>
      <c r="D53" s="647"/>
      <c r="E53" s="653"/>
      <c r="F53" s="1841"/>
      <c r="G53" s="1222"/>
      <c r="H53" s="367"/>
      <c r="I53" s="1248"/>
      <c r="J53" s="85" t="s">
        <v>43</v>
      </c>
      <c r="K53" s="619">
        <v>40</v>
      </c>
      <c r="L53" s="620">
        <v>39.6</v>
      </c>
      <c r="M53" s="162">
        <f>+L53</f>
        <v>39.6</v>
      </c>
      <c r="N53" s="760">
        <f>+M53</f>
        <v>39.6</v>
      </c>
      <c r="O53" s="1219"/>
      <c r="P53" s="136"/>
      <c r="Q53" s="295"/>
      <c r="R53" s="135"/>
      <c r="S53" s="136"/>
    </row>
    <row r="54" spans="1:19" s="350" customFormat="1" ht="42" customHeight="1" x14ac:dyDescent="0.2">
      <c r="A54" s="373"/>
      <c r="B54" s="362"/>
      <c r="C54" s="360"/>
      <c r="D54" s="669" t="s">
        <v>270</v>
      </c>
      <c r="E54" s="670"/>
      <c r="F54" s="1207" t="s">
        <v>160</v>
      </c>
      <c r="G54" s="1217"/>
      <c r="H54" s="361"/>
      <c r="I54" s="1252"/>
      <c r="J54" s="105" t="s">
        <v>15</v>
      </c>
      <c r="K54" s="765">
        <v>175.2</v>
      </c>
      <c r="L54" s="151">
        <v>218.5</v>
      </c>
      <c r="M54" s="112">
        <f>+L54</f>
        <v>218.5</v>
      </c>
      <c r="N54" s="38">
        <f>+M54</f>
        <v>218.5</v>
      </c>
      <c r="O54" s="194" t="s">
        <v>225</v>
      </c>
      <c r="P54" s="170">
        <v>695</v>
      </c>
      <c r="Q54" s="294">
        <v>695</v>
      </c>
      <c r="R54" s="171">
        <v>695</v>
      </c>
      <c r="S54" s="170">
        <v>695</v>
      </c>
    </row>
    <row r="55" spans="1:19" ht="21" customHeight="1" x14ac:dyDescent="0.2">
      <c r="A55" s="373"/>
      <c r="B55" s="362"/>
      <c r="C55" s="360"/>
      <c r="D55" s="647"/>
      <c r="E55" s="653"/>
      <c r="F55" s="1188"/>
      <c r="G55" s="1217"/>
      <c r="H55" s="361"/>
      <c r="I55" s="1252"/>
      <c r="J55" s="85" t="s">
        <v>43</v>
      </c>
      <c r="K55" s="774">
        <v>32</v>
      </c>
      <c r="L55" s="1263">
        <v>32</v>
      </c>
      <c r="M55" s="778">
        <v>32</v>
      </c>
      <c r="N55" s="779">
        <v>32</v>
      </c>
      <c r="O55" s="260" t="s">
        <v>226</v>
      </c>
      <c r="P55" s="948"/>
      <c r="Q55" s="279">
        <v>20</v>
      </c>
      <c r="R55" s="57">
        <v>20</v>
      </c>
      <c r="S55" s="948">
        <v>20</v>
      </c>
    </row>
    <row r="56" spans="1:19" ht="30.75" customHeight="1" thickBot="1" x14ac:dyDescent="0.25">
      <c r="A56" s="373"/>
      <c r="B56" s="362"/>
      <c r="C56" s="360"/>
      <c r="D56" s="668"/>
      <c r="E56" s="653"/>
      <c r="F56" s="1188"/>
      <c r="G56" s="1217"/>
      <c r="H56" s="361"/>
      <c r="I56" s="1252"/>
      <c r="J56" s="101"/>
      <c r="K56" s="766"/>
      <c r="L56" s="789"/>
      <c r="M56" s="763"/>
      <c r="N56" s="764"/>
      <c r="O56" s="209" t="s">
        <v>126</v>
      </c>
      <c r="P56" s="52">
        <v>15000</v>
      </c>
      <c r="Q56" s="212">
        <v>15000</v>
      </c>
      <c r="R56" s="313">
        <v>15000</v>
      </c>
      <c r="S56" s="327">
        <v>15000</v>
      </c>
    </row>
    <row r="57" spans="1:19" ht="21" customHeight="1" x14ac:dyDescent="0.2">
      <c r="A57" s="373"/>
      <c r="B57" s="362"/>
      <c r="C57" s="360"/>
      <c r="D57" s="647" t="s">
        <v>271</v>
      </c>
      <c r="E57" s="670"/>
      <c r="F57" s="1772" t="s">
        <v>280</v>
      </c>
      <c r="G57" s="1217"/>
      <c r="H57" s="374"/>
      <c r="I57" s="278"/>
      <c r="J57" s="105" t="s">
        <v>15</v>
      </c>
      <c r="K57" s="765">
        <v>10.1</v>
      </c>
      <c r="L57" s="790">
        <v>10.1</v>
      </c>
      <c r="M57" s="757">
        <v>10.1</v>
      </c>
      <c r="N57" s="758">
        <v>10.1</v>
      </c>
      <c r="O57" s="194" t="s">
        <v>127</v>
      </c>
      <c r="P57" s="170">
        <v>168</v>
      </c>
      <c r="Q57" s="294">
        <v>158</v>
      </c>
      <c r="R57" s="171">
        <v>160</v>
      </c>
      <c r="S57" s="375">
        <v>160</v>
      </c>
    </row>
    <row r="58" spans="1:19" ht="21" customHeight="1" thickBot="1" x14ac:dyDescent="0.25">
      <c r="A58" s="373"/>
      <c r="B58" s="362"/>
      <c r="C58" s="360"/>
      <c r="D58" s="647"/>
      <c r="E58" s="653"/>
      <c r="F58" s="1863"/>
      <c r="G58" s="259"/>
      <c r="H58" s="374"/>
      <c r="I58" s="278"/>
      <c r="J58" s="308"/>
      <c r="K58" s="761"/>
      <c r="L58" s="791"/>
      <c r="M58" s="763"/>
      <c r="N58" s="764"/>
      <c r="O58" s="209" t="s">
        <v>128</v>
      </c>
      <c r="P58" s="52">
        <v>16</v>
      </c>
      <c r="Q58" s="319">
        <v>9</v>
      </c>
      <c r="R58" s="282">
        <v>9</v>
      </c>
      <c r="S58" s="68">
        <v>9</v>
      </c>
    </row>
    <row r="59" spans="1:19" ht="28.5" customHeight="1" x14ac:dyDescent="0.2">
      <c r="A59" s="358"/>
      <c r="B59" s="362"/>
      <c r="C59" s="360"/>
      <c r="D59" s="669" t="s">
        <v>272</v>
      </c>
      <c r="E59" s="670"/>
      <c r="F59" s="1839" t="s">
        <v>227</v>
      </c>
      <c r="G59" s="1217"/>
      <c r="H59" s="374"/>
      <c r="I59" s="1252"/>
      <c r="J59" s="105" t="s">
        <v>15</v>
      </c>
      <c r="K59" s="765"/>
      <c r="L59" s="756">
        <v>7</v>
      </c>
      <c r="M59" s="757"/>
      <c r="N59" s="758"/>
      <c r="O59" s="194" t="s">
        <v>228</v>
      </c>
      <c r="P59" s="170"/>
      <c r="Q59" s="213">
        <v>1</v>
      </c>
      <c r="R59" s="171"/>
      <c r="S59" s="170"/>
    </row>
    <row r="60" spans="1:19" ht="15.75" customHeight="1" x14ac:dyDescent="0.2">
      <c r="A60" s="358"/>
      <c r="B60" s="362"/>
      <c r="C60" s="360"/>
      <c r="D60" s="647"/>
      <c r="E60" s="653"/>
      <c r="F60" s="1840"/>
      <c r="G60" s="1217"/>
      <c r="H60" s="374"/>
      <c r="I60" s="1252"/>
      <c r="J60" s="204"/>
      <c r="K60" s="759"/>
      <c r="L60" s="770"/>
      <c r="M60" s="771"/>
      <c r="N60" s="772"/>
      <c r="O60" s="208" t="s">
        <v>229</v>
      </c>
      <c r="P60" s="50"/>
      <c r="Q60" s="121">
        <v>5</v>
      </c>
      <c r="R60" s="55"/>
      <c r="S60" s="50"/>
    </row>
    <row r="61" spans="1:19" ht="18" customHeight="1" x14ac:dyDescent="0.2">
      <c r="A61" s="358"/>
      <c r="B61" s="362"/>
      <c r="C61" s="360"/>
      <c r="D61" s="668"/>
      <c r="E61" s="671"/>
      <c r="F61" s="1841"/>
      <c r="G61" s="1217"/>
      <c r="H61" s="374"/>
      <c r="I61" s="1252"/>
      <c r="J61" s="85" t="s">
        <v>18</v>
      </c>
      <c r="K61" s="774"/>
      <c r="L61" s="777"/>
      <c r="M61" s="778">
        <v>27</v>
      </c>
      <c r="N61" s="779">
        <v>27</v>
      </c>
      <c r="O61" s="260" t="s">
        <v>127</v>
      </c>
      <c r="P61" s="948"/>
      <c r="Q61" s="101"/>
      <c r="R61" s="57">
        <v>30</v>
      </c>
      <c r="S61" s="948">
        <v>30</v>
      </c>
    </row>
    <row r="62" spans="1:19" ht="42" customHeight="1" thickBot="1" x14ac:dyDescent="0.25">
      <c r="A62" s="358"/>
      <c r="B62" s="362"/>
      <c r="C62" s="360"/>
      <c r="D62" s="647" t="s">
        <v>273</v>
      </c>
      <c r="E62" s="653"/>
      <c r="F62" s="1221" t="s">
        <v>207</v>
      </c>
      <c r="G62" s="259"/>
      <c r="H62" s="374"/>
      <c r="I62" s="278"/>
      <c r="J62" s="85"/>
      <c r="K62" s="792"/>
      <c r="L62" s="793"/>
      <c r="M62" s="794"/>
      <c r="N62" s="795"/>
      <c r="O62" s="1218"/>
      <c r="P62" s="1266"/>
      <c r="Q62" s="85"/>
      <c r="R62" s="920"/>
      <c r="S62" s="1266"/>
    </row>
    <row r="63" spans="1:19" ht="32.25" customHeight="1" x14ac:dyDescent="0.2">
      <c r="A63" s="358"/>
      <c r="B63" s="362"/>
      <c r="C63" s="360"/>
      <c r="D63" s="647"/>
      <c r="E63" s="672" t="s">
        <v>14</v>
      </c>
      <c r="F63" s="180" t="s">
        <v>129</v>
      </c>
      <c r="G63" s="1217"/>
      <c r="H63" s="374"/>
      <c r="I63" s="1252"/>
      <c r="J63" s="213" t="s">
        <v>15</v>
      </c>
      <c r="K63" s="591">
        <v>6.8</v>
      </c>
      <c r="L63" s="781">
        <v>10.7</v>
      </c>
      <c r="M63" s="320">
        <v>56.5</v>
      </c>
      <c r="N63" s="773">
        <v>79.400000000000006</v>
      </c>
      <c r="O63" s="1225" t="s">
        <v>230</v>
      </c>
      <c r="P63" s="170">
        <v>32</v>
      </c>
      <c r="Q63" s="294">
        <v>62</v>
      </c>
      <c r="R63" s="171">
        <v>92</v>
      </c>
      <c r="S63" s="375">
        <v>122</v>
      </c>
    </row>
    <row r="64" spans="1:19" ht="17.25" customHeight="1" thickBot="1" x14ac:dyDescent="0.25">
      <c r="A64" s="358"/>
      <c r="B64" s="362"/>
      <c r="C64" s="360"/>
      <c r="D64" s="647"/>
      <c r="E64" s="653" t="s">
        <v>17</v>
      </c>
      <c r="F64" s="180" t="s">
        <v>130</v>
      </c>
      <c r="G64" s="1217"/>
      <c r="H64" s="374"/>
      <c r="I64" s="1252"/>
      <c r="J64" s="308" t="s">
        <v>15</v>
      </c>
      <c r="K64" s="761">
        <v>15.3</v>
      </c>
      <c r="L64" s="762">
        <v>31.5</v>
      </c>
      <c r="M64" s="763">
        <v>48</v>
      </c>
      <c r="N64" s="764">
        <v>0</v>
      </c>
      <c r="O64" s="206" t="s">
        <v>118</v>
      </c>
      <c r="P64" s="413">
        <v>2</v>
      </c>
      <c r="Q64" s="308">
        <v>2</v>
      </c>
      <c r="R64" s="530">
        <v>2</v>
      </c>
      <c r="S64" s="75">
        <v>0</v>
      </c>
    </row>
    <row r="65" spans="1:21" ht="29.25" customHeight="1" x14ac:dyDescent="0.2">
      <c r="A65" s="358"/>
      <c r="B65" s="362"/>
      <c r="C65" s="360"/>
      <c r="D65" s="647"/>
      <c r="E65" s="670" t="s">
        <v>19</v>
      </c>
      <c r="F65" s="889" t="s">
        <v>606</v>
      </c>
      <c r="G65" s="1224" t="s">
        <v>206</v>
      </c>
      <c r="H65" s="374"/>
      <c r="I65" s="1252"/>
      <c r="J65" s="105"/>
      <c r="K65" s="765"/>
      <c r="L65" s="144"/>
      <c r="M65" s="757"/>
      <c r="N65" s="758"/>
      <c r="O65" s="1232"/>
      <c r="P65" s="316"/>
      <c r="Q65" s="105"/>
      <c r="R65" s="298"/>
      <c r="S65" s="252"/>
    </row>
    <row r="66" spans="1:21" ht="15.75" customHeight="1" x14ac:dyDescent="0.2">
      <c r="A66" s="358"/>
      <c r="B66" s="362"/>
      <c r="C66" s="360"/>
      <c r="D66" s="647"/>
      <c r="E66" s="653"/>
      <c r="F66" s="1864" t="s">
        <v>611</v>
      </c>
      <c r="G66" s="197"/>
      <c r="H66" s="374"/>
      <c r="I66" s="1252"/>
      <c r="J66" s="204" t="s">
        <v>15</v>
      </c>
      <c r="K66" s="766"/>
      <c r="L66" s="1059">
        <v>21</v>
      </c>
      <c r="M66" s="257">
        <v>366.6</v>
      </c>
      <c r="N66" s="275">
        <v>430.3</v>
      </c>
      <c r="O66" s="1229" t="s">
        <v>120</v>
      </c>
      <c r="P66" s="60"/>
      <c r="Q66" s="204">
        <v>170</v>
      </c>
      <c r="R66" s="60">
        <v>250</v>
      </c>
      <c r="S66" s="1247">
        <v>340</v>
      </c>
    </row>
    <row r="67" spans="1:21" ht="15.75" customHeight="1" x14ac:dyDescent="0.2">
      <c r="A67" s="358"/>
      <c r="B67" s="362"/>
      <c r="C67" s="360"/>
      <c r="D67" s="647"/>
      <c r="E67" s="653"/>
      <c r="F67" s="1865"/>
      <c r="G67" s="197"/>
      <c r="H67" s="374"/>
      <c r="I67" s="1252"/>
      <c r="J67" s="121" t="s">
        <v>18</v>
      </c>
      <c r="K67" s="886"/>
      <c r="L67" s="139">
        <v>50</v>
      </c>
      <c r="M67" s="191">
        <v>470</v>
      </c>
      <c r="N67" s="110">
        <v>616</v>
      </c>
      <c r="O67" s="1219" t="s">
        <v>608</v>
      </c>
      <c r="P67" s="57"/>
      <c r="Q67" s="101">
        <v>8</v>
      </c>
      <c r="R67" s="57">
        <v>12</v>
      </c>
      <c r="S67" s="242">
        <v>16</v>
      </c>
    </row>
    <row r="68" spans="1:21" ht="30" customHeight="1" thickBot="1" x14ac:dyDescent="0.25">
      <c r="A68" s="358"/>
      <c r="B68" s="362"/>
      <c r="C68" s="360"/>
      <c r="D68" s="647"/>
      <c r="E68" s="671"/>
      <c r="F68" s="180" t="s">
        <v>607</v>
      </c>
      <c r="G68" s="197"/>
      <c r="H68" s="374"/>
      <c r="I68" s="1252"/>
      <c r="J68" s="308" t="s">
        <v>15</v>
      </c>
      <c r="K68" s="761"/>
      <c r="L68" s="883">
        <v>50</v>
      </c>
      <c r="M68" s="882">
        <v>50</v>
      </c>
      <c r="N68" s="884">
        <v>120</v>
      </c>
      <c r="O68" s="885" t="s">
        <v>609</v>
      </c>
      <c r="P68" s="282"/>
      <c r="Q68" s="319">
        <v>2</v>
      </c>
      <c r="R68" s="282">
        <v>4</v>
      </c>
      <c r="S68" s="195"/>
    </row>
    <row r="69" spans="1:21" ht="18" customHeight="1" x14ac:dyDescent="0.2">
      <c r="A69" s="376"/>
      <c r="B69" s="377"/>
      <c r="C69" s="378"/>
      <c r="D69" s="647"/>
      <c r="E69" s="653" t="s">
        <v>21</v>
      </c>
      <c r="F69" s="1772" t="s">
        <v>622</v>
      </c>
      <c r="G69" s="1866" t="s">
        <v>45</v>
      </c>
      <c r="H69" s="361"/>
      <c r="I69" s="1252"/>
      <c r="J69" s="213" t="s">
        <v>18</v>
      </c>
      <c r="K69" s="591">
        <v>60</v>
      </c>
      <c r="L69" s="781">
        <v>0</v>
      </c>
      <c r="M69" s="320">
        <v>0</v>
      </c>
      <c r="N69" s="773">
        <v>0</v>
      </c>
      <c r="O69" s="194" t="s">
        <v>118</v>
      </c>
      <c r="P69" s="170">
        <v>4</v>
      </c>
      <c r="Q69" s="213">
        <v>4</v>
      </c>
      <c r="R69" s="171">
        <v>0</v>
      </c>
      <c r="S69" s="375">
        <v>0</v>
      </c>
    </row>
    <row r="70" spans="1:21" ht="18" customHeight="1" thickBot="1" x14ac:dyDescent="0.25">
      <c r="A70" s="376"/>
      <c r="B70" s="377"/>
      <c r="C70" s="378"/>
      <c r="D70" s="647"/>
      <c r="E70" s="653"/>
      <c r="F70" s="1863"/>
      <c r="G70" s="1867"/>
      <c r="H70" s="361"/>
      <c r="I70" s="1252"/>
      <c r="J70" s="101" t="s">
        <v>15</v>
      </c>
      <c r="K70" s="766"/>
      <c r="L70" s="777">
        <v>41</v>
      </c>
      <c r="M70" s="778">
        <v>0</v>
      </c>
      <c r="N70" s="232">
        <v>0</v>
      </c>
      <c r="O70" s="1219" t="s">
        <v>120</v>
      </c>
      <c r="P70" s="948">
        <v>57</v>
      </c>
      <c r="Q70" s="101">
        <v>44</v>
      </c>
      <c r="R70" s="57">
        <v>0</v>
      </c>
      <c r="S70" s="30">
        <v>0</v>
      </c>
    </row>
    <row r="71" spans="1:21" ht="29.25" customHeight="1" x14ac:dyDescent="0.2">
      <c r="A71" s="358"/>
      <c r="B71" s="362"/>
      <c r="C71" s="360"/>
      <c r="D71" s="647"/>
      <c r="E71" s="670" t="s">
        <v>22</v>
      </c>
      <c r="F71" s="1190" t="s">
        <v>231</v>
      </c>
      <c r="G71" s="1217"/>
      <c r="H71" s="374"/>
      <c r="I71" s="1252"/>
      <c r="J71" s="105" t="s">
        <v>15</v>
      </c>
      <c r="K71" s="765"/>
      <c r="L71" s="756">
        <v>28.4</v>
      </c>
      <c r="M71" s="757">
        <v>32.299999999999997</v>
      </c>
      <c r="N71" s="758">
        <v>43.2</v>
      </c>
      <c r="O71" s="194" t="s">
        <v>232</v>
      </c>
      <c r="P71" s="170"/>
      <c r="Q71" s="294">
        <v>1</v>
      </c>
      <c r="R71" s="169"/>
      <c r="S71" s="170"/>
    </row>
    <row r="72" spans="1:21" ht="31.5" customHeight="1" x14ac:dyDescent="0.2">
      <c r="A72" s="358"/>
      <c r="B72" s="362"/>
      <c r="C72" s="360"/>
      <c r="D72" s="647"/>
      <c r="E72" s="653"/>
      <c r="F72" s="1205"/>
      <c r="G72" s="1217"/>
      <c r="H72" s="374"/>
      <c r="I72" s="1252"/>
      <c r="J72" s="101"/>
      <c r="K72" s="766"/>
      <c r="L72" s="775"/>
      <c r="M72" s="114"/>
      <c r="N72" s="232"/>
      <c r="O72" s="260" t="s">
        <v>233</v>
      </c>
      <c r="P72" s="1266"/>
      <c r="Q72" s="279"/>
      <c r="R72" s="1268">
        <v>53</v>
      </c>
      <c r="S72" s="1266">
        <v>51</v>
      </c>
    </row>
    <row r="73" spans="1:21" ht="16.5" customHeight="1" thickBot="1" x14ac:dyDescent="0.25">
      <c r="A73" s="358"/>
      <c r="B73" s="362"/>
      <c r="C73" s="360"/>
      <c r="D73" s="668"/>
      <c r="E73" s="671"/>
      <c r="F73" s="1206"/>
      <c r="G73" s="1217"/>
      <c r="H73" s="374"/>
      <c r="I73" s="1252"/>
      <c r="J73" s="308"/>
      <c r="K73" s="761"/>
      <c r="L73" s="762"/>
      <c r="M73" s="763"/>
      <c r="N73" s="764"/>
      <c r="O73" s="209" t="s">
        <v>234</v>
      </c>
      <c r="P73" s="52"/>
      <c r="Q73" s="325">
        <v>1.26</v>
      </c>
      <c r="R73" s="326">
        <v>1.47</v>
      </c>
      <c r="S73" s="379">
        <v>1.53</v>
      </c>
    </row>
    <row r="74" spans="1:21" ht="53.25" customHeight="1" x14ac:dyDescent="0.2">
      <c r="A74" s="380"/>
      <c r="B74" s="381"/>
      <c r="C74" s="382"/>
      <c r="D74" s="653" t="s">
        <v>274</v>
      </c>
      <c r="E74" s="653"/>
      <c r="F74" s="1190" t="s">
        <v>81</v>
      </c>
      <c r="G74" s="228"/>
      <c r="H74" s="383"/>
      <c r="I74" s="1279"/>
      <c r="J74" s="207" t="s">
        <v>15</v>
      </c>
      <c r="K74" s="619">
        <v>573.79999999999995</v>
      </c>
      <c r="L74" s="620">
        <v>564</v>
      </c>
      <c r="M74" s="621">
        <v>564</v>
      </c>
      <c r="N74" s="760">
        <v>564</v>
      </c>
      <c r="O74" s="168" t="s">
        <v>161</v>
      </c>
      <c r="P74" s="165">
        <v>448</v>
      </c>
      <c r="Q74" s="207">
        <v>470</v>
      </c>
      <c r="R74" s="164">
        <v>470</v>
      </c>
      <c r="S74" s="165">
        <v>470</v>
      </c>
    </row>
    <row r="75" spans="1:21" ht="79.5" customHeight="1" x14ac:dyDescent="0.2">
      <c r="A75" s="380"/>
      <c r="B75" s="381"/>
      <c r="C75" s="382"/>
      <c r="D75" s="653"/>
      <c r="E75" s="653"/>
      <c r="F75" s="1205"/>
      <c r="G75" s="229"/>
      <c r="H75" s="383"/>
      <c r="I75" s="1279"/>
      <c r="J75" s="93" t="s">
        <v>18</v>
      </c>
      <c r="K75" s="432"/>
      <c r="L75" s="1104">
        <v>81.7</v>
      </c>
      <c r="M75" s="524">
        <v>81.7</v>
      </c>
      <c r="N75" s="779">
        <v>81.7</v>
      </c>
      <c r="O75" s="48" t="s">
        <v>639</v>
      </c>
      <c r="P75" s="30"/>
      <c r="Q75" s="93">
        <v>72</v>
      </c>
      <c r="R75" s="65">
        <v>72</v>
      </c>
      <c r="S75" s="30">
        <v>72</v>
      </c>
    </row>
    <row r="76" spans="1:21" ht="16.5" customHeight="1" thickBot="1" x14ac:dyDescent="0.25">
      <c r="A76" s="380"/>
      <c r="B76" s="381"/>
      <c r="C76" s="382"/>
      <c r="D76" s="653"/>
      <c r="E76" s="653"/>
      <c r="F76" s="1206"/>
      <c r="G76" s="1212"/>
      <c r="H76" s="370"/>
      <c r="I76" s="1252"/>
      <c r="J76" s="296" t="s">
        <v>15</v>
      </c>
      <c r="K76" s="796">
        <v>63.1</v>
      </c>
      <c r="L76" s="1180">
        <v>49.5</v>
      </c>
      <c r="M76" s="1055"/>
      <c r="N76" s="1056"/>
      <c r="O76" s="201" t="s">
        <v>131</v>
      </c>
      <c r="P76" s="68">
        <v>9</v>
      </c>
      <c r="Q76" s="296">
        <v>7</v>
      </c>
      <c r="R76" s="67"/>
      <c r="S76" s="68"/>
      <c r="U76" s="455"/>
    </row>
    <row r="77" spans="1:21" ht="18.75" customHeight="1" thickBot="1" x14ac:dyDescent="0.25">
      <c r="A77" s="380"/>
      <c r="B77" s="381"/>
      <c r="C77" s="382"/>
      <c r="D77" s="672" t="s">
        <v>275</v>
      </c>
      <c r="E77" s="672"/>
      <c r="F77" s="180" t="s">
        <v>55</v>
      </c>
      <c r="G77" s="1212"/>
      <c r="H77" s="370"/>
      <c r="I77" s="1252"/>
      <c r="J77" s="384" t="s">
        <v>18</v>
      </c>
      <c r="K77" s="797">
        <v>59.5</v>
      </c>
      <c r="L77" s="798">
        <v>33.4</v>
      </c>
      <c r="M77" s="799">
        <v>33.4</v>
      </c>
      <c r="N77" s="800">
        <v>33.4</v>
      </c>
      <c r="O77" s="309" t="s">
        <v>132</v>
      </c>
      <c r="P77" s="335">
        <v>17</v>
      </c>
      <c r="Q77" s="334">
        <v>17</v>
      </c>
      <c r="R77" s="333">
        <v>17</v>
      </c>
      <c r="S77" s="385">
        <v>17</v>
      </c>
    </row>
    <row r="78" spans="1:21" ht="18.75" customHeight="1" thickBot="1" x14ac:dyDescent="0.25">
      <c r="A78" s="380"/>
      <c r="B78" s="381"/>
      <c r="C78" s="378"/>
      <c r="D78" s="647" t="s">
        <v>276</v>
      </c>
      <c r="E78" s="653"/>
      <c r="F78" s="180" t="s">
        <v>107</v>
      </c>
      <c r="G78" s="106"/>
      <c r="H78" s="386"/>
      <c r="I78" s="1248"/>
      <c r="J78" s="384" t="s">
        <v>15</v>
      </c>
      <c r="K78" s="797">
        <v>292.89999999999998</v>
      </c>
      <c r="L78" s="798">
        <v>314.39999999999998</v>
      </c>
      <c r="M78" s="799">
        <f>+L78</f>
        <v>314.39999999999998</v>
      </c>
      <c r="N78" s="800">
        <f>+M78</f>
        <v>314.39999999999998</v>
      </c>
      <c r="O78" s="310" t="s">
        <v>119</v>
      </c>
      <c r="P78" s="316">
        <v>1168</v>
      </c>
      <c r="Q78" s="105">
        <v>1166</v>
      </c>
      <c r="R78" s="251">
        <v>1166</v>
      </c>
      <c r="S78" s="387">
        <v>1166</v>
      </c>
    </row>
    <row r="79" spans="1:21" ht="19.5" customHeight="1" x14ac:dyDescent="0.2">
      <c r="A79" s="380"/>
      <c r="B79" s="381"/>
      <c r="C79" s="378"/>
      <c r="D79" s="669" t="s">
        <v>277</v>
      </c>
      <c r="E79" s="670"/>
      <c r="F79" s="1772" t="s">
        <v>235</v>
      </c>
      <c r="G79" s="106"/>
      <c r="H79" s="386"/>
      <c r="I79" s="1248"/>
      <c r="J79" s="388" t="s">
        <v>18</v>
      </c>
      <c r="K79" s="618">
        <f>19.4+6.6</f>
        <v>26</v>
      </c>
      <c r="L79" s="77">
        <v>11.5</v>
      </c>
      <c r="M79" s="116">
        <v>11.5</v>
      </c>
      <c r="N79" s="72">
        <v>11.5</v>
      </c>
      <c r="O79" s="53" t="s">
        <v>118</v>
      </c>
      <c r="P79" s="389">
        <v>1</v>
      </c>
      <c r="Q79" s="390">
        <v>1</v>
      </c>
      <c r="R79" s="391">
        <v>1</v>
      </c>
      <c r="S79" s="392">
        <v>1</v>
      </c>
    </row>
    <row r="80" spans="1:21" s="350" customFormat="1" ht="19.5" customHeight="1" thickBot="1" x14ac:dyDescent="0.25">
      <c r="A80" s="380"/>
      <c r="B80" s="381"/>
      <c r="C80" s="378"/>
      <c r="D80" s="668"/>
      <c r="E80" s="671"/>
      <c r="F80" s="1863"/>
      <c r="G80" s="106"/>
      <c r="H80" s="386"/>
      <c r="I80" s="1248"/>
      <c r="J80" s="393"/>
      <c r="K80" s="780"/>
      <c r="L80" s="791"/>
      <c r="M80" s="801"/>
      <c r="N80" s="802"/>
      <c r="O80" s="201" t="s">
        <v>119</v>
      </c>
      <c r="P80" s="394">
        <v>26</v>
      </c>
      <c r="Q80" s="395">
        <v>9</v>
      </c>
      <c r="R80" s="396">
        <v>10</v>
      </c>
      <c r="S80" s="397">
        <v>10</v>
      </c>
      <c r="U80" s="317"/>
    </row>
    <row r="81" spans="1:24" ht="30" customHeight="1" thickBot="1" x14ac:dyDescent="0.25">
      <c r="A81" s="398"/>
      <c r="B81" s="381"/>
      <c r="C81" s="382"/>
      <c r="D81" s="653" t="s">
        <v>278</v>
      </c>
      <c r="E81" s="653"/>
      <c r="F81" s="230" t="s">
        <v>133</v>
      </c>
      <c r="G81" s="1212"/>
      <c r="H81" s="370"/>
      <c r="I81" s="1252"/>
      <c r="J81" s="14" t="s">
        <v>15</v>
      </c>
      <c r="K81" s="618">
        <v>66.400000000000006</v>
      </c>
      <c r="L81" s="77">
        <v>70</v>
      </c>
      <c r="M81" s="116">
        <v>76.2</v>
      </c>
      <c r="N81" s="72">
        <v>76.2</v>
      </c>
      <c r="O81" s="47" t="s">
        <v>118</v>
      </c>
      <c r="P81" s="948">
        <v>92</v>
      </c>
      <c r="Q81" s="101">
        <v>92</v>
      </c>
      <c r="R81" s="41">
        <v>92</v>
      </c>
      <c r="S81" s="948"/>
    </row>
    <row r="82" spans="1:24" s="350" customFormat="1" ht="43.5" customHeight="1" x14ac:dyDescent="0.2">
      <c r="A82" s="358"/>
      <c r="B82" s="362"/>
      <c r="C82" s="399"/>
      <c r="D82" s="656"/>
      <c r="E82" s="652"/>
      <c r="F82" s="1208" t="s">
        <v>104</v>
      </c>
      <c r="G82" s="685"/>
      <c r="H82" s="686">
        <v>1</v>
      </c>
      <c r="I82" s="687" t="s">
        <v>238</v>
      </c>
      <c r="J82" s="213" t="s">
        <v>15</v>
      </c>
      <c r="K82" s="291">
        <v>9</v>
      </c>
      <c r="L82" s="76"/>
      <c r="M82" s="175"/>
      <c r="N82" s="246"/>
      <c r="O82" s="1196" t="s">
        <v>204</v>
      </c>
      <c r="P82" s="316">
        <v>34</v>
      </c>
      <c r="Q82" s="318"/>
      <c r="R82" s="299"/>
      <c r="S82" s="316"/>
    </row>
    <row r="83" spans="1:24" ht="16.5" customHeight="1" thickBot="1" x14ac:dyDescent="0.25">
      <c r="A83" s="400"/>
      <c r="B83" s="401"/>
      <c r="C83" s="402"/>
      <c r="D83" s="660"/>
      <c r="E83" s="663"/>
      <c r="F83" s="1191"/>
      <c r="G83" s="1872" t="s">
        <v>51</v>
      </c>
      <c r="H83" s="1873"/>
      <c r="I83" s="1873"/>
      <c r="J83" s="1874"/>
      <c r="K83" s="283">
        <f>SUM(K13:K82)</f>
        <v>73091.000000000015</v>
      </c>
      <c r="L83" s="205">
        <f>SUM(L13:L82)</f>
        <v>78000.000000000015</v>
      </c>
      <c r="M83" s="285">
        <f>SUM(M13:M82)</f>
        <v>78534.8</v>
      </c>
      <c r="N83" s="285">
        <f>SUM(N13:N82)</f>
        <v>78168.800000000003</v>
      </c>
      <c r="O83" s="1197"/>
      <c r="P83" s="403"/>
      <c r="Q83" s="404"/>
      <c r="R83" s="405"/>
      <c r="S83" s="406"/>
    </row>
    <row r="84" spans="1:24" ht="32.25" customHeight="1" x14ac:dyDescent="0.2">
      <c r="A84" s="407" t="s">
        <v>14</v>
      </c>
      <c r="B84" s="408" t="s">
        <v>14</v>
      </c>
      <c r="C84" s="409" t="s">
        <v>17</v>
      </c>
      <c r="D84" s="645"/>
      <c r="E84" s="645"/>
      <c r="F84" s="1204" t="s">
        <v>82</v>
      </c>
      <c r="G84" s="1209"/>
      <c r="H84" s="410">
        <v>2</v>
      </c>
      <c r="I84" s="1262" t="s">
        <v>237</v>
      </c>
      <c r="J84" s="411"/>
      <c r="K84" s="786"/>
      <c r="L84" s="790"/>
      <c r="M84" s="787"/>
      <c r="N84" s="788"/>
      <c r="O84" s="146"/>
      <c r="P84" s="251"/>
      <c r="Q84" s="250"/>
      <c r="R84" s="251"/>
      <c r="S84" s="252"/>
    </row>
    <row r="85" spans="1:24" ht="40.5" customHeight="1" x14ac:dyDescent="0.2">
      <c r="A85" s="380"/>
      <c r="B85" s="381"/>
      <c r="C85" s="382"/>
      <c r="D85" s="672" t="s">
        <v>14</v>
      </c>
      <c r="E85" s="672"/>
      <c r="F85" s="87" t="s">
        <v>83</v>
      </c>
      <c r="G85" s="1212"/>
      <c r="H85" s="370"/>
      <c r="I85" s="1252"/>
      <c r="J85" s="1231" t="s">
        <v>18</v>
      </c>
      <c r="K85" s="619">
        <v>207.3</v>
      </c>
      <c r="L85" s="620">
        <v>205.4</v>
      </c>
      <c r="M85" s="621">
        <f>+L85</f>
        <v>205.4</v>
      </c>
      <c r="N85" s="622">
        <f>+M85</f>
        <v>205.4</v>
      </c>
      <c r="O85" s="168" t="s">
        <v>119</v>
      </c>
      <c r="P85" s="181">
        <v>2570</v>
      </c>
      <c r="Q85" s="214">
        <v>2692</v>
      </c>
      <c r="R85" s="181">
        <v>2690</v>
      </c>
      <c r="S85" s="623">
        <v>2690</v>
      </c>
      <c r="X85" s="347" t="s">
        <v>75</v>
      </c>
    </row>
    <row r="86" spans="1:24" s="350" customFormat="1" ht="18" customHeight="1" x14ac:dyDescent="0.2">
      <c r="A86" s="380"/>
      <c r="B86" s="381"/>
      <c r="C86" s="382"/>
      <c r="D86" s="646" t="s">
        <v>17</v>
      </c>
      <c r="E86" s="646"/>
      <c r="F86" s="1200" t="s">
        <v>54</v>
      </c>
      <c r="G86" s="1212"/>
      <c r="H86" s="370"/>
      <c r="I86" s="1252"/>
      <c r="J86" s="388" t="s">
        <v>15</v>
      </c>
      <c r="K86" s="618">
        <v>50</v>
      </c>
      <c r="L86" s="2072">
        <f>70+30</f>
        <v>100</v>
      </c>
      <c r="M86" s="116">
        <f>90-20</f>
        <v>70</v>
      </c>
      <c r="N86" s="72">
        <f>100-30</f>
        <v>70</v>
      </c>
      <c r="O86" s="2025" t="s">
        <v>163</v>
      </c>
      <c r="P86" s="41">
        <v>3000</v>
      </c>
      <c r="Q86" s="1792">
        <v>4800</v>
      </c>
      <c r="R86" s="2070">
        <v>4801</v>
      </c>
      <c r="S86" s="2089">
        <v>4802</v>
      </c>
      <c r="T86" s="317"/>
    </row>
    <row r="87" spans="1:24" s="350" customFormat="1" ht="15.75" customHeight="1" x14ac:dyDescent="0.2">
      <c r="A87" s="380"/>
      <c r="B87" s="381"/>
      <c r="C87" s="382"/>
      <c r="D87" s="646"/>
      <c r="E87" s="646"/>
      <c r="F87" s="1201"/>
      <c r="G87" s="1212"/>
      <c r="H87" s="412"/>
      <c r="I87" s="1252"/>
      <c r="J87" s="388"/>
      <c r="K87" s="618"/>
      <c r="L87" s="2072"/>
      <c r="M87" s="116"/>
      <c r="N87" s="72"/>
      <c r="O87" s="2025"/>
      <c r="P87" s="23"/>
      <c r="Q87" s="1792"/>
      <c r="R87" s="2071"/>
      <c r="S87" s="2089"/>
      <c r="T87" s="317"/>
    </row>
    <row r="88" spans="1:24" ht="41.25" customHeight="1" x14ac:dyDescent="0.2">
      <c r="A88" s="366"/>
      <c r="B88" s="381"/>
      <c r="C88" s="382"/>
      <c r="D88" s="672" t="s">
        <v>19</v>
      </c>
      <c r="E88" s="672"/>
      <c r="F88" s="29" t="s">
        <v>87</v>
      </c>
      <c r="G88" s="1212"/>
      <c r="H88" s="386"/>
      <c r="I88" s="1248"/>
      <c r="J88" s="78" t="s">
        <v>15</v>
      </c>
      <c r="K88" s="619">
        <v>60.8</v>
      </c>
      <c r="L88" s="620">
        <v>55.9</v>
      </c>
      <c r="M88" s="621"/>
      <c r="N88" s="624"/>
      <c r="O88" s="168" t="s">
        <v>164</v>
      </c>
      <c r="P88" s="164">
        <v>20</v>
      </c>
      <c r="Q88" s="207">
        <v>25</v>
      </c>
      <c r="R88" s="164"/>
      <c r="S88" s="165"/>
      <c r="T88" s="219"/>
    </row>
    <row r="89" spans="1:24" ht="45.75" customHeight="1" x14ac:dyDescent="0.2">
      <c r="A89" s="366"/>
      <c r="B89" s="381"/>
      <c r="C89" s="382"/>
      <c r="D89" s="646" t="s">
        <v>21</v>
      </c>
      <c r="E89" s="646"/>
      <c r="F89" s="1200" t="s">
        <v>73</v>
      </c>
      <c r="G89" s="1212"/>
      <c r="H89" s="386"/>
      <c r="I89" s="1248"/>
      <c r="J89" s="14" t="s">
        <v>101</v>
      </c>
      <c r="K89" s="618">
        <v>653.20000000000005</v>
      </c>
      <c r="L89" s="77">
        <v>653.20000000000005</v>
      </c>
      <c r="M89" s="116">
        <v>653.20000000000005</v>
      </c>
      <c r="N89" s="72">
        <v>653.20000000000005</v>
      </c>
      <c r="O89" s="1251" t="s">
        <v>164</v>
      </c>
      <c r="P89" s="41">
        <v>100</v>
      </c>
      <c r="Q89" s="1269">
        <v>100</v>
      </c>
      <c r="R89" s="41">
        <v>100</v>
      </c>
      <c r="S89" s="23">
        <v>100</v>
      </c>
      <c r="T89" s="219"/>
    </row>
    <row r="90" spans="1:24" s="350" customFormat="1" ht="16.5" customHeight="1" x14ac:dyDescent="0.2">
      <c r="A90" s="398"/>
      <c r="B90" s="381"/>
      <c r="C90" s="382"/>
      <c r="D90" s="670" t="s">
        <v>22</v>
      </c>
      <c r="E90" s="670"/>
      <c r="F90" s="1768" t="s">
        <v>135</v>
      </c>
      <c r="G90" s="1212"/>
      <c r="H90" s="386"/>
      <c r="I90" s="1261"/>
      <c r="J90" s="79" t="s">
        <v>15</v>
      </c>
      <c r="K90" s="432">
        <v>93.2</v>
      </c>
      <c r="L90" s="803"/>
      <c r="M90" s="524"/>
      <c r="N90" s="525"/>
      <c r="O90" s="168" t="s">
        <v>125</v>
      </c>
      <c r="P90" s="164">
        <v>190</v>
      </c>
      <c r="Q90" s="207"/>
      <c r="R90" s="164"/>
      <c r="S90" s="165"/>
      <c r="T90" s="321"/>
      <c r="U90" s="321"/>
      <c r="V90" s="321"/>
    </row>
    <row r="91" spans="1:24" s="350" customFormat="1" ht="43.5" customHeight="1" x14ac:dyDescent="0.2">
      <c r="A91" s="380"/>
      <c r="B91" s="381"/>
      <c r="C91" s="382"/>
      <c r="D91" s="653"/>
      <c r="E91" s="671"/>
      <c r="F91" s="1769"/>
      <c r="G91" s="1212"/>
      <c r="H91" s="386"/>
      <c r="I91" s="1261"/>
      <c r="J91" s="14"/>
      <c r="K91" s="427"/>
      <c r="L91" s="1057"/>
      <c r="M91" s="520"/>
      <c r="N91" s="521"/>
      <c r="O91" s="168" t="s">
        <v>162</v>
      </c>
      <c r="P91" s="164">
        <v>30</v>
      </c>
      <c r="Q91" s="207"/>
      <c r="R91" s="164"/>
      <c r="S91" s="165"/>
      <c r="T91" s="321"/>
      <c r="U91" s="349"/>
      <c r="V91" s="349"/>
    </row>
    <row r="92" spans="1:24" s="350" customFormat="1" ht="31.5" customHeight="1" x14ac:dyDescent="0.2">
      <c r="A92" s="366"/>
      <c r="B92" s="381"/>
      <c r="C92" s="382"/>
      <c r="D92" s="682" t="s">
        <v>96</v>
      </c>
      <c r="E92" s="682"/>
      <c r="F92" s="29" t="s">
        <v>137</v>
      </c>
      <c r="G92" s="1239"/>
      <c r="H92" s="901"/>
      <c r="I92" s="1261"/>
      <c r="J92" s="1058" t="s">
        <v>15</v>
      </c>
      <c r="K92" s="427">
        <v>13.7</v>
      </c>
      <c r="L92" s="804"/>
      <c r="M92" s="520"/>
      <c r="N92" s="521"/>
      <c r="O92" s="48" t="s">
        <v>163</v>
      </c>
      <c r="P92" s="65">
        <v>4500</v>
      </c>
      <c r="Q92" s="93">
        <v>4500</v>
      </c>
      <c r="R92" s="65">
        <v>4500</v>
      </c>
      <c r="S92" s="30"/>
      <c r="T92" s="317"/>
    </row>
    <row r="93" spans="1:24" s="350" customFormat="1" ht="16.5" customHeight="1" x14ac:dyDescent="0.2">
      <c r="A93" s="380"/>
      <c r="B93" s="381"/>
      <c r="C93" s="382"/>
      <c r="D93" s="670" t="s">
        <v>97</v>
      </c>
      <c r="E93" s="670"/>
      <c r="F93" s="1768" t="s">
        <v>136</v>
      </c>
      <c r="G93" s="1212"/>
      <c r="H93" s="386"/>
      <c r="I93" s="1261"/>
      <c r="J93" s="207" t="s">
        <v>15</v>
      </c>
      <c r="K93" s="619">
        <v>14.9</v>
      </c>
      <c r="L93" s="620"/>
      <c r="M93" s="621"/>
      <c r="N93" s="624"/>
      <c r="O93" s="48" t="s">
        <v>163</v>
      </c>
      <c r="P93" s="164">
        <v>2000</v>
      </c>
      <c r="Q93" s="207"/>
      <c r="R93" s="164"/>
      <c r="S93" s="165"/>
      <c r="T93" s="317"/>
    </row>
    <row r="94" spans="1:24" ht="15.75" customHeight="1" thickBot="1" x14ac:dyDescent="0.25">
      <c r="A94" s="414"/>
      <c r="B94" s="415"/>
      <c r="C94" s="416"/>
      <c r="D94" s="649"/>
      <c r="E94" s="649"/>
      <c r="F94" s="1786"/>
      <c r="G94" s="1210"/>
      <c r="H94" s="417"/>
      <c r="I94" s="1281"/>
      <c r="J94" s="16" t="s">
        <v>16</v>
      </c>
      <c r="K94" s="185">
        <f>SUM(K85:K93)</f>
        <v>1093.1000000000001</v>
      </c>
      <c r="L94" s="66">
        <f>SUM(L85:L89)</f>
        <v>1014.5</v>
      </c>
      <c r="M94" s="185">
        <f>SUM(M85:M93)</f>
        <v>928.6</v>
      </c>
      <c r="N94" s="187">
        <f>SUM(N85:N93)</f>
        <v>928.6</v>
      </c>
      <c r="O94" s="201" t="s">
        <v>119</v>
      </c>
      <c r="P94" s="67">
        <v>5000</v>
      </c>
      <c r="Q94" s="296"/>
      <c r="R94" s="67"/>
      <c r="S94" s="68"/>
    </row>
    <row r="95" spans="1:24" ht="35.25" customHeight="1" x14ac:dyDescent="0.2">
      <c r="A95" s="407" t="s">
        <v>14</v>
      </c>
      <c r="B95" s="408" t="s">
        <v>14</v>
      </c>
      <c r="C95" s="409" t="s">
        <v>19</v>
      </c>
      <c r="D95" s="645"/>
      <c r="E95" s="645"/>
      <c r="F95" s="1192" t="s">
        <v>65</v>
      </c>
      <c r="G95" s="1212"/>
      <c r="H95" s="383">
        <v>1</v>
      </c>
      <c r="I95" s="2053" t="s">
        <v>704</v>
      </c>
      <c r="J95" s="250" t="s">
        <v>15</v>
      </c>
      <c r="K95" s="618">
        <v>3.9</v>
      </c>
      <c r="L95" s="77">
        <v>3.9</v>
      </c>
      <c r="M95" s="116">
        <v>3.9</v>
      </c>
      <c r="N95" s="116">
        <v>3.9</v>
      </c>
      <c r="O95" s="146" t="s">
        <v>138</v>
      </c>
      <c r="P95" s="251">
        <v>10</v>
      </c>
      <c r="Q95" s="250">
        <v>10</v>
      </c>
      <c r="R95" s="251">
        <v>10</v>
      </c>
      <c r="S95" s="252">
        <v>10</v>
      </c>
    </row>
    <row r="96" spans="1:24" ht="18" customHeight="1" thickBot="1" x14ac:dyDescent="0.25">
      <c r="A96" s="418"/>
      <c r="B96" s="401"/>
      <c r="C96" s="416"/>
      <c r="D96" s="649"/>
      <c r="E96" s="649"/>
      <c r="F96" s="202"/>
      <c r="G96" s="1210"/>
      <c r="H96" s="419"/>
      <c r="I96" s="2054"/>
      <c r="J96" s="16" t="s">
        <v>16</v>
      </c>
      <c r="K96" s="185">
        <f t="shared" ref="K96:L96" si="3">K95</f>
        <v>3.9</v>
      </c>
      <c r="L96" s="66">
        <f t="shared" si="3"/>
        <v>3.9</v>
      </c>
      <c r="M96" s="111">
        <f t="shared" ref="M96:N96" si="4">M95</f>
        <v>3.9</v>
      </c>
      <c r="N96" s="111">
        <f t="shared" si="4"/>
        <v>3.9</v>
      </c>
      <c r="O96" s="48" t="s">
        <v>120</v>
      </c>
      <c r="P96" s="65">
        <v>860</v>
      </c>
      <c r="Q96" s="93">
        <v>860</v>
      </c>
      <c r="R96" s="65">
        <v>860</v>
      </c>
      <c r="S96" s="30">
        <v>860</v>
      </c>
    </row>
    <row r="97" spans="1:19" ht="18" customHeight="1" x14ac:dyDescent="0.2">
      <c r="A97" s="352" t="s">
        <v>14</v>
      </c>
      <c r="B97" s="408" t="s">
        <v>14</v>
      </c>
      <c r="C97" s="409" t="s">
        <v>21</v>
      </c>
      <c r="D97" s="645"/>
      <c r="E97" s="645"/>
      <c r="F97" s="1790" t="s">
        <v>148</v>
      </c>
      <c r="G97" s="1209"/>
      <c r="H97" s="420">
        <v>2</v>
      </c>
      <c r="I97" s="2051" t="s">
        <v>237</v>
      </c>
      <c r="J97" s="13" t="s">
        <v>15</v>
      </c>
      <c r="K97" s="618">
        <v>17.8</v>
      </c>
      <c r="L97" s="77">
        <v>17.8</v>
      </c>
      <c r="M97" s="116">
        <v>17.8</v>
      </c>
      <c r="N97" s="116">
        <v>17.8</v>
      </c>
      <c r="O97" s="1196" t="s">
        <v>165</v>
      </c>
      <c r="P97" s="251">
        <v>39</v>
      </c>
      <c r="Q97" s="250">
        <v>39</v>
      </c>
      <c r="R97" s="251">
        <v>39</v>
      </c>
      <c r="S97" s="252">
        <v>39</v>
      </c>
    </row>
    <row r="98" spans="1:19" ht="16.5" customHeight="1" thickBot="1" x14ac:dyDescent="0.25">
      <c r="A98" s="414"/>
      <c r="B98" s="415"/>
      <c r="C98" s="416"/>
      <c r="D98" s="649"/>
      <c r="E98" s="649"/>
      <c r="F98" s="1786"/>
      <c r="G98" s="1210"/>
      <c r="H98" s="417"/>
      <c r="I98" s="2052"/>
      <c r="J98" s="16" t="s">
        <v>16</v>
      </c>
      <c r="K98" s="185">
        <f t="shared" ref="K98:L98" si="5">SUM(K97)</f>
        <v>17.8</v>
      </c>
      <c r="L98" s="66">
        <f t="shared" si="5"/>
        <v>17.8</v>
      </c>
      <c r="M98" s="111">
        <f t="shared" ref="M98:N98" si="6">SUM(M97)</f>
        <v>17.8</v>
      </c>
      <c r="N98" s="111">
        <f t="shared" si="6"/>
        <v>17.8</v>
      </c>
      <c r="O98" s="1197"/>
      <c r="P98" s="177"/>
      <c r="Q98" s="216"/>
      <c r="R98" s="177"/>
      <c r="S98" s="75"/>
    </row>
    <row r="99" spans="1:19" ht="41.25" customHeight="1" x14ac:dyDescent="0.2">
      <c r="A99" s="421" t="s">
        <v>14</v>
      </c>
      <c r="B99" s="408" t="s">
        <v>14</v>
      </c>
      <c r="C99" s="409" t="s">
        <v>22</v>
      </c>
      <c r="D99" s="645"/>
      <c r="E99" s="645"/>
      <c r="F99" s="1790" t="s">
        <v>139</v>
      </c>
      <c r="G99" s="1209" t="s">
        <v>47</v>
      </c>
      <c r="H99" s="420">
        <v>2</v>
      </c>
      <c r="I99" s="1262" t="s">
        <v>237</v>
      </c>
      <c r="J99" s="339" t="s">
        <v>15</v>
      </c>
      <c r="K99" s="291">
        <v>26.2</v>
      </c>
      <c r="L99" s="422">
        <v>52</v>
      </c>
      <c r="M99" s="423">
        <v>52</v>
      </c>
      <c r="N99" s="424">
        <v>52</v>
      </c>
      <c r="O99" s="109" t="s">
        <v>90</v>
      </c>
      <c r="P99" s="425">
        <v>7560</v>
      </c>
      <c r="Q99" s="426">
        <v>7800</v>
      </c>
      <c r="R99" s="425">
        <v>7800</v>
      </c>
      <c r="S99" s="392">
        <v>7800</v>
      </c>
    </row>
    <row r="100" spans="1:19" ht="15.75" customHeight="1" x14ac:dyDescent="0.2">
      <c r="A100" s="363"/>
      <c r="B100" s="381"/>
      <c r="C100" s="382"/>
      <c r="D100" s="646"/>
      <c r="E100" s="646"/>
      <c r="F100" s="1791"/>
      <c r="G100" s="1212"/>
      <c r="H100" s="386"/>
      <c r="I100" s="1261"/>
      <c r="J100" s="265" t="s">
        <v>15</v>
      </c>
      <c r="K100" s="427"/>
      <c r="L100" s="428">
        <v>8.5</v>
      </c>
      <c r="M100" s="429">
        <v>5.7</v>
      </c>
      <c r="N100" s="430">
        <v>1.5</v>
      </c>
      <c r="O100" s="1766" t="s">
        <v>239</v>
      </c>
      <c r="P100" s="65"/>
      <c r="Q100" s="93">
        <v>3</v>
      </c>
      <c r="R100" s="65">
        <v>2</v>
      </c>
      <c r="S100" s="431">
        <v>2</v>
      </c>
    </row>
    <row r="101" spans="1:19" ht="15.75" customHeight="1" x14ac:dyDescent="0.2">
      <c r="A101" s="363"/>
      <c r="B101" s="381"/>
      <c r="C101" s="382"/>
      <c r="D101" s="646"/>
      <c r="E101" s="646"/>
      <c r="F101" s="1791"/>
      <c r="G101" s="1212"/>
      <c r="H101" s="386"/>
      <c r="I101" s="1261"/>
      <c r="J101" s="79" t="s">
        <v>98</v>
      </c>
      <c r="K101" s="432">
        <v>107.4</v>
      </c>
      <c r="L101" s="433">
        <v>0</v>
      </c>
      <c r="M101" s="434">
        <v>0</v>
      </c>
      <c r="N101" s="435">
        <v>0</v>
      </c>
      <c r="O101" s="2025"/>
      <c r="P101" s="41"/>
      <c r="Q101" s="1269"/>
      <c r="R101" s="41"/>
      <c r="S101" s="2075"/>
    </row>
    <row r="102" spans="1:19" ht="13.5" thickBot="1" x14ac:dyDescent="0.25">
      <c r="A102" s="436"/>
      <c r="B102" s="415"/>
      <c r="C102" s="416"/>
      <c r="D102" s="649"/>
      <c r="E102" s="649"/>
      <c r="F102" s="1193"/>
      <c r="G102" s="1210"/>
      <c r="H102" s="417"/>
      <c r="I102" s="1281"/>
      <c r="J102" s="16" t="s">
        <v>16</v>
      </c>
      <c r="K102" s="185">
        <f>SUM(K99:K101)</f>
        <v>133.6</v>
      </c>
      <c r="L102" s="66">
        <f>SUM(L99:L101)</f>
        <v>60.5</v>
      </c>
      <c r="M102" s="111">
        <f t="shared" ref="M102:N102" si="7">SUM(M99:M101)</f>
        <v>57.7</v>
      </c>
      <c r="N102" s="437">
        <f t="shared" si="7"/>
        <v>53.5</v>
      </c>
      <c r="O102" s="1875"/>
      <c r="P102" s="177"/>
      <c r="Q102" s="216"/>
      <c r="R102" s="177"/>
      <c r="S102" s="2076"/>
    </row>
    <row r="103" spans="1:19" ht="28.5" customHeight="1" x14ac:dyDescent="0.2">
      <c r="A103" s="421" t="s">
        <v>14</v>
      </c>
      <c r="B103" s="408" t="s">
        <v>14</v>
      </c>
      <c r="C103" s="409" t="s">
        <v>96</v>
      </c>
      <c r="D103" s="645"/>
      <c r="E103" s="645"/>
      <c r="F103" s="1790" t="s">
        <v>166</v>
      </c>
      <c r="G103" s="1209"/>
      <c r="H103" s="438">
        <v>1</v>
      </c>
      <c r="I103" s="2053" t="s">
        <v>240</v>
      </c>
      <c r="J103" s="14" t="s">
        <v>15</v>
      </c>
      <c r="K103" s="618">
        <v>26.7</v>
      </c>
      <c r="L103" s="77">
        <v>1.5</v>
      </c>
      <c r="M103" s="116">
        <v>1.5</v>
      </c>
      <c r="N103" s="72">
        <v>1.5</v>
      </c>
      <c r="O103" s="53" t="s">
        <v>167</v>
      </c>
      <c r="P103" s="49">
        <v>1</v>
      </c>
      <c r="Q103" s="95"/>
      <c r="R103" s="49"/>
      <c r="S103" s="43"/>
    </row>
    <row r="104" spans="1:19" ht="28.5" customHeight="1" thickBot="1" x14ac:dyDescent="0.25">
      <c r="A104" s="436"/>
      <c r="B104" s="415"/>
      <c r="C104" s="416"/>
      <c r="D104" s="649"/>
      <c r="E104" s="649"/>
      <c r="F104" s="1786"/>
      <c r="G104" s="1210"/>
      <c r="H104" s="419"/>
      <c r="I104" s="2054"/>
      <c r="J104" s="16" t="s">
        <v>16</v>
      </c>
      <c r="K104" s="185">
        <f>K103</f>
        <v>26.7</v>
      </c>
      <c r="L104" s="66">
        <f>+L103</f>
        <v>1.5</v>
      </c>
      <c r="M104" s="111">
        <f>+M103</f>
        <v>1.5</v>
      </c>
      <c r="N104" s="111">
        <f>+N103</f>
        <v>1.5</v>
      </c>
      <c r="O104" s="74" t="s">
        <v>168</v>
      </c>
      <c r="P104" s="177">
        <v>1</v>
      </c>
      <c r="Q104" s="216">
        <v>1</v>
      </c>
      <c r="R104" s="177">
        <v>1</v>
      </c>
      <c r="S104" s="75">
        <v>1</v>
      </c>
    </row>
    <row r="105" spans="1:19" ht="28.5" customHeight="1" x14ac:dyDescent="0.2">
      <c r="A105" s="421" t="s">
        <v>14</v>
      </c>
      <c r="B105" s="408" t="s">
        <v>14</v>
      </c>
      <c r="C105" s="409" t="s">
        <v>97</v>
      </c>
      <c r="D105" s="645"/>
      <c r="E105" s="645"/>
      <c r="F105" s="1780" t="s">
        <v>617</v>
      </c>
      <c r="G105" s="337"/>
      <c r="H105" s="438">
        <v>1</v>
      </c>
      <c r="I105" s="2053" t="s">
        <v>240</v>
      </c>
      <c r="J105" s="213" t="s">
        <v>15</v>
      </c>
      <c r="K105" s="591"/>
      <c r="L105" s="592"/>
      <c r="M105" s="701">
        <v>50</v>
      </c>
      <c r="N105" s="702">
        <v>6</v>
      </c>
      <c r="O105" s="109" t="s">
        <v>167</v>
      </c>
      <c r="P105" s="425"/>
      <c r="Q105" s="439"/>
      <c r="R105" s="440">
        <v>1</v>
      </c>
      <c r="S105" s="375"/>
    </row>
    <row r="106" spans="1:19" ht="28.5" customHeight="1" thickBot="1" x14ac:dyDescent="0.25">
      <c r="A106" s="436"/>
      <c r="B106" s="415"/>
      <c r="C106" s="416"/>
      <c r="D106" s="649"/>
      <c r="E106" s="649"/>
      <c r="F106" s="1773"/>
      <c r="G106" s="338"/>
      <c r="H106" s="419"/>
      <c r="I106" s="2054"/>
      <c r="J106" s="16" t="s">
        <v>16</v>
      </c>
      <c r="K106" s="283">
        <f>+K105</f>
        <v>0</v>
      </c>
      <c r="L106" s="186">
        <f>+L105</f>
        <v>0</v>
      </c>
      <c r="M106" s="285">
        <f>+M105</f>
        <v>50</v>
      </c>
      <c r="N106" s="258">
        <f>+N105</f>
        <v>6</v>
      </c>
      <c r="O106" s="74" t="s">
        <v>168</v>
      </c>
      <c r="P106" s="67"/>
      <c r="Q106" s="215"/>
      <c r="R106" s="293"/>
      <c r="S106" s="68">
        <v>1</v>
      </c>
    </row>
    <row r="107" spans="1:19" ht="18.75" customHeight="1" x14ac:dyDescent="0.2">
      <c r="A107" s="421" t="s">
        <v>14</v>
      </c>
      <c r="B107" s="408" t="s">
        <v>14</v>
      </c>
      <c r="C107" s="409" t="s">
        <v>267</v>
      </c>
      <c r="D107" s="645"/>
      <c r="E107" s="645"/>
      <c r="F107" s="1790" t="s">
        <v>157</v>
      </c>
      <c r="G107" s="1209"/>
      <c r="H107" s="420">
        <v>2</v>
      </c>
      <c r="I107" s="2051" t="s">
        <v>237</v>
      </c>
      <c r="J107" s="13" t="s">
        <v>15</v>
      </c>
      <c r="K107" s="618">
        <v>16</v>
      </c>
      <c r="L107" s="289">
        <v>6.4</v>
      </c>
      <c r="M107" s="175">
        <v>6.4</v>
      </c>
      <c r="N107" s="290">
        <v>4.3</v>
      </c>
      <c r="O107" s="1196" t="s">
        <v>118</v>
      </c>
      <c r="P107" s="251">
        <v>89</v>
      </c>
      <c r="Q107" s="250">
        <v>89</v>
      </c>
      <c r="R107" s="251">
        <v>89</v>
      </c>
      <c r="S107" s="252">
        <v>89</v>
      </c>
    </row>
    <row r="108" spans="1:19" ht="16.5" customHeight="1" thickBot="1" x14ac:dyDescent="0.25">
      <c r="A108" s="436"/>
      <c r="B108" s="415"/>
      <c r="C108" s="416"/>
      <c r="D108" s="649"/>
      <c r="E108" s="649"/>
      <c r="F108" s="1786"/>
      <c r="G108" s="1210"/>
      <c r="H108" s="417"/>
      <c r="I108" s="2052"/>
      <c r="J108" s="16" t="s">
        <v>16</v>
      </c>
      <c r="K108" s="185">
        <f>K107</f>
        <v>16</v>
      </c>
      <c r="L108" s="66">
        <f>SUM(L107)</f>
        <v>6.4</v>
      </c>
      <c r="M108" s="111">
        <f>SUM(M107)</f>
        <v>6.4</v>
      </c>
      <c r="N108" s="187">
        <f>SUM(N107)</f>
        <v>4.3</v>
      </c>
      <c r="O108" s="1197"/>
      <c r="P108" s="177"/>
      <c r="Q108" s="216"/>
      <c r="R108" s="177"/>
      <c r="S108" s="75"/>
    </row>
    <row r="109" spans="1:19" ht="13.5" customHeight="1" thickBot="1" x14ac:dyDescent="0.25">
      <c r="A109" s="441" t="s">
        <v>14</v>
      </c>
      <c r="B109" s="442" t="s">
        <v>14</v>
      </c>
      <c r="C109" s="1751" t="s">
        <v>20</v>
      </c>
      <c r="D109" s="1752"/>
      <c r="E109" s="1752"/>
      <c r="F109" s="1752"/>
      <c r="G109" s="1752"/>
      <c r="H109" s="1752"/>
      <c r="I109" s="1752"/>
      <c r="J109" s="1890"/>
      <c r="K109" s="805">
        <f>K102+K98+K96+K94+K83+K104+K108+K106</f>
        <v>74382.100000000006</v>
      </c>
      <c r="L109" s="806">
        <f>L102+L98+L96+L94+L83+L104+L108+L106</f>
        <v>79104.600000000006</v>
      </c>
      <c r="M109" s="807">
        <f>M102+M98+M96+M94+M83+M104+M108+M106</f>
        <v>79600.7</v>
      </c>
      <c r="N109" s="808">
        <f>N102+N98+N96+N94+N83+N104+N108+N106</f>
        <v>79184.400000000009</v>
      </c>
      <c r="O109" s="443"/>
      <c r="P109" s="444"/>
      <c r="Q109" s="444"/>
      <c r="R109" s="444"/>
      <c r="S109" s="445"/>
    </row>
    <row r="110" spans="1:19" ht="15.75" customHeight="1" thickBot="1" x14ac:dyDescent="0.25">
      <c r="A110" s="441" t="s">
        <v>14</v>
      </c>
      <c r="B110" s="1891" t="s">
        <v>6</v>
      </c>
      <c r="C110" s="1892"/>
      <c r="D110" s="1892"/>
      <c r="E110" s="1892"/>
      <c r="F110" s="1892"/>
      <c r="G110" s="1892"/>
      <c r="H110" s="1892"/>
      <c r="I110" s="1892"/>
      <c r="J110" s="1893"/>
      <c r="K110" s="809">
        <f t="shared" ref="K110:L110" si="8">K109</f>
        <v>74382.100000000006</v>
      </c>
      <c r="L110" s="810">
        <f t="shared" si="8"/>
        <v>79104.600000000006</v>
      </c>
      <c r="M110" s="811">
        <f t="shared" ref="M110:N110" si="9">M109</f>
        <v>79600.7</v>
      </c>
      <c r="N110" s="811">
        <f t="shared" si="9"/>
        <v>79184.400000000009</v>
      </c>
      <c r="O110" s="446"/>
      <c r="P110" s="340"/>
      <c r="Q110" s="340"/>
      <c r="R110" s="340"/>
      <c r="S110" s="341"/>
    </row>
    <row r="111" spans="1:19" ht="15.75" customHeight="1" thickBot="1" x14ac:dyDescent="0.25">
      <c r="A111" s="447" t="s">
        <v>17</v>
      </c>
      <c r="B111" s="1894" t="s">
        <v>37</v>
      </c>
      <c r="C111" s="1895"/>
      <c r="D111" s="1895"/>
      <c r="E111" s="1895"/>
      <c r="F111" s="1895"/>
      <c r="G111" s="1895"/>
      <c r="H111" s="1895"/>
      <c r="I111" s="1895"/>
      <c r="J111" s="1895"/>
      <c r="K111" s="1895"/>
      <c r="L111" s="1895"/>
      <c r="M111" s="1895"/>
      <c r="N111" s="1895"/>
      <c r="O111" s="1895"/>
      <c r="P111" s="1895"/>
      <c r="Q111" s="1895"/>
      <c r="R111" s="1895"/>
      <c r="S111" s="1896"/>
    </row>
    <row r="112" spans="1:19" ht="15.75" customHeight="1" thickBot="1" x14ac:dyDescent="0.25">
      <c r="A112" s="448" t="s">
        <v>17</v>
      </c>
      <c r="B112" s="449" t="s">
        <v>14</v>
      </c>
      <c r="C112" s="1897" t="s">
        <v>33</v>
      </c>
      <c r="D112" s="1761"/>
      <c r="E112" s="1761"/>
      <c r="F112" s="1761"/>
      <c r="G112" s="1761"/>
      <c r="H112" s="1761"/>
      <c r="I112" s="1761"/>
      <c r="J112" s="1761"/>
      <c r="K112" s="1761"/>
      <c r="L112" s="1761"/>
      <c r="M112" s="1761"/>
      <c r="N112" s="1761"/>
      <c r="O112" s="1761"/>
      <c r="P112" s="1761"/>
      <c r="Q112" s="1761"/>
      <c r="R112" s="1761"/>
      <c r="S112" s="1762"/>
    </row>
    <row r="113" spans="1:23" s="17" customFormat="1" ht="42" customHeight="1" x14ac:dyDescent="0.2">
      <c r="A113" s="1876" t="s">
        <v>17</v>
      </c>
      <c r="B113" s="1879" t="s">
        <v>14</v>
      </c>
      <c r="C113" s="1882" t="s">
        <v>14</v>
      </c>
      <c r="D113" s="650"/>
      <c r="E113" s="650"/>
      <c r="F113" s="1780" t="s">
        <v>241</v>
      </c>
      <c r="G113" s="1885"/>
      <c r="H113" s="952">
        <v>5</v>
      </c>
      <c r="I113" s="953" t="s">
        <v>252</v>
      </c>
      <c r="J113" s="304" t="s">
        <v>15</v>
      </c>
      <c r="K113" s="766"/>
      <c r="L113" s="775">
        <v>218.6</v>
      </c>
      <c r="M113" s="757"/>
      <c r="N113" s="857"/>
      <c r="O113" s="1887" t="s">
        <v>242</v>
      </c>
      <c r="P113" s="704"/>
      <c r="Q113" s="318">
        <v>6</v>
      </c>
      <c r="R113" s="1235">
        <v>6</v>
      </c>
      <c r="S113" s="316">
        <v>6</v>
      </c>
    </row>
    <row r="114" spans="1:23" s="17" customFormat="1" ht="16.5" customHeight="1" x14ac:dyDescent="0.2">
      <c r="A114" s="1877"/>
      <c r="B114" s="1880"/>
      <c r="C114" s="1883"/>
      <c r="D114" s="949"/>
      <c r="E114" s="949"/>
      <c r="F114" s="1858"/>
      <c r="G114" s="1864"/>
      <c r="H114" s="952">
        <v>2</v>
      </c>
      <c r="I114" s="2013" t="s">
        <v>237</v>
      </c>
      <c r="J114" s="303" t="s">
        <v>15</v>
      </c>
      <c r="K114" s="755"/>
      <c r="L114" s="954"/>
      <c r="M114" s="162">
        <v>65.2</v>
      </c>
      <c r="N114" s="886">
        <v>86.1</v>
      </c>
      <c r="O114" s="1888"/>
      <c r="P114" s="950"/>
      <c r="Q114" s="279"/>
      <c r="R114" s="57"/>
      <c r="S114" s="948"/>
    </row>
    <row r="115" spans="1:23" s="17" customFormat="1" ht="15.75" customHeight="1" thickBot="1" x14ac:dyDescent="0.25">
      <c r="A115" s="1878"/>
      <c r="B115" s="1881"/>
      <c r="C115" s="1884"/>
      <c r="D115" s="651"/>
      <c r="E115" s="651"/>
      <c r="F115" s="1773"/>
      <c r="G115" s="1886"/>
      <c r="H115" s="951"/>
      <c r="I115" s="2032"/>
      <c r="J115" s="625" t="s">
        <v>16</v>
      </c>
      <c r="K115" s="167"/>
      <c r="L115" s="703">
        <f>SUM(L113:L114)</f>
        <v>218.6</v>
      </c>
      <c r="M115" s="167">
        <f>SUM(M113:M114)</f>
        <v>65.2</v>
      </c>
      <c r="N115" s="167">
        <f>SUM(N113:N114)</f>
        <v>86.1</v>
      </c>
      <c r="O115" s="1889"/>
      <c r="P115" s="530"/>
      <c r="Q115" s="324"/>
      <c r="R115" s="530"/>
      <c r="S115" s="413"/>
    </row>
    <row r="116" spans="1:23" ht="15" customHeight="1" x14ac:dyDescent="0.2">
      <c r="A116" s="407" t="s">
        <v>17</v>
      </c>
      <c r="B116" s="408" t="s">
        <v>14</v>
      </c>
      <c r="C116" s="409" t="s">
        <v>17</v>
      </c>
      <c r="D116" s="652"/>
      <c r="E116" s="652"/>
      <c r="F116" s="1904" t="s">
        <v>169</v>
      </c>
      <c r="G116" s="451" t="s">
        <v>2</v>
      </c>
      <c r="H116" s="410">
        <v>5</v>
      </c>
      <c r="I116" s="2051" t="s">
        <v>252</v>
      </c>
      <c r="J116" s="497"/>
      <c r="K116" s="786"/>
      <c r="L116" s="812"/>
      <c r="M116" s="813"/>
      <c r="N116" s="786"/>
      <c r="O116" s="516"/>
      <c r="P116" s="452"/>
      <c r="Q116" s="411"/>
      <c r="R116" s="453"/>
      <c r="S116" s="454"/>
      <c r="T116" s="455"/>
      <c r="U116" s="455"/>
    </row>
    <row r="117" spans="1:23" ht="15" customHeight="1" x14ac:dyDescent="0.2">
      <c r="A117" s="398"/>
      <c r="B117" s="381"/>
      <c r="C117" s="382"/>
      <c r="D117" s="653"/>
      <c r="E117" s="653"/>
      <c r="F117" s="1905"/>
      <c r="G117" s="451"/>
      <c r="H117" s="370"/>
      <c r="I117" s="2030"/>
      <c r="J117" s="461"/>
      <c r="K117" s="618"/>
      <c r="L117" s="1272"/>
      <c r="M117" s="140"/>
      <c r="N117" s="814"/>
      <c r="O117" s="14"/>
      <c r="P117" s="458"/>
      <c r="Q117" s="388"/>
      <c r="R117" s="459"/>
      <c r="S117" s="460"/>
      <c r="T117" s="455"/>
      <c r="U117" s="455"/>
    </row>
    <row r="118" spans="1:23" ht="15" customHeight="1" thickBot="1" x14ac:dyDescent="0.25">
      <c r="A118" s="398"/>
      <c r="B118" s="381"/>
      <c r="C118" s="382"/>
      <c r="D118" s="653"/>
      <c r="E118" s="653"/>
      <c r="F118" s="1907"/>
      <c r="G118" s="172"/>
      <c r="H118" s="370"/>
      <c r="I118" s="2030"/>
      <c r="J118" s="531"/>
      <c r="K118" s="815"/>
      <c r="L118" s="816"/>
      <c r="M118" s="817"/>
      <c r="N118" s="815"/>
      <c r="O118" s="14"/>
      <c r="P118" s="458"/>
      <c r="Q118" s="388"/>
      <c r="R118" s="459"/>
      <c r="S118" s="460"/>
      <c r="T118" s="140"/>
      <c r="U118" s="635"/>
      <c r="V118" s="306"/>
      <c r="W118" s="219"/>
    </row>
    <row r="119" spans="1:23" ht="20.25" customHeight="1" x14ac:dyDescent="0.2">
      <c r="A119" s="398"/>
      <c r="B119" s="381"/>
      <c r="C119" s="382"/>
      <c r="D119" s="653" t="s">
        <v>14</v>
      </c>
      <c r="E119" s="653"/>
      <c r="F119" s="1772" t="s">
        <v>253</v>
      </c>
      <c r="G119" s="123"/>
      <c r="H119" s="451"/>
      <c r="I119" s="2033" t="s">
        <v>284</v>
      </c>
      <c r="J119" s="554" t="s">
        <v>15</v>
      </c>
      <c r="K119" s="555">
        <v>66.3</v>
      </c>
      <c r="L119" s="556">
        <f>128.1-65.3</f>
        <v>62.8</v>
      </c>
      <c r="M119" s="557">
        <v>100.6</v>
      </c>
      <c r="N119" s="786"/>
      <c r="O119" s="1898" t="s">
        <v>103</v>
      </c>
      <c r="P119" s="957"/>
      <c r="Q119" s="958">
        <v>5</v>
      </c>
      <c r="R119" s="959">
        <v>2</v>
      </c>
      <c r="S119" s="558"/>
      <c r="T119" s="632"/>
      <c r="U119" s="632"/>
      <c r="V119" s="632"/>
      <c r="W119" s="219"/>
    </row>
    <row r="120" spans="1:23" ht="20.25" customHeight="1" x14ac:dyDescent="0.2">
      <c r="A120" s="398"/>
      <c r="B120" s="381"/>
      <c r="C120" s="382"/>
      <c r="D120" s="653"/>
      <c r="E120" s="653"/>
      <c r="F120" s="1858"/>
      <c r="G120" s="462"/>
      <c r="H120" s="370"/>
      <c r="I120" s="2034"/>
      <c r="J120" s="537" t="s">
        <v>98</v>
      </c>
      <c r="K120" s="538"/>
      <c r="L120" s="544">
        <v>60.5</v>
      </c>
      <c r="M120" s="539"/>
      <c r="N120" s="619"/>
      <c r="O120" s="1899"/>
      <c r="P120" s="960"/>
      <c r="Q120" s="961"/>
      <c r="R120" s="962"/>
      <c r="S120" s="549"/>
      <c r="T120" s="632"/>
      <c r="U120" s="632"/>
      <c r="V120" s="632"/>
      <c r="W120" s="219"/>
    </row>
    <row r="121" spans="1:23" ht="20.25" customHeight="1" x14ac:dyDescent="0.2">
      <c r="A121" s="398"/>
      <c r="B121" s="381"/>
      <c r="C121" s="382"/>
      <c r="D121" s="653"/>
      <c r="E121" s="653"/>
      <c r="F121" s="1858"/>
      <c r="G121" s="462"/>
      <c r="H121" s="370"/>
      <c r="I121" s="2034"/>
      <c r="J121" s="559" t="s">
        <v>101</v>
      </c>
      <c r="K121" s="560">
        <v>6.8</v>
      </c>
      <c r="L121" s="548">
        <v>621.6</v>
      </c>
      <c r="M121" s="542">
        <v>399.2</v>
      </c>
      <c r="N121" s="618"/>
      <c r="O121" s="1900" t="s">
        <v>170</v>
      </c>
      <c r="P121" s="963"/>
      <c r="Q121" s="964">
        <v>5</v>
      </c>
      <c r="R121" s="965">
        <v>2</v>
      </c>
      <c r="S121" s="532"/>
      <c r="T121" s="632"/>
      <c r="U121" s="632"/>
      <c r="V121" s="632"/>
      <c r="W121" s="219"/>
    </row>
    <row r="122" spans="1:23" ht="20.25" customHeight="1" thickBot="1" x14ac:dyDescent="0.25">
      <c r="A122" s="398"/>
      <c r="B122" s="381"/>
      <c r="C122" s="382"/>
      <c r="D122" s="653"/>
      <c r="E122" s="653"/>
      <c r="F122" s="1863"/>
      <c r="G122" s="462"/>
      <c r="H122" s="370"/>
      <c r="I122" s="2035"/>
      <c r="J122" s="561" t="s">
        <v>18</v>
      </c>
      <c r="K122" s="562">
        <v>0.7</v>
      </c>
      <c r="L122" s="563">
        <v>54.8</v>
      </c>
      <c r="M122" s="564">
        <v>35.200000000000003</v>
      </c>
      <c r="N122" s="796"/>
      <c r="O122" s="1901"/>
      <c r="P122" s="75"/>
      <c r="Q122" s="216"/>
      <c r="R122" s="332"/>
      <c r="S122" s="483"/>
      <c r="T122" s="632"/>
      <c r="U122" s="632"/>
      <c r="V122" s="632"/>
      <c r="W122" s="219"/>
    </row>
    <row r="123" spans="1:23" ht="15" customHeight="1" x14ac:dyDescent="0.2">
      <c r="A123" s="398"/>
      <c r="B123" s="381"/>
      <c r="C123" s="382"/>
      <c r="D123" s="670" t="s">
        <v>17</v>
      </c>
      <c r="E123" s="670"/>
      <c r="F123" s="1772" t="s">
        <v>200</v>
      </c>
      <c r="G123" s="463"/>
      <c r="H123" s="383"/>
      <c r="I123" s="2036" t="s">
        <v>604</v>
      </c>
      <c r="J123" s="541" t="s">
        <v>15</v>
      </c>
      <c r="K123" s="535">
        <v>35</v>
      </c>
      <c r="L123" s="548">
        <v>14.2</v>
      </c>
      <c r="M123" s="542">
        <v>0</v>
      </c>
      <c r="N123" s="550">
        <v>0</v>
      </c>
      <c r="O123" s="2090" t="s">
        <v>171</v>
      </c>
      <c r="P123" s="966"/>
      <c r="Q123" s="967">
        <v>1</v>
      </c>
      <c r="R123" s="968"/>
      <c r="S123" s="969"/>
      <c r="T123" s="2047"/>
      <c r="U123" s="2048"/>
      <c r="V123" s="219"/>
      <c r="W123" s="219"/>
    </row>
    <row r="124" spans="1:23" ht="15" customHeight="1" x14ac:dyDescent="0.2">
      <c r="A124" s="398"/>
      <c r="B124" s="381"/>
      <c r="C124" s="382"/>
      <c r="D124" s="653"/>
      <c r="E124" s="653"/>
      <c r="F124" s="1858"/>
      <c r="G124" s="463"/>
      <c r="H124" s="383"/>
      <c r="I124" s="2037"/>
      <c r="J124" s="545" t="s">
        <v>98</v>
      </c>
      <c r="K124" s="546"/>
      <c r="L124" s="552">
        <v>35</v>
      </c>
      <c r="M124" s="547"/>
      <c r="N124" s="551"/>
      <c r="O124" s="1899"/>
      <c r="P124" s="970"/>
      <c r="Q124" s="971"/>
      <c r="R124" s="972"/>
      <c r="S124" s="973"/>
      <c r="T124" s="632"/>
      <c r="U124" s="632"/>
      <c r="V124" s="219"/>
      <c r="W124" s="219"/>
    </row>
    <row r="125" spans="1:23" ht="27" customHeight="1" thickBot="1" x14ac:dyDescent="0.25">
      <c r="A125" s="398"/>
      <c r="B125" s="381"/>
      <c r="C125" s="382"/>
      <c r="D125" s="671"/>
      <c r="E125" s="671"/>
      <c r="F125" s="1863"/>
      <c r="G125" s="463"/>
      <c r="H125" s="383"/>
      <c r="I125" s="2038"/>
      <c r="J125" s="541"/>
      <c r="K125" s="565"/>
      <c r="L125" s="548"/>
      <c r="M125" s="542"/>
      <c r="N125" s="550"/>
      <c r="O125" s="1278" t="s">
        <v>77</v>
      </c>
      <c r="P125" s="966"/>
      <c r="Q125" s="967"/>
      <c r="R125" s="968"/>
      <c r="S125" s="966"/>
      <c r="T125" s="632"/>
      <c r="U125" s="632"/>
      <c r="V125" s="219"/>
      <c r="W125" s="219"/>
    </row>
    <row r="126" spans="1:23" ht="27.75" customHeight="1" x14ac:dyDescent="0.2">
      <c r="A126" s="380"/>
      <c r="B126" s="381"/>
      <c r="C126" s="382"/>
      <c r="D126" s="670" t="s">
        <v>19</v>
      </c>
      <c r="E126" s="670"/>
      <c r="F126" s="1772" t="s">
        <v>201</v>
      </c>
      <c r="G126" s="463"/>
      <c r="H126" s="383"/>
      <c r="I126" s="926" t="s">
        <v>605</v>
      </c>
      <c r="J126" s="554" t="s">
        <v>15</v>
      </c>
      <c r="K126" s="555"/>
      <c r="L126" s="556"/>
      <c r="M126" s="557">
        <v>500</v>
      </c>
      <c r="N126" s="1302">
        <v>1833.3</v>
      </c>
      <c r="O126" s="974" t="s">
        <v>254</v>
      </c>
      <c r="P126" s="975">
        <v>1</v>
      </c>
      <c r="Q126" s="976"/>
      <c r="R126" s="977"/>
      <c r="S126" s="978"/>
      <c r="T126" s="632"/>
      <c r="U126" s="219"/>
      <c r="V126" s="219"/>
      <c r="W126" s="219"/>
    </row>
    <row r="127" spans="1:23" ht="15" customHeight="1" x14ac:dyDescent="0.2">
      <c r="A127" s="380"/>
      <c r="B127" s="381"/>
      <c r="C127" s="382"/>
      <c r="D127" s="653"/>
      <c r="E127" s="653"/>
      <c r="F127" s="1858"/>
      <c r="G127" s="463"/>
      <c r="H127" s="383"/>
      <c r="I127" s="927"/>
      <c r="J127" s="537" t="s">
        <v>98</v>
      </c>
      <c r="K127" s="538">
        <v>37.5</v>
      </c>
      <c r="L127" s="544"/>
      <c r="M127" s="539"/>
      <c r="N127" s="540"/>
      <c r="O127" s="979" t="s">
        <v>60</v>
      </c>
      <c r="P127" s="980"/>
      <c r="Q127" s="981">
        <v>35</v>
      </c>
      <c r="R127" s="982">
        <v>60</v>
      </c>
      <c r="S127" s="983">
        <v>100</v>
      </c>
      <c r="T127" s="219"/>
      <c r="U127" s="219"/>
      <c r="V127" s="219"/>
      <c r="W127" s="219"/>
    </row>
    <row r="128" spans="1:23" ht="15" customHeight="1" thickBot="1" x14ac:dyDescent="0.25">
      <c r="A128" s="398"/>
      <c r="B128" s="381"/>
      <c r="C128" s="382"/>
      <c r="D128" s="671"/>
      <c r="E128" s="671"/>
      <c r="F128" s="1863"/>
      <c r="G128" s="463"/>
      <c r="H128" s="383"/>
      <c r="I128" s="927"/>
      <c r="J128" s="928" t="s">
        <v>214</v>
      </c>
      <c r="K128" s="929"/>
      <c r="L128" s="930">
        <v>2900</v>
      </c>
      <c r="M128" s="931">
        <v>2900</v>
      </c>
      <c r="N128" s="932">
        <v>2900</v>
      </c>
      <c r="O128" s="984"/>
      <c r="P128" s="985"/>
      <c r="Q128" s="986"/>
      <c r="R128" s="987"/>
      <c r="S128" s="988"/>
    </row>
    <row r="129" spans="1:23" ht="40.5" customHeight="1" x14ac:dyDescent="0.2">
      <c r="A129" s="380"/>
      <c r="B129" s="381"/>
      <c r="C129" s="382"/>
      <c r="D129" s="653" t="s">
        <v>21</v>
      </c>
      <c r="E129" s="653"/>
      <c r="F129" s="1772" t="s">
        <v>172</v>
      </c>
      <c r="G129" s="463"/>
      <c r="H129" s="383"/>
      <c r="I129" s="1254" t="s">
        <v>614</v>
      </c>
      <c r="J129" s="559" t="s">
        <v>15</v>
      </c>
      <c r="K129" s="560">
        <v>2.2999999999999998</v>
      </c>
      <c r="L129" s="548">
        <v>20</v>
      </c>
      <c r="M129" s="542">
        <v>40</v>
      </c>
      <c r="N129" s="700">
        <f>1080-1080</f>
        <v>0</v>
      </c>
      <c r="O129" s="989" t="s">
        <v>213</v>
      </c>
      <c r="P129" s="990">
        <v>1</v>
      </c>
      <c r="Q129" s="991"/>
      <c r="R129" s="972"/>
      <c r="S129" s="973"/>
      <c r="T129" s="2061"/>
      <c r="U129" s="2062"/>
    </row>
    <row r="130" spans="1:23" ht="30" customHeight="1" x14ac:dyDescent="0.2">
      <c r="A130" s="380"/>
      <c r="B130" s="381"/>
      <c r="C130" s="378"/>
      <c r="D130" s="647"/>
      <c r="E130" s="653"/>
      <c r="F130" s="1858"/>
      <c r="G130" s="462"/>
      <c r="H130" s="370"/>
      <c r="I130" s="1253"/>
      <c r="J130" s="559"/>
      <c r="K130" s="569"/>
      <c r="L130" s="567"/>
      <c r="M130" s="542"/>
      <c r="N130" s="700"/>
      <c r="O130" s="992" t="s">
        <v>53</v>
      </c>
      <c r="P130" s="993"/>
      <c r="Q130" s="994"/>
      <c r="R130" s="995">
        <v>1</v>
      </c>
      <c r="S130" s="996"/>
    </row>
    <row r="131" spans="1:23" ht="16.5" customHeight="1" thickBot="1" x14ac:dyDescent="0.25">
      <c r="A131" s="380"/>
      <c r="B131" s="381"/>
      <c r="C131" s="465"/>
      <c r="D131" s="647"/>
      <c r="E131" s="653"/>
      <c r="F131" s="1858"/>
      <c r="G131" s="462"/>
      <c r="H131" s="412"/>
      <c r="I131" s="1253"/>
      <c r="J131" s="878"/>
      <c r="K131" s="566"/>
      <c r="L131" s="567"/>
      <c r="M131" s="879"/>
      <c r="N131" s="700"/>
      <c r="O131" s="997" t="s">
        <v>116</v>
      </c>
      <c r="P131" s="998"/>
      <c r="Q131" s="999"/>
      <c r="R131" s="1000"/>
      <c r="S131" s="998"/>
      <c r="T131" s="468"/>
    </row>
    <row r="132" spans="1:23" ht="15" customHeight="1" x14ac:dyDescent="0.2">
      <c r="A132" s="380"/>
      <c r="B132" s="381"/>
      <c r="C132" s="382"/>
      <c r="D132" s="670" t="s">
        <v>22</v>
      </c>
      <c r="E132" s="670"/>
      <c r="F132" s="1772" t="s">
        <v>208</v>
      </c>
      <c r="G132" s="463"/>
      <c r="H132" s="383"/>
      <c r="I132" s="2036" t="s">
        <v>284</v>
      </c>
      <c r="J132" s="554" t="s">
        <v>15</v>
      </c>
      <c r="K132" s="555">
        <f>5.1-2.3</f>
        <v>2.8</v>
      </c>
      <c r="L132" s="556"/>
      <c r="M132" s="907"/>
      <c r="N132" s="908"/>
      <c r="O132" s="1898" t="s">
        <v>53</v>
      </c>
      <c r="P132" s="1001"/>
      <c r="Q132" s="1002"/>
      <c r="R132" s="959"/>
      <c r="S132" s="957"/>
      <c r="T132" s="632"/>
      <c r="U132" s="632"/>
      <c r="V132" s="219"/>
      <c r="W132" s="219"/>
    </row>
    <row r="133" spans="1:23" ht="15" customHeight="1" x14ac:dyDescent="0.2">
      <c r="A133" s="380"/>
      <c r="B133" s="381"/>
      <c r="C133" s="382"/>
      <c r="D133" s="653"/>
      <c r="E133" s="653"/>
      <c r="F133" s="1858"/>
      <c r="G133" s="463"/>
      <c r="H133" s="383"/>
      <c r="I133" s="2037"/>
      <c r="J133" s="537" t="s">
        <v>98</v>
      </c>
      <c r="K133" s="538"/>
      <c r="L133" s="544">
        <v>2.8</v>
      </c>
      <c r="M133" s="941"/>
      <c r="N133" s="942"/>
      <c r="O133" s="1909"/>
      <c r="P133" s="1003"/>
      <c r="Q133" s="1004"/>
      <c r="R133" s="965"/>
      <c r="S133" s="963"/>
      <c r="T133" s="632"/>
      <c r="U133" s="632"/>
      <c r="V133" s="219"/>
      <c r="W133" s="219"/>
    </row>
    <row r="134" spans="1:23" ht="27.75" customHeight="1" thickBot="1" x14ac:dyDescent="0.25">
      <c r="A134" s="380"/>
      <c r="B134" s="381"/>
      <c r="C134" s="382"/>
      <c r="D134" s="653"/>
      <c r="E134" s="653"/>
      <c r="F134" s="1863"/>
      <c r="G134" s="463"/>
      <c r="H134" s="383"/>
      <c r="I134" s="2038"/>
      <c r="J134" s="561" t="s">
        <v>3</v>
      </c>
      <c r="K134" s="562">
        <v>28.6</v>
      </c>
      <c r="L134" s="563"/>
      <c r="M134" s="909"/>
      <c r="N134" s="910"/>
      <c r="O134" s="1005" t="s">
        <v>93</v>
      </c>
      <c r="P134" s="1006"/>
      <c r="Q134" s="1007"/>
      <c r="R134" s="1008"/>
      <c r="S134" s="1009"/>
      <c r="T134" s="632"/>
      <c r="U134" s="632"/>
      <c r="V134" s="219"/>
      <c r="W134" s="219"/>
    </row>
    <row r="135" spans="1:23" s="219" customFormat="1" ht="24.75" customHeight="1" x14ac:dyDescent="0.2">
      <c r="A135" s="380"/>
      <c r="B135" s="381"/>
      <c r="C135" s="484"/>
      <c r="D135" s="917" t="s">
        <v>96</v>
      </c>
      <c r="E135" s="912"/>
      <c r="F135" s="1780" t="s">
        <v>618</v>
      </c>
      <c r="G135" s="913"/>
      <c r="H135" s="694">
        <v>6</v>
      </c>
      <c r="I135" s="2053" t="s">
        <v>259</v>
      </c>
      <c r="J135" s="250" t="s">
        <v>15</v>
      </c>
      <c r="K135" s="765"/>
      <c r="L135" s="134">
        <v>11.5</v>
      </c>
      <c r="M135" s="266"/>
      <c r="N135" s="842">
        <v>138</v>
      </c>
      <c r="O135" s="914" t="s">
        <v>59</v>
      </c>
      <c r="P135" s="696"/>
      <c r="Q135" s="250">
        <v>1</v>
      </c>
      <c r="R135" s="904"/>
      <c r="S135" s="491"/>
      <c r="T135" s="140"/>
      <c r="U135" s="140"/>
      <c r="V135" s="140"/>
    </row>
    <row r="136" spans="1:23" s="219" customFormat="1" ht="18" customHeight="1" x14ac:dyDescent="0.2">
      <c r="A136" s="380"/>
      <c r="B136" s="381"/>
      <c r="C136" s="484"/>
      <c r="D136" s="665"/>
      <c r="E136" s="300"/>
      <c r="F136" s="1858"/>
      <c r="G136" s="903"/>
      <c r="H136" s="880"/>
      <c r="I136" s="1926"/>
      <c r="J136" s="1269"/>
      <c r="K136" s="766"/>
      <c r="L136" s="190"/>
      <c r="M136" s="281"/>
      <c r="N136" s="814"/>
      <c r="O136" s="1198" t="s">
        <v>116</v>
      </c>
      <c r="P136" s="514"/>
      <c r="Q136" s="93"/>
      <c r="R136" s="1270"/>
      <c r="S136" s="287">
        <v>100</v>
      </c>
      <c r="T136" s="306"/>
    </row>
    <row r="137" spans="1:23" ht="20.25" customHeight="1" x14ac:dyDescent="0.2">
      <c r="A137" s="380"/>
      <c r="B137" s="381"/>
      <c r="C137" s="378"/>
      <c r="D137" s="669" t="s">
        <v>97</v>
      </c>
      <c r="E137" s="674"/>
      <c r="F137" s="1772" t="s">
        <v>630</v>
      </c>
      <c r="G137" s="475"/>
      <c r="H137" s="638"/>
      <c r="I137" s="1926"/>
      <c r="J137" s="9" t="s">
        <v>15</v>
      </c>
      <c r="K137" s="589">
        <v>1307.3</v>
      </c>
      <c r="L137" s="261">
        <v>770.2</v>
      </c>
      <c r="M137" s="64">
        <v>890</v>
      </c>
      <c r="N137" s="589">
        <v>1220</v>
      </c>
      <c r="O137" s="198" t="s">
        <v>205</v>
      </c>
      <c r="P137" s="920">
        <v>6</v>
      </c>
      <c r="Q137" s="85">
        <v>3</v>
      </c>
      <c r="R137" s="1268">
        <v>3</v>
      </c>
      <c r="S137" s="280">
        <v>2</v>
      </c>
      <c r="T137" s="902"/>
      <c r="U137" s="455"/>
      <c r="V137" s="455"/>
    </row>
    <row r="138" spans="1:23" ht="37.5" customHeight="1" x14ac:dyDescent="0.2">
      <c r="A138" s="380"/>
      <c r="B138" s="381"/>
      <c r="C138" s="378"/>
      <c r="D138" s="668"/>
      <c r="E138" s="675"/>
      <c r="F138" s="1863"/>
      <c r="G138" s="475"/>
      <c r="H138" s="638"/>
      <c r="I138" s="145"/>
      <c r="J138" s="107" t="s">
        <v>98</v>
      </c>
      <c r="K138" s="755"/>
      <c r="L138" s="954">
        <v>172.5</v>
      </c>
      <c r="M138" s="1173"/>
      <c r="N138" s="1174"/>
      <c r="O138" s="208" t="s">
        <v>191</v>
      </c>
      <c r="P138" s="55">
        <v>2</v>
      </c>
      <c r="Q138" s="121">
        <v>1</v>
      </c>
      <c r="R138" s="54">
        <v>1</v>
      </c>
      <c r="S138" s="933"/>
      <c r="T138" s="455"/>
      <c r="U138" s="455"/>
      <c r="V138" s="455"/>
    </row>
    <row r="139" spans="1:23" ht="29.25" customHeight="1" x14ac:dyDescent="0.2">
      <c r="A139" s="398"/>
      <c r="B139" s="381"/>
      <c r="C139" s="365"/>
      <c r="D139" s="670" t="s">
        <v>267</v>
      </c>
      <c r="E139" s="670"/>
      <c r="F139" s="1839" t="s">
        <v>173</v>
      </c>
      <c r="G139" s="368"/>
      <c r="H139" s="905"/>
      <c r="I139" s="1279"/>
      <c r="J139" s="85" t="s">
        <v>15</v>
      </c>
      <c r="K139" s="588">
        <v>150</v>
      </c>
      <c r="L139" s="1010">
        <v>385</v>
      </c>
      <c r="M139" s="1011">
        <f>600+130</f>
        <v>730</v>
      </c>
      <c r="N139" s="588"/>
      <c r="O139" s="583" t="s">
        <v>146</v>
      </c>
      <c r="P139" s="587">
        <v>1</v>
      </c>
      <c r="Q139" s="584"/>
      <c r="R139" s="585"/>
      <c r="S139" s="586"/>
      <c r="T139" s="350"/>
    </row>
    <row r="140" spans="1:23" ht="29.25" customHeight="1" x14ac:dyDescent="0.2">
      <c r="A140" s="398"/>
      <c r="B140" s="381"/>
      <c r="C140" s="365"/>
      <c r="D140" s="653"/>
      <c r="E140" s="653"/>
      <c r="F140" s="1840"/>
      <c r="G140" s="368"/>
      <c r="H140" s="905"/>
      <c r="I140" s="1279"/>
      <c r="J140" s="85" t="s">
        <v>98</v>
      </c>
      <c r="K140" s="1169"/>
      <c r="L140" s="1010">
        <v>130</v>
      </c>
      <c r="M140" s="1011"/>
      <c r="N140" s="588"/>
      <c r="O140" s="1170" t="s">
        <v>147</v>
      </c>
      <c r="P140" s="1171">
        <v>20</v>
      </c>
      <c r="Q140" s="223">
        <v>50</v>
      </c>
      <c r="R140" s="1074">
        <v>100</v>
      </c>
      <c r="S140" s="1075"/>
      <c r="T140" s="350"/>
    </row>
    <row r="141" spans="1:23" ht="30.75" customHeight="1" x14ac:dyDescent="0.2">
      <c r="A141" s="398"/>
      <c r="B141" s="381"/>
      <c r="C141" s="467"/>
      <c r="D141" s="1155" t="s">
        <v>268</v>
      </c>
      <c r="E141" s="684"/>
      <c r="F141" s="1906" t="s">
        <v>202</v>
      </c>
      <c r="G141" s="881"/>
      <c r="H141" s="1243"/>
      <c r="I141" s="2013"/>
      <c r="J141" s="182" t="s">
        <v>15</v>
      </c>
      <c r="K141" s="1256">
        <v>596.20000000000005</v>
      </c>
      <c r="L141" s="1263"/>
      <c r="M141" s="818"/>
      <c r="N141" s="819">
        <v>102</v>
      </c>
      <c r="O141" s="184" t="s">
        <v>93</v>
      </c>
      <c r="P141" s="688" t="s">
        <v>258</v>
      </c>
      <c r="Q141" s="689"/>
      <c r="R141" s="934"/>
      <c r="S141" s="935" t="s">
        <v>74</v>
      </c>
    </row>
    <row r="142" spans="1:23" ht="35.25" customHeight="1" thickBot="1" x14ac:dyDescent="0.25">
      <c r="A142" s="398"/>
      <c r="B142" s="381"/>
      <c r="C142" s="467"/>
      <c r="D142" s="1172"/>
      <c r="E142" s="1159"/>
      <c r="F142" s="1908"/>
      <c r="G142" s="419"/>
      <c r="H142" s="1160"/>
      <c r="I142" s="2032"/>
      <c r="J142" s="1161"/>
      <c r="K142" s="780"/>
      <c r="L142" s="789"/>
      <c r="M142" s="1162"/>
      <c r="N142" s="1163"/>
      <c r="O142" s="1164" t="s">
        <v>100</v>
      </c>
      <c r="P142" s="1165" t="s">
        <v>74</v>
      </c>
      <c r="Q142" s="1166"/>
      <c r="R142" s="1167"/>
      <c r="S142" s="1168"/>
    </row>
    <row r="143" spans="1:23" s="219" customFormat="1" ht="30" customHeight="1" x14ac:dyDescent="0.2">
      <c r="A143" s="398"/>
      <c r="B143" s="381"/>
      <c r="C143" s="484"/>
      <c r="D143" s="665"/>
      <c r="E143" s="665"/>
      <c r="F143" s="1905" t="s">
        <v>256</v>
      </c>
      <c r="G143" s="911"/>
      <c r="H143" s="361">
        <v>5</v>
      </c>
      <c r="I143" s="1926"/>
      <c r="J143" s="101" t="s">
        <v>15</v>
      </c>
      <c r="K143" s="1107">
        <v>181.6</v>
      </c>
      <c r="L143" s="190"/>
      <c r="M143" s="267"/>
      <c r="N143" s="814"/>
      <c r="O143" s="1199" t="s">
        <v>59</v>
      </c>
      <c r="P143" s="1158">
        <v>1</v>
      </c>
      <c r="Q143" s="95"/>
      <c r="R143" s="1271"/>
      <c r="S143" s="288"/>
      <c r="T143" s="632"/>
    </row>
    <row r="144" spans="1:23" s="219" customFormat="1" ht="17.25" customHeight="1" x14ac:dyDescent="0.2">
      <c r="A144" s="398"/>
      <c r="B144" s="381"/>
      <c r="C144" s="484"/>
      <c r="D144" s="665"/>
      <c r="E144" s="665"/>
      <c r="F144" s="1905"/>
      <c r="G144" s="463"/>
      <c r="H144" s="880"/>
      <c r="I144" s="1926"/>
      <c r="J144" s="93" t="s">
        <v>18</v>
      </c>
      <c r="K144" s="774">
        <v>128</v>
      </c>
      <c r="L144" s="523"/>
      <c r="M144" s="818"/>
      <c r="N144" s="819"/>
      <c r="O144" s="1198" t="s">
        <v>116</v>
      </c>
      <c r="P144" s="514">
        <v>100</v>
      </c>
      <c r="Q144" s="93"/>
      <c r="R144" s="1270"/>
      <c r="S144" s="287"/>
      <c r="T144" s="306"/>
    </row>
    <row r="145" spans="1:23" ht="34.5" customHeight="1" x14ac:dyDescent="0.2">
      <c r="A145" s="398"/>
      <c r="B145" s="381"/>
      <c r="C145" s="382"/>
      <c r="D145" s="653"/>
      <c r="E145" s="646"/>
      <c r="F145" s="1906" t="s">
        <v>260</v>
      </c>
      <c r="G145" s="462"/>
      <c r="H145" s="636">
        <v>5</v>
      </c>
      <c r="I145" s="568"/>
      <c r="J145" s="915" t="s">
        <v>4</v>
      </c>
      <c r="K145" s="916">
        <v>297.5</v>
      </c>
      <c r="L145" s="821"/>
      <c r="M145" s="822"/>
      <c r="N145" s="622"/>
      <c r="O145" s="956" t="s">
        <v>77</v>
      </c>
      <c r="P145" s="65">
        <v>100</v>
      </c>
      <c r="Q145" s="93"/>
      <c r="R145" s="1270"/>
      <c r="S145" s="287"/>
    </row>
    <row r="146" spans="1:23" ht="34.5" customHeight="1" x14ac:dyDescent="0.2">
      <c r="A146" s="398"/>
      <c r="B146" s="381"/>
      <c r="C146" s="478"/>
      <c r="D146" s="653"/>
      <c r="E146" s="653"/>
      <c r="F146" s="1907"/>
      <c r="G146" s="462"/>
      <c r="H146" s="370"/>
      <c r="I146" s="568"/>
      <c r="J146" s="631" t="s">
        <v>3</v>
      </c>
      <c r="K146" s="633">
        <v>52.5</v>
      </c>
      <c r="L146" s="821"/>
      <c r="M146" s="822"/>
      <c r="N146" s="622"/>
      <c r="O146" s="1199"/>
      <c r="P146" s="49"/>
      <c r="Q146" s="95"/>
      <c r="R146" s="1271"/>
      <c r="S146" s="288"/>
    </row>
    <row r="147" spans="1:23" ht="15.75" customHeight="1" x14ac:dyDescent="0.2">
      <c r="A147" s="398"/>
      <c r="B147" s="381"/>
      <c r="C147" s="378"/>
      <c r="D147" s="647"/>
      <c r="E147" s="646"/>
      <c r="F147" s="2059" t="s">
        <v>255</v>
      </c>
      <c r="G147" s="462"/>
      <c r="H147" s="636">
        <v>5</v>
      </c>
      <c r="I147" s="568"/>
      <c r="J147" s="944" t="s">
        <v>98</v>
      </c>
      <c r="K147" s="560">
        <v>65</v>
      </c>
      <c r="L147" s="255"/>
      <c r="M147" s="243"/>
      <c r="N147" s="820"/>
      <c r="O147" s="198" t="s">
        <v>71</v>
      </c>
      <c r="P147" s="920">
        <v>1</v>
      </c>
      <c r="Q147" s="93"/>
      <c r="R147" s="1270"/>
      <c r="S147" s="287"/>
    </row>
    <row r="148" spans="1:23" ht="16.5" customHeight="1" x14ac:dyDescent="0.2">
      <c r="A148" s="398"/>
      <c r="B148" s="381"/>
      <c r="C148" s="378"/>
      <c r="D148" s="647"/>
      <c r="E148" s="653"/>
      <c r="F148" s="2060"/>
      <c r="G148" s="462"/>
      <c r="H148" s="637"/>
      <c r="I148" s="568"/>
      <c r="J148" s="945"/>
      <c r="K148" s="590"/>
      <c r="L148" s="255"/>
      <c r="M148" s="823"/>
      <c r="N148" s="824"/>
      <c r="O148" s="193"/>
      <c r="P148" s="60"/>
      <c r="Q148" s="95"/>
      <c r="R148" s="1271"/>
      <c r="S148" s="288"/>
    </row>
    <row r="149" spans="1:23" ht="21" customHeight="1" x14ac:dyDescent="0.2">
      <c r="A149" s="398"/>
      <c r="B149" s="381"/>
      <c r="C149" s="467"/>
      <c r="D149" s="664"/>
      <c r="E149" s="661"/>
      <c r="F149" s="1768" t="s">
        <v>261</v>
      </c>
      <c r="G149" s="463"/>
      <c r="H149" s="383">
        <v>6</v>
      </c>
      <c r="I149" s="1255"/>
      <c r="J149" s="312" t="s">
        <v>15</v>
      </c>
      <c r="K149" s="634">
        <v>90</v>
      </c>
      <c r="L149" s="1012"/>
      <c r="M149" s="243"/>
      <c r="N149" s="824"/>
      <c r="O149" s="264" t="s">
        <v>106</v>
      </c>
      <c r="P149" s="301" t="s">
        <v>74</v>
      </c>
      <c r="Q149" s="1013"/>
      <c r="R149" s="1014"/>
      <c r="S149" s="1015"/>
      <c r="T149" s="219"/>
    </row>
    <row r="150" spans="1:23" ht="21" customHeight="1" x14ac:dyDescent="0.2">
      <c r="A150" s="398"/>
      <c r="B150" s="381"/>
      <c r="C150" s="467"/>
      <c r="D150" s="664"/>
      <c r="E150" s="661"/>
      <c r="F150" s="1791"/>
      <c r="G150" s="383"/>
      <c r="H150" s="1244"/>
      <c r="I150" s="1016"/>
      <c r="J150" s="312" t="s">
        <v>18</v>
      </c>
      <c r="K150" s="634">
        <v>50</v>
      </c>
      <c r="L150" s="1012"/>
      <c r="M150" s="162"/>
      <c r="N150" s="820"/>
      <c r="O150" s="264"/>
      <c r="P150" s="300"/>
      <c r="Q150" s="1013"/>
      <c r="R150" s="1014"/>
      <c r="S150" s="1015"/>
      <c r="T150" s="219"/>
    </row>
    <row r="151" spans="1:23" ht="16.5" customHeight="1" thickBot="1" x14ac:dyDescent="0.25">
      <c r="A151" s="469"/>
      <c r="B151" s="415"/>
      <c r="C151" s="470"/>
      <c r="D151" s="663"/>
      <c r="E151" s="663"/>
      <c r="F151" s="1786"/>
      <c r="G151" s="1912" t="s">
        <v>51</v>
      </c>
      <c r="H151" s="1913"/>
      <c r="I151" s="2093"/>
      <c r="J151" s="2094"/>
      <c r="K151" s="167">
        <f>SUM(K119:K150)</f>
        <v>3098.1</v>
      </c>
      <c r="L151" s="703">
        <f>SUM(L116:L149)</f>
        <v>5240.9000000000005</v>
      </c>
      <c r="M151" s="167">
        <f>SUM(M116:M149)</f>
        <v>5595</v>
      </c>
      <c r="N151" s="270">
        <f>SUM(N116:N149)</f>
        <v>6193.3</v>
      </c>
      <c r="O151" s="1197"/>
      <c r="P151" s="177"/>
      <c r="Q151" s="471"/>
      <c r="R151" s="472"/>
      <c r="S151" s="473"/>
    </row>
    <row r="152" spans="1:23" ht="16.5" customHeight="1" x14ac:dyDescent="0.2">
      <c r="A152" s="407" t="s">
        <v>17</v>
      </c>
      <c r="B152" s="408" t="s">
        <v>14</v>
      </c>
      <c r="C152" s="356" t="s">
        <v>19</v>
      </c>
      <c r="D152" s="652"/>
      <c r="E152" s="652"/>
      <c r="F152" s="1919" t="s">
        <v>174</v>
      </c>
      <c r="G152" s="178" t="s">
        <v>2</v>
      </c>
      <c r="H152" s="474">
        <v>5</v>
      </c>
      <c r="I152" s="2051" t="s">
        <v>257</v>
      </c>
      <c r="J152" s="94"/>
      <c r="K152" s="825"/>
      <c r="L152" s="826"/>
      <c r="M152" s="827"/>
      <c r="N152" s="828"/>
      <c r="O152" s="299"/>
      <c r="P152" s="513"/>
      <c r="Q152" s="411"/>
      <c r="R152" s="453"/>
      <c r="S152" s="454"/>
      <c r="T152" s="455"/>
      <c r="U152" s="455"/>
      <c r="V152" s="455"/>
    </row>
    <row r="153" spans="1:23" ht="16.5" customHeight="1" x14ac:dyDescent="0.2">
      <c r="A153" s="398"/>
      <c r="B153" s="381"/>
      <c r="C153" s="365"/>
      <c r="D153" s="653"/>
      <c r="E153" s="653"/>
      <c r="F153" s="1840"/>
      <c r="G153" s="189"/>
      <c r="H153" s="475"/>
      <c r="I153" s="2030"/>
      <c r="J153" s="489"/>
      <c r="K153" s="829"/>
      <c r="L153" s="830"/>
      <c r="M153" s="244"/>
      <c r="N153" s="831"/>
      <c r="O153" s="1223"/>
      <c r="P153" s="578"/>
      <c r="Q153" s="388"/>
      <c r="R153" s="459"/>
      <c r="S153" s="460"/>
    </row>
    <row r="154" spans="1:23" ht="29.25" customHeight="1" x14ac:dyDescent="0.2">
      <c r="A154" s="398"/>
      <c r="B154" s="381"/>
      <c r="C154" s="382"/>
      <c r="D154" s="670" t="s">
        <v>14</v>
      </c>
      <c r="E154" s="670"/>
      <c r="F154" s="1906" t="s">
        <v>628</v>
      </c>
      <c r="G154" s="123"/>
      <c r="H154" s="451"/>
      <c r="I154" s="2029" t="s">
        <v>601</v>
      </c>
      <c r="J154" s="534" t="s">
        <v>15</v>
      </c>
      <c r="K154" s="1148">
        <v>60</v>
      </c>
      <c r="L154" s="543"/>
      <c r="M154" s="536"/>
      <c r="N154" s="906">
        <f>400-300</f>
        <v>100</v>
      </c>
      <c r="O154" s="1198" t="s">
        <v>53</v>
      </c>
      <c r="P154" s="165"/>
      <c r="Q154" s="93">
        <v>1</v>
      </c>
      <c r="R154" s="1270"/>
      <c r="S154" s="287"/>
      <c r="T154" s="632"/>
      <c r="U154" s="632"/>
      <c r="V154" s="632"/>
      <c r="W154" s="219"/>
    </row>
    <row r="155" spans="1:23" ht="28.5" customHeight="1" x14ac:dyDescent="0.2">
      <c r="A155" s="398"/>
      <c r="B155" s="381"/>
      <c r="C155" s="382"/>
      <c r="D155" s="671"/>
      <c r="E155" s="671"/>
      <c r="F155" s="1907"/>
      <c r="G155" s="123"/>
      <c r="H155" s="451"/>
      <c r="I155" s="2031"/>
      <c r="J155" s="545" t="s">
        <v>98</v>
      </c>
      <c r="K155" s="546"/>
      <c r="L155" s="552">
        <v>60</v>
      </c>
      <c r="M155" s="547"/>
      <c r="N155" s="553"/>
      <c r="O155" s="1198" t="s">
        <v>93</v>
      </c>
      <c r="P155" s="30"/>
      <c r="Q155" s="93"/>
      <c r="R155" s="1270"/>
      <c r="S155" s="287">
        <v>35</v>
      </c>
      <c r="T155" s="632"/>
      <c r="U155" s="632"/>
      <c r="V155" s="632"/>
      <c r="W155" s="219"/>
    </row>
    <row r="156" spans="1:23" ht="30" customHeight="1" x14ac:dyDescent="0.2">
      <c r="A156" s="398"/>
      <c r="B156" s="381"/>
      <c r="C156" s="365"/>
      <c r="D156" s="670" t="s">
        <v>17</v>
      </c>
      <c r="E156" s="670"/>
      <c r="F156" s="1772" t="s">
        <v>633</v>
      </c>
      <c r="G156" s="148"/>
      <c r="H156" s="368"/>
      <c r="I156" s="2030" t="s">
        <v>283</v>
      </c>
      <c r="J156" s="575" t="s">
        <v>15</v>
      </c>
      <c r="K156" s="576">
        <v>27.5</v>
      </c>
      <c r="L156" s="705">
        <v>206.6</v>
      </c>
      <c r="M156" s="536">
        <v>1029.2</v>
      </c>
      <c r="N156" s="540"/>
      <c r="O156" s="1175" t="s">
        <v>53</v>
      </c>
      <c r="P156" s="1176">
        <v>1</v>
      </c>
      <c r="Q156" s="1077">
        <v>1</v>
      </c>
      <c r="R156" s="1078"/>
      <c r="S156" s="933"/>
      <c r="T156" s="632"/>
      <c r="U156" s="632"/>
      <c r="V156" s="632"/>
    </row>
    <row r="157" spans="1:23" ht="16.5" customHeight="1" x14ac:dyDescent="0.2">
      <c r="A157" s="398"/>
      <c r="B157" s="381"/>
      <c r="C157" s="365"/>
      <c r="D157" s="653"/>
      <c r="E157" s="653"/>
      <c r="F157" s="1858"/>
      <c r="G157" s="148"/>
      <c r="H157" s="368"/>
      <c r="I157" s="2030"/>
      <c r="J157" s="572" t="s">
        <v>98</v>
      </c>
      <c r="K157" s="571">
        <v>15</v>
      </c>
      <c r="L157" s="548">
        <v>29.5</v>
      </c>
      <c r="M157" s="706"/>
      <c r="N157" s="700"/>
      <c r="O157" s="1019" t="s">
        <v>117</v>
      </c>
      <c r="P157" s="1020"/>
      <c r="Q157" s="1021">
        <v>15</v>
      </c>
      <c r="R157" s="1022">
        <v>100</v>
      </c>
      <c r="S157" s="122"/>
      <c r="T157" s="632"/>
      <c r="U157" s="632"/>
      <c r="V157" s="632"/>
    </row>
    <row r="158" spans="1:23" ht="16.5" customHeight="1" x14ac:dyDescent="0.2">
      <c r="A158" s="398"/>
      <c r="B158" s="381"/>
      <c r="C158" s="365"/>
      <c r="D158" s="671"/>
      <c r="E158" s="671"/>
      <c r="F158" s="1863"/>
      <c r="G158" s="148"/>
      <c r="H158" s="368"/>
      <c r="I158" s="1245"/>
      <c r="J158" s="575" t="s">
        <v>101</v>
      </c>
      <c r="K158" s="577"/>
      <c r="L158" s="544">
        <v>90</v>
      </c>
      <c r="M158" s="539">
        <v>789.1</v>
      </c>
      <c r="N158" s="540"/>
      <c r="O158" s="1023"/>
      <c r="P158" s="1024"/>
      <c r="Q158" s="1025"/>
      <c r="R158" s="1026"/>
      <c r="S158" s="476"/>
      <c r="T158" s="632"/>
      <c r="U158" s="632"/>
      <c r="V158" s="632"/>
    </row>
    <row r="159" spans="1:23" ht="26.25" customHeight="1" x14ac:dyDescent="0.2">
      <c r="A159" s="398"/>
      <c r="B159" s="381"/>
      <c r="C159" s="382"/>
      <c r="D159" s="653" t="s">
        <v>19</v>
      </c>
      <c r="E159" s="653"/>
      <c r="F159" s="230" t="s">
        <v>612</v>
      </c>
      <c r="G159" s="148"/>
      <c r="H159" s="368"/>
      <c r="I159" s="2013" t="s">
        <v>284</v>
      </c>
      <c r="J159" s="572" t="s">
        <v>15</v>
      </c>
      <c r="K159" s="573">
        <v>12.9</v>
      </c>
      <c r="L159" s="543">
        <f>31.9-7</f>
        <v>24.9</v>
      </c>
      <c r="M159" s="542">
        <v>641.1</v>
      </c>
      <c r="N159" s="700"/>
      <c r="O159" s="1027" t="s">
        <v>91</v>
      </c>
      <c r="P159" s="1028">
        <v>5</v>
      </c>
      <c r="Q159" s="101"/>
      <c r="R159" s="1233"/>
      <c r="S159" s="122"/>
      <c r="T159" s="632"/>
      <c r="U159" s="632"/>
      <c r="V159" s="632"/>
      <c r="W159" s="91"/>
    </row>
    <row r="160" spans="1:23" ht="26.25" customHeight="1" x14ac:dyDescent="0.2">
      <c r="A160" s="398"/>
      <c r="B160" s="381"/>
      <c r="C160" s="382"/>
      <c r="D160" s="653"/>
      <c r="E160" s="653"/>
      <c r="F160" s="1858" t="s">
        <v>619</v>
      </c>
      <c r="G160" s="148"/>
      <c r="H160" s="57"/>
      <c r="I160" s="2097"/>
      <c r="J160" s="575" t="s">
        <v>214</v>
      </c>
      <c r="K160" s="708"/>
      <c r="L160" s="544"/>
      <c r="M160" s="539"/>
      <c r="N160" s="540">
        <v>384.1</v>
      </c>
      <c r="O160" s="1029" t="s">
        <v>53</v>
      </c>
      <c r="P160" s="1030"/>
      <c r="Q160" s="1031">
        <v>2</v>
      </c>
      <c r="R160" s="1032">
        <v>5</v>
      </c>
      <c r="S160" s="1033"/>
      <c r="T160" s="632"/>
      <c r="U160" s="632"/>
      <c r="V160" s="632"/>
      <c r="W160" s="91"/>
    </row>
    <row r="161" spans="1:24" ht="26.25" customHeight="1" x14ac:dyDescent="0.2">
      <c r="A161" s="380"/>
      <c r="B161" s="381"/>
      <c r="C161" s="382"/>
      <c r="D161" s="653"/>
      <c r="E161" s="653"/>
      <c r="F161" s="1863"/>
      <c r="G161" s="148"/>
      <c r="H161" s="57"/>
      <c r="I161" s="1279"/>
      <c r="J161" s="572" t="s">
        <v>98</v>
      </c>
      <c r="K161" s="574">
        <v>11.3</v>
      </c>
      <c r="L161" s="707">
        <v>15.8</v>
      </c>
      <c r="M161" s="542"/>
      <c r="N161" s="700"/>
      <c r="O161" s="1034" t="s">
        <v>62</v>
      </c>
      <c r="P161" s="1035"/>
      <c r="Q161" s="991"/>
      <c r="R161" s="972">
        <v>10</v>
      </c>
      <c r="S161" s="1036">
        <v>30</v>
      </c>
      <c r="U161" s="130"/>
      <c r="V161" s="91"/>
      <c r="W161" s="91"/>
    </row>
    <row r="162" spans="1:24" ht="15.75" customHeight="1" x14ac:dyDescent="0.2">
      <c r="A162" s="398"/>
      <c r="B162" s="381"/>
      <c r="C162" s="382"/>
      <c r="D162" s="670" t="s">
        <v>21</v>
      </c>
      <c r="E162" s="670"/>
      <c r="F162" s="1768" t="s">
        <v>175</v>
      </c>
      <c r="G162" s="462"/>
      <c r="H162" s="370"/>
      <c r="I162" s="2029" t="s">
        <v>284</v>
      </c>
      <c r="J162" s="575" t="s">
        <v>15</v>
      </c>
      <c r="K162" s="571">
        <v>20</v>
      </c>
      <c r="L162" s="543">
        <v>1.4</v>
      </c>
      <c r="M162" s="536"/>
      <c r="N162" s="709"/>
      <c r="O162" s="2091" t="s">
        <v>59</v>
      </c>
      <c r="P162" s="1037"/>
      <c r="Q162" s="1038">
        <v>1</v>
      </c>
      <c r="R162" s="1000"/>
      <c r="S162" s="1039"/>
      <c r="T162" s="477"/>
    </row>
    <row r="163" spans="1:24" ht="15.75" customHeight="1" x14ac:dyDescent="0.2">
      <c r="A163" s="380"/>
      <c r="B163" s="381"/>
      <c r="C163" s="478"/>
      <c r="D163" s="653"/>
      <c r="E163" s="653"/>
      <c r="F163" s="1791"/>
      <c r="G163" s="462"/>
      <c r="H163" s="370"/>
      <c r="I163" s="2030"/>
      <c r="J163" s="575" t="s">
        <v>98</v>
      </c>
      <c r="K163" s="576"/>
      <c r="L163" s="544">
        <v>20</v>
      </c>
      <c r="M163" s="539"/>
      <c r="N163" s="540"/>
      <c r="O163" s="1899"/>
      <c r="P163" s="1028"/>
      <c r="Q163" s="1040"/>
      <c r="R163" s="965"/>
      <c r="S163" s="1041"/>
      <c r="T163" s="477"/>
    </row>
    <row r="164" spans="1:24" ht="15.75" customHeight="1" x14ac:dyDescent="0.2">
      <c r="A164" s="380"/>
      <c r="B164" s="381"/>
      <c r="C164" s="478"/>
      <c r="D164" s="653"/>
      <c r="E164" s="653"/>
      <c r="F164" s="46"/>
      <c r="G164" s="479"/>
      <c r="H164" s="480"/>
      <c r="I164" s="2031"/>
      <c r="J164" s="572" t="s">
        <v>214</v>
      </c>
      <c r="K164" s="712"/>
      <c r="L164" s="707"/>
      <c r="M164" s="710"/>
      <c r="N164" s="711">
        <v>538.70000000000005</v>
      </c>
      <c r="O164" s="1900" t="s">
        <v>77</v>
      </c>
      <c r="P164" s="1145"/>
      <c r="Q164" s="1146"/>
      <c r="R164" s="1092"/>
      <c r="S164" s="1147">
        <v>100</v>
      </c>
    </row>
    <row r="165" spans="1:24" ht="15.75" customHeight="1" thickBot="1" x14ac:dyDescent="0.25">
      <c r="A165" s="469"/>
      <c r="B165" s="415"/>
      <c r="C165" s="416"/>
      <c r="D165" s="663"/>
      <c r="E165" s="663"/>
      <c r="F165" s="1193"/>
      <c r="G165" s="1787" t="s">
        <v>51</v>
      </c>
      <c r="H165" s="1788"/>
      <c r="I165" s="1788"/>
      <c r="J165" s="2041"/>
      <c r="K165" s="185">
        <f>SUM(K154:K164)</f>
        <v>146.69999999999999</v>
      </c>
      <c r="L165" s="66">
        <f>SUM(L154:L164)</f>
        <v>448.2</v>
      </c>
      <c r="M165" s="185">
        <f>SUM(M154:M164)</f>
        <v>2459.4</v>
      </c>
      <c r="N165" s="187">
        <f>SUM(N154:N164)</f>
        <v>1022.8000000000001</v>
      </c>
      <c r="O165" s="1901"/>
      <c r="P165" s="177"/>
      <c r="Q165" s="216"/>
      <c r="R165" s="332"/>
      <c r="S165" s="483"/>
      <c r="T165" s="455"/>
      <c r="U165" s="455"/>
      <c r="V165" s="455"/>
      <c r="W165" s="104"/>
      <c r="X165" s="1918"/>
    </row>
    <row r="166" spans="1:24" ht="16.5" customHeight="1" x14ac:dyDescent="0.2">
      <c r="A166" s="407" t="s">
        <v>17</v>
      </c>
      <c r="B166" s="408" t="s">
        <v>14</v>
      </c>
      <c r="C166" s="409" t="s">
        <v>21</v>
      </c>
      <c r="D166" s="652"/>
      <c r="E166" s="652"/>
      <c r="F166" s="1904" t="s">
        <v>176</v>
      </c>
      <c r="G166" s="24" t="s">
        <v>2</v>
      </c>
      <c r="H166" s="482">
        <v>5</v>
      </c>
      <c r="I166" s="2051" t="s">
        <v>602</v>
      </c>
      <c r="J166" s="713"/>
      <c r="K166" s="832"/>
      <c r="L166" s="833"/>
      <c r="M166" s="834"/>
      <c r="N166" s="835"/>
      <c r="O166" s="580"/>
      <c r="P166" s="513"/>
      <c r="Q166" s="411"/>
      <c r="R166" s="453"/>
      <c r="S166" s="454"/>
      <c r="U166" s="104"/>
      <c r="V166" s="104"/>
      <c r="W166" s="104"/>
      <c r="X166" s="1918"/>
    </row>
    <row r="167" spans="1:24" ht="16.5" customHeight="1" x14ac:dyDescent="0.2">
      <c r="A167" s="398"/>
      <c r="B167" s="381"/>
      <c r="C167" s="382"/>
      <c r="D167" s="653"/>
      <c r="E167" s="653"/>
      <c r="F167" s="1905"/>
      <c r="G167" s="231"/>
      <c r="H167" s="451"/>
      <c r="I167" s="2030"/>
      <c r="J167" s="306"/>
      <c r="K167" s="836"/>
      <c r="L167" s="837"/>
      <c r="M167" s="838"/>
      <c r="N167" s="839"/>
      <c r="O167" s="581"/>
      <c r="P167" s="578"/>
      <c r="Q167" s="388"/>
      <c r="R167" s="459"/>
      <c r="S167" s="460"/>
      <c r="U167" s="131"/>
      <c r="V167" s="1203"/>
      <c r="W167" s="1203"/>
      <c r="X167" s="1203"/>
    </row>
    <row r="168" spans="1:24" ht="15.75" customHeight="1" x14ac:dyDescent="0.2">
      <c r="A168" s="398"/>
      <c r="B168" s="381"/>
      <c r="C168" s="382"/>
      <c r="D168" s="670" t="s">
        <v>14</v>
      </c>
      <c r="E168" s="670"/>
      <c r="F168" s="1768" t="s">
        <v>177</v>
      </c>
      <c r="G168" s="462"/>
      <c r="H168" s="370"/>
      <c r="I168" s="2030" t="s">
        <v>603</v>
      </c>
      <c r="J168" s="1042" t="s">
        <v>15</v>
      </c>
      <c r="K168" s="576"/>
      <c r="L168" s="705">
        <f>225.9-45.1</f>
        <v>180.8</v>
      </c>
      <c r="M168" s="706">
        <v>45.1</v>
      </c>
      <c r="N168" s="540"/>
      <c r="O168" s="1043" t="s">
        <v>61</v>
      </c>
      <c r="P168" s="1044">
        <v>1</v>
      </c>
      <c r="Q168" s="999"/>
      <c r="R168" s="1270"/>
      <c r="S168" s="287"/>
      <c r="T168" s="455"/>
      <c r="U168" s="455"/>
      <c r="V168" s="455"/>
      <c r="W168" s="1203"/>
      <c r="X168" s="1203"/>
    </row>
    <row r="169" spans="1:24" ht="30.75" customHeight="1" x14ac:dyDescent="0.2">
      <c r="A169" s="380"/>
      <c r="B169" s="381"/>
      <c r="C169" s="478"/>
      <c r="D169" s="653"/>
      <c r="E169" s="653"/>
      <c r="F169" s="1791"/>
      <c r="G169" s="462"/>
      <c r="H169" s="370"/>
      <c r="I169" s="2030"/>
      <c r="J169" s="1045" t="s">
        <v>98</v>
      </c>
      <c r="K169" s="571">
        <v>5.6</v>
      </c>
      <c r="L169" s="705"/>
      <c r="M169" s="542"/>
      <c r="N169" s="700"/>
      <c r="O169" s="1043" t="s">
        <v>92</v>
      </c>
      <c r="P169" s="1044"/>
      <c r="Q169" s="999">
        <v>100</v>
      </c>
      <c r="R169" s="1270"/>
      <c r="S169" s="287"/>
      <c r="T169" s="455"/>
      <c r="U169" s="455"/>
      <c r="V169" s="455"/>
      <c r="W169" s="1203"/>
      <c r="X169" s="1203"/>
    </row>
    <row r="170" spans="1:24" ht="15.75" customHeight="1" x14ac:dyDescent="0.2">
      <c r="A170" s="380"/>
      <c r="B170" s="381"/>
      <c r="C170" s="478"/>
      <c r="D170" s="671"/>
      <c r="E170" s="671"/>
      <c r="F170" s="1769"/>
      <c r="G170" s="462"/>
      <c r="H170" s="370"/>
      <c r="I170" s="1252"/>
      <c r="J170" s="1042" t="s">
        <v>101</v>
      </c>
      <c r="K170" s="576">
        <v>31.6</v>
      </c>
      <c r="L170" s="705">
        <v>426.7</v>
      </c>
      <c r="M170" s="893">
        <v>106.3</v>
      </c>
      <c r="N170" s="540"/>
      <c r="O170" s="1046" t="s">
        <v>115</v>
      </c>
      <c r="P170" s="1047"/>
      <c r="Q170" s="1048">
        <v>100</v>
      </c>
      <c r="R170" s="292"/>
      <c r="S170" s="464"/>
      <c r="T170" s="455"/>
      <c r="U170" s="455"/>
      <c r="V170" s="455"/>
      <c r="W170" s="1203"/>
      <c r="X170" s="1203"/>
    </row>
    <row r="171" spans="1:24" ht="27" customHeight="1" x14ac:dyDescent="0.2">
      <c r="A171" s="398"/>
      <c r="B171" s="381"/>
      <c r="C171" s="382"/>
      <c r="D171" s="653" t="s">
        <v>17</v>
      </c>
      <c r="E171" s="653"/>
      <c r="F171" s="1768" t="s">
        <v>178</v>
      </c>
      <c r="G171" s="462"/>
      <c r="H171" s="370"/>
      <c r="I171" s="2029" t="s">
        <v>283</v>
      </c>
      <c r="J171" s="1045" t="s">
        <v>15</v>
      </c>
      <c r="K171" s="579"/>
      <c r="L171" s="543"/>
      <c r="M171" s="536">
        <v>589.20000000000005</v>
      </c>
      <c r="N171" s="709"/>
      <c r="O171" s="1043" t="s">
        <v>53</v>
      </c>
      <c r="P171" s="1044">
        <v>1</v>
      </c>
      <c r="Q171" s="999"/>
      <c r="R171" s="1000"/>
      <c r="S171" s="1049"/>
      <c r="T171" s="455"/>
      <c r="U171" s="455"/>
      <c r="V171" s="455"/>
      <c r="W171" s="1203"/>
      <c r="X171" s="1203"/>
    </row>
    <row r="172" spans="1:24" ht="17.25" customHeight="1" x14ac:dyDescent="0.2">
      <c r="A172" s="380"/>
      <c r="B172" s="381"/>
      <c r="C172" s="478"/>
      <c r="D172" s="653"/>
      <c r="E172" s="653"/>
      <c r="F172" s="1791"/>
      <c r="G172" s="462"/>
      <c r="H172" s="370"/>
      <c r="I172" s="2030"/>
      <c r="J172" s="946" t="s">
        <v>98</v>
      </c>
      <c r="K172" s="576">
        <v>30.2</v>
      </c>
      <c r="L172" s="544">
        <v>2.8</v>
      </c>
      <c r="M172" s="539"/>
      <c r="N172" s="540"/>
      <c r="O172" s="2095" t="s">
        <v>93</v>
      </c>
      <c r="P172" s="1037"/>
      <c r="Q172" s="999"/>
      <c r="R172" s="1000">
        <v>35</v>
      </c>
      <c r="S172" s="1050">
        <v>100</v>
      </c>
      <c r="T172" s="455"/>
      <c r="U172" s="455"/>
      <c r="V172" s="455"/>
      <c r="W172" s="1203"/>
      <c r="X172" s="1203"/>
    </row>
    <row r="173" spans="1:24" ht="17.25" customHeight="1" x14ac:dyDescent="0.2">
      <c r="A173" s="380"/>
      <c r="B173" s="381"/>
      <c r="C173" s="478"/>
      <c r="D173" s="653"/>
      <c r="E173" s="653"/>
      <c r="F173" s="1202"/>
      <c r="G173" s="370"/>
      <c r="H173" s="412"/>
      <c r="I173" s="1252"/>
      <c r="J173" s="947" t="s">
        <v>214</v>
      </c>
      <c r="K173" s="579"/>
      <c r="L173" s="707"/>
      <c r="M173" s="1301">
        <v>86.5</v>
      </c>
      <c r="N173" s="711">
        <f>1255.8-178.6</f>
        <v>1077.2</v>
      </c>
      <c r="O173" s="2096"/>
      <c r="P173" s="1051"/>
      <c r="Q173" s="964"/>
      <c r="R173" s="1052"/>
      <c r="S173" s="1053"/>
      <c r="T173" s="455"/>
      <c r="U173" s="455"/>
      <c r="V173" s="455"/>
      <c r="W173" s="1203"/>
      <c r="X173" s="1203"/>
    </row>
    <row r="174" spans="1:24" ht="17.25" customHeight="1" thickBot="1" x14ac:dyDescent="0.25">
      <c r="A174" s="418"/>
      <c r="B174" s="415"/>
      <c r="C174" s="416"/>
      <c r="D174" s="663"/>
      <c r="E174" s="663"/>
      <c r="F174" s="1193"/>
      <c r="G174" s="1787" t="s">
        <v>51</v>
      </c>
      <c r="H174" s="1788"/>
      <c r="I174" s="1788"/>
      <c r="J174" s="2041"/>
      <c r="K174" s="185">
        <f>SUM(K168:K172)</f>
        <v>67.400000000000006</v>
      </c>
      <c r="L174" s="66">
        <f>SUM(L168:L172)</f>
        <v>610.29999999999995</v>
      </c>
      <c r="M174" s="185">
        <f>SUM(M168:M173)</f>
        <v>827.1</v>
      </c>
      <c r="N174" s="185">
        <f>SUM(N168:N173)</f>
        <v>1077.2</v>
      </c>
      <c r="O174" s="1901"/>
      <c r="P174" s="177"/>
      <c r="Q174" s="216"/>
      <c r="R174" s="332"/>
      <c r="S174" s="75"/>
      <c r="T174" s="455"/>
      <c r="U174" s="455"/>
      <c r="V174" s="455"/>
      <c r="W174" s="104"/>
      <c r="X174" s="1918"/>
    </row>
    <row r="175" spans="1:24" ht="29.25" customHeight="1" x14ac:dyDescent="0.2">
      <c r="A175" s="407" t="s">
        <v>17</v>
      </c>
      <c r="B175" s="408" t="s">
        <v>14</v>
      </c>
      <c r="C175" s="409" t="s">
        <v>22</v>
      </c>
      <c r="D175" s="652"/>
      <c r="E175" s="652"/>
      <c r="F175" s="1204" t="s">
        <v>94</v>
      </c>
      <c r="G175" s="138"/>
      <c r="H175" s="138"/>
      <c r="I175" s="515"/>
      <c r="J175" s="13"/>
      <c r="K175" s="836"/>
      <c r="L175" s="833"/>
      <c r="M175" s="834"/>
      <c r="N175" s="835"/>
      <c r="O175" s="1251"/>
      <c r="P175" s="513"/>
      <c r="Q175" s="411"/>
      <c r="R175" s="453"/>
      <c r="S175" s="454"/>
      <c r="U175" s="104"/>
      <c r="V175" s="104"/>
      <c r="W175" s="104"/>
      <c r="X175" s="1918"/>
    </row>
    <row r="176" spans="1:24" ht="21" customHeight="1" x14ac:dyDescent="0.2">
      <c r="A176" s="398"/>
      <c r="B176" s="381"/>
      <c r="C176" s="378"/>
      <c r="D176" s="669" t="s">
        <v>14</v>
      </c>
      <c r="E176" s="670"/>
      <c r="F176" s="1768" t="s">
        <v>245</v>
      </c>
      <c r="G176" s="179"/>
      <c r="H176" s="881">
        <v>2</v>
      </c>
      <c r="I176" s="2109" t="s">
        <v>237</v>
      </c>
      <c r="J176" s="582" t="s">
        <v>15</v>
      </c>
      <c r="K176" s="937">
        <v>48.2</v>
      </c>
      <c r="L176" s="939">
        <v>104</v>
      </c>
      <c r="M176" s="262">
        <v>110</v>
      </c>
      <c r="N176" s="51">
        <v>146.6</v>
      </c>
      <c r="O176" s="1198" t="s">
        <v>118</v>
      </c>
      <c r="P176" s="276">
        <v>3</v>
      </c>
      <c r="Q176" s="27">
        <v>7</v>
      </c>
      <c r="R176" s="699">
        <v>12</v>
      </c>
      <c r="S176" s="20">
        <v>12</v>
      </c>
    </row>
    <row r="177" spans="1:24" ht="21" customHeight="1" x14ac:dyDescent="0.2">
      <c r="A177" s="398"/>
      <c r="B177" s="381"/>
      <c r="C177" s="378"/>
      <c r="D177" s="668"/>
      <c r="E177" s="671"/>
      <c r="F177" s="1769"/>
      <c r="G177" s="179"/>
      <c r="H177" s="383"/>
      <c r="I177" s="1926"/>
      <c r="J177" s="95"/>
      <c r="K177" s="427"/>
      <c r="L177" s="519"/>
      <c r="M177" s="840"/>
      <c r="N177" s="841"/>
      <c r="O177" s="53"/>
      <c r="P177" s="49"/>
      <c r="Q177" s="95"/>
      <c r="R177" s="1271"/>
      <c r="S177" s="288"/>
    </row>
    <row r="178" spans="1:24" ht="30" customHeight="1" x14ac:dyDescent="0.2">
      <c r="A178" s="380"/>
      <c r="B178" s="381"/>
      <c r="C178" s="484"/>
      <c r="D178" s="678" t="s">
        <v>17</v>
      </c>
      <c r="E178" s="678"/>
      <c r="F178" s="1200" t="s">
        <v>134</v>
      </c>
      <c r="G178" s="192"/>
      <c r="H178" s="383"/>
      <c r="I178" s="1926"/>
      <c r="J178" s="1236" t="s">
        <v>15</v>
      </c>
      <c r="K178" s="286">
        <v>174.5</v>
      </c>
      <c r="L178" s="277">
        <v>183.5</v>
      </c>
      <c r="M178" s="1213">
        <v>183.5</v>
      </c>
      <c r="N178" s="37">
        <v>183.5</v>
      </c>
      <c r="O178" s="1251" t="s">
        <v>118</v>
      </c>
      <c r="P178" s="240">
        <v>21</v>
      </c>
      <c r="Q178" s="8">
        <v>22</v>
      </c>
      <c r="R178" s="240">
        <v>22</v>
      </c>
      <c r="S178" s="32">
        <v>22</v>
      </c>
    </row>
    <row r="179" spans="1:24" s="17" customFormat="1" ht="18.75" customHeight="1" x14ac:dyDescent="0.2">
      <c r="A179" s="1238"/>
      <c r="B179" s="1189"/>
      <c r="C179" s="90"/>
      <c r="D179" s="666" t="s">
        <v>19</v>
      </c>
      <c r="E179" s="666"/>
      <c r="F179" s="1768" t="s">
        <v>621</v>
      </c>
      <c r="G179" s="192"/>
      <c r="H179" s="1260"/>
      <c r="I179" s="7"/>
      <c r="J179" s="2104" t="s">
        <v>15</v>
      </c>
      <c r="K179" s="2055"/>
      <c r="L179" s="2057">
        <f>76.1-36.1</f>
        <v>39.999999999999993</v>
      </c>
      <c r="M179" s="2023"/>
      <c r="N179" s="2039"/>
      <c r="O179" s="168" t="s">
        <v>243</v>
      </c>
      <c r="P179" s="102"/>
      <c r="Q179" s="26">
        <v>685</v>
      </c>
      <c r="R179" s="58"/>
      <c r="S179" s="19"/>
    </row>
    <row r="180" spans="1:24" s="17" customFormat="1" ht="20.25" customHeight="1" x14ac:dyDescent="0.2">
      <c r="A180" s="1238"/>
      <c r="B180" s="1189"/>
      <c r="C180" s="90"/>
      <c r="D180" s="666"/>
      <c r="E180" s="666"/>
      <c r="F180" s="1769"/>
      <c r="G180" s="192"/>
      <c r="H180" s="1260"/>
      <c r="I180" s="7"/>
      <c r="J180" s="2105"/>
      <c r="K180" s="2056"/>
      <c r="L180" s="2058"/>
      <c r="M180" s="2024"/>
      <c r="N180" s="2040"/>
      <c r="O180" s="168" t="s">
        <v>145</v>
      </c>
      <c r="P180" s="102"/>
      <c r="Q180" s="26">
        <v>20</v>
      </c>
      <c r="R180" s="58"/>
      <c r="S180" s="19"/>
    </row>
    <row r="181" spans="1:24" s="17" customFormat="1" ht="28.5" customHeight="1" thickBot="1" x14ac:dyDescent="0.25">
      <c r="A181" s="1234"/>
      <c r="B181" s="1189"/>
      <c r="C181" s="1214"/>
      <c r="D181" s="679" t="s">
        <v>21</v>
      </c>
      <c r="E181" s="679"/>
      <c r="F181" s="87" t="s">
        <v>613</v>
      </c>
      <c r="G181" s="383"/>
      <c r="H181" s="383"/>
      <c r="I181" s="1255"/>
      <c r="J181" s="1236" t="s">
        <v>15</v>
      </c>
      <c r="K181" s="35"/>
      <c r="L181" s="277">
        <v>4.8</v>
      </c>
      <c r="M181" s="1213"/>
      <c r="N181" s="37"/>
      <c r="O181" s="47" t="s">
        <v>244</v>
      </c>
      <c r="P181" s="240"/>
      <c r="Q181" s="8">
        <v>3</v>
      </c>
      <c r="R181" s="240"/>
      <c r="S181" s="242"/>
      <c r="U181" s="104"/>
      <c r="V181" s="104"/>
      <c r="W181" s="104"/>
      <c r="X181" s="1203"/>
    </row>
    <row r="182" spans="1:24" ht="68.25" customHeight="1" x14ac:dyDescent="0.2">
      <c r="A182" s="398"/>
      <c r="B182" s="381"/>
      <c r="C182" s="382"/>
      <c r="D182" s="652"/>
      <c r="E182" s="652"/>
      <c r="F182" s="1192" t="s">
        <v>209</v>
      </c>
      <c r="G182" s="24"/>
      <c r="H182" s="694">
        <v>6</v>
      </c>
      <c r="I182" s="695"/>
      <c r="J182" s="250" t="s">
        <v>15</v>
      </c>
      <c r="K182" s="786">
        <f>299.3-3.7</f>
        <v>295.60000000000002</v>
      </c>
      <c r="L182" s="812"/>
      <c r="M182" s="813"/>
      <c r="N182" s="842"/>
      <c r="O182" s="146" t="s">
        <v>210</v>
      </c>
      <c r="P182" s="696">
        <v>2023</v>
      </c>
      <c r="Q182" s="250"/>
      <c r="R182" s="453"/>
      <c r="S182" s="454"/>
      <c r="U182" s="104"/>
      <c r="V182" s="104"/>
      <c r="W182" s="104"/>
      <c r="X182" s="1203"/>
    </row>
    <row r="183" spans="1:24" ht="26.25" customHeight="1" x14ac:dyDescent="0.2">
      <c r="A183" s="398"/>
      <c r="B183" s="381"/>
      <c r="C183" s="382"/>
      <c r="D183" s="653"/>
      <c r="E183" s="653"/>
      <c r="F183" s="1768" t="s">
        <v>179</v>
      </c>
      <c r="G183" s="690"/>
      <c r="H183" s="697">
        <v>2</v>
      </c>
      <c r="I183" s="698"/>
      <c r="J183" s="79" t="s">
        <v>15</v>
      </c>
      <c r="K183" s="432">
        <v>20</v>
      </c>
      <c r="L183" s="523"/>
      <c r="M183" s="818"/>
      <c r="N183" s="819"/>
      <c r="O183" s="48" t="s">
        <v>95</v>
      </c>
      <c r="P183" s="693">
        <v>3</v>
      </c>
      <c r="Q183" s="490"/>
      <c r="R183" s="691"/>
      <c r="S183" s="692"/>
      <c r="U183" s="104"/>
      <c r="V183" s="104"/>
      <c r="W183" s="104"/>
      <c r="X183" s="1203"/>
    </row>
    <row r="184" spans="1:24" ht="17.25" customHeight="1" thickBot="1" x14ac:dyDescent="0.25">
      <c r="A184" s="380"/>
      <c r="B184" s="381"/>
      <c r="C184" s="478"/>
      <c r="D184" s="663"/>
      <c r="E184" s="663"/>
      <c r="F184" s="1786"/>
      <c r="G184" s="1788" t="s">
        <v>51</v>
      </c>
      <c r="H184" s="1788"/>
      <c r="I184" s="1788"/>
      <c r="J184" s="2041"/>
      <c r="K184" s="185">
        <f>SUM(K176:K183)</f>
        <v>538.29999999999995</v>
      </c>
      <c r="L184" s="66">
        <f>SUM(L176:L183)</f>
        <v>332.3</v>
      </c>
      <c r="M184" s="185">
        <f>SUM(M176:M183)</f>
        <v>293.5</v>
      </c>
      <c r="N184" s="187">
        <f>SUM(N176:N183)</f>
        <v>330.1</v>
      </c>
      <c r="O184" s="1197"/>
      <c r="P184" s="177"/>
      <c r="Q184" s="216"/>
      <c r="R184" s="332"/>
      <c r="S184" s="483"/>
    </row>
    <row r="185" spans="1:24" ht="15.75" customHeight="1" thickBot="1" x14ac:dyDescent="0.25">
      <c r="A185" s="485" t="s">
        <v>17</v>
      </c>
      <c r="B185" s="486" t="s">
        <v>14</v>
      </c>
      <c r="C185" s="1751" t="s">
        <v>20</v>
      </c>
      <c r="D185" s="1752"/>
      <c r="E185" s="1752"/>
      <c r="F185" s="1752"/>
      <c r="G185" s="1752"/>
      <c r="H185" s="1752"/>
      <c r="I185" s="1752"/>
      <c r="J185" s="1890"/>
      <c r="K185" s="805">
        <f>K174+K165+K151+K184+K115</f>
        <v>3850.5</v>
      </c>
      <c r="L185" s="806">
        <f>L174+L165+L151+L184+L115</f>
        <v>6850.3000000000011</v>
      </c>
      <c r="M185" s="805">
        <f>M174+M165+M151+M184+M115</f>
        <v>9240.2000000000007</v>
      </c>
      <c r="N185" s="862">
        <f>N174+N165+N151+N184+N115</f>
        <v>8709.5</v>
      </c>
      <c r="O185" s="443"/>
      <c r="P185" s="444"/>
      <c r="Q185" s="444"/>
      <c r="R185" s="444"/>
      <c r="S185" s="445"/>
    </row>
    <row r="186" spans="1:24" ht="17.25" customHeight="1" thickBot="1" x14ac:dyDescent="0.25">
      <c r="A186" s="380" t="s">
        <v>17</v>
      </c>
      <c r="B186" s="442" t="s">
        <v>17</v>
      </c>
      <c r="C186" s="1760" t="s">
        <v>69</v>
      </c>
      <c r="D186" s="1761"/>
      <c r="E186" s="1761"/>
      <c r="F186" s="1761"/>
      <c r="G186" s="1761"/>
      <c r="H186" s="1761"/>
      <c r="I186" s="1761"/>
      <c r="J186" s="1761"/>
      <c r="K186" s="1761"/>
      <c r="L186" s="1761"/>
      <c r="M186" s="1761"/>
      <c r="N186" s="1761"/>
      <c r="O186" s="1761"/>
      <c r="P186" s="1761"/>
      <c r="Q186" s="1761"/>
      <c r="R186" s="1761"/>
      <c r="S186" s="1762"/>
    </row>
    <row r="187" spans="1:24" ht="15.75" customHeight="1" x14ac:dyDescent="0.2">
      <c r="A187" s="487" t="s">
        <v>17</v>
      </c>
      <c r="B187" s="488" t="s">
        <v>17</v>
      </c>
      <c r="C187" s="450" t="s">
        <v>14</v>
      </c>
      <c r="D187" s="652"/>
      <c r="E187" s="652"/>
      <c r="F187" s="1790" t="s">
        <v>180</v>
      </c>
      <c r="G187" s="1194"/>
      <c r="H187" s="420">
        <v>2</v>
      </c>
      <c r="I187" s="2021" t="s">
        <v>237</v>
      </c>
      <c r="J187" s="490" t="s">
        <v>15</v>
      </c>
      <c r="K187" s="291">
        <v>44.1</v>
      </c>
      <c r="L187" s="289">
        <v>44</v>
      </c>
      <c r="M187" s="175">
        <v>17.2</v>
      </c>
      <c r="N187" s="290"/>
      <c r="O187" s="146" t="s">
        <v>118</v>
      </c>
      <c r="P187" s="251">
        <v>8</v>
      </c>
      <c r="Q187" s="887">
        <v>8</v>
      </c>
      <c r="R187" s="616">
        <v>4</v>
      </c>
      <c r="S187" s="491"/>
    </row>
    <row r="188" spans="1:24" ht="17.25" customHeight="1" thickBot="1" x14ac:dyDescent="0.25">
      <c r="A188" s="492"/>
      <c r="B188" s="401"/>
      <c r="C188" s="416"/>
      <c r="D188" s="649"/>
      <c r="E188" s="649"/>
      <c r="F188" s="1786"/>
      <c r="G188" s="1195"/>
      <c r="H188" s="417"/>
      <c r="I188" s="2042"/>
      <c r="J188" s="16" t="s">
        <v>16</v>
      </c>
      <c r="K188" s="185">
        <f t="shared" ref="K188:M188" si="10">K187</f>
        <v>44.1</v>
      </c>
      <c r="L188" s="66">
        <f t="shared" si="10"/>
        <v>44</v>
      </c>
      <c r="M188" s="111">
        <f t="shared" si="10"/>
        <v>17.2</v>
      </c>
      <c r="N188" s="187"/>
      <c r="O188" s="201" t="s">
        <v>184</v>
      </c>
      <c r="P188" s="67">
        <v>590</v>
      </c>
      <c r="Q188" s="888">
        <v>586</v>
      </c>
      <c r="R188" s="617">
        <v>235</v>
      </c>
      <c r="S188" s="481"/>
    </row>
    <row r="189" spans="1:24" ht="16.5" customHeight="1" x14ac:dyDescent="0.2">
      <c r="A189" s="407" t="s">
        <v>17</v>
      </c>
      <c r="B189" s="408" t="s">
        <v>17</v>
      </c>
      <c r="C189" s="681" t="s">
        <v>17</v>
      </c>
      <c r="D189" s="656"/>
      <c r="E189" s="652"/>
      <c r="F189" s="83" t="s">
        <v>84</v>
      </c>
      <c r="G189" s="891"/>
      <c r="H189" s="420">
        <v>2</v>
      </c>
      <c r="I189" s="2108" t="s">
        <v>237</v>
      </c>
      <c r="J189" s="411"/>
      <c r="K189" s="844"/>
      <c r="L189" s="845"/>
      <c r="M189" s="152"/>
      <c r="N189" s="846"/>
      <c r="O189" s="1196"/>
      <c r="P189" s="513"/>
      <c r="Q189" s="411"/>
      <c r="R189" s="453"/>
      <c r="S189" s="454"/>
    </row>
    <row r="190" spans="1:24" s="17" customFormat="1" ht="18" customHeight="1" x14ac:dyDescent="0.2">
      <c r="A190" s="1234"/>
      <c r="B190" s="1189"/>
      <c r="C190" s="2"/>
      <c r="D190" s="894" t="s">
        <v>14</v>
      </c>
      <c r="E190" s="680"/>
      <c r="F190" s="1768" t="s">
        <v>88</v>
      </c>
      <c r="G190" s="892"/>
      <c r="H190" s="1260"/>
      <c r="I190" s="2046"/>
      <c r="J190" s="93" t="s">
        <v>15</v>
      </c>
      <c r="K190" s="937">
        <f>50.2+1.7</f>
        <v>51.900000000000006</v>
      </c>
      <c r="L190" s="523">
        <v>72.2</v>
      </c>
      <c r="M190" s="524">
        <v>22.5</v>
      </c>
      <c r="N190" s="525"/>
      <c r="O190" s="526" t="s">
        <v>118</v>
      </c>
      <c r="P190" s="58">
        <v>20</v>
      </c>
      <c r="Q190" s="26">
        <v>31</v>
      </c>
      <c r="R190" s="58">
        <v>6</v>
      </c>
      <c r="S190" s="19"/>
      <c r="T190" s="31"/>
    </row>
    <row r="191" spans="1:24" s="17" customFormat="1" ht="14.25" customHeight="1" x14ac:dyDescent="0.2">
      <c r="A191" s="1234"/>
      <c r="B191" s="1189"/>
      <c r="C191" s="2"/>
      <c r="D191" s="655"/>
      <c r="E191" s="667"/>
      <c r="F191" s="1791"/>
      <c r="G191" s="892"/>
      <c r="H191" s="1260"/>
      <c r="I191" s="7"/>
      <c r="J191" s="1269"/>
      <c r="K191" s="286"/>
      <c r="L191" s="1272"/>
      <c r="M191" s="116"/>
      <c r="N191" s="72"/>
      <c r="O191" s="526" t="s">
        <v>66</v>
      </c>
      <c r="P191" s="56">
        <v>20</v>
      </c>
      <c r="Q191" s="8">
        <v>39</v>
      </c>
      <c r="R191" s="240">
        <v>9</v>
      </c>
      <c r="S191" s="1246"/>
      <c r="T191" s="31"/>
    </row>
    <row r="192" spans="1:24" s="17" customFormat="1" ht="30.75" customHeight="1" x14ac:dyDescent="0.2">
      <c r="A192" s="1234"/>
      <c r="B192" s="1189"/>
      <c r="C192" s="2"/>
      <c r="D192" s="894" t="s">
        <v>17</v>
      </c>
      <c r="E192" s="894"/>
      <c r="F192" s="1906" t="s">
        <v>615</v>
      </c>
      <c r="G192" s="892"/>
      <c r="H192" s="1260"/>
      <c r="I192" s="7"/>
      <c r="J192" s="2104"/>
      <c r="K192" s="895"/>
      <c r="L192" s="896"/>
      <c r="M192" s="2099"/>
      <c r="N192" s="2101"/>
      <c r="O192" s="517" t="s">
        <v>248</v>
      </c>
      <c r="P192" s="58">
        <v>55</v>
      </c>
      <c r="Q192" s="26">
        <v>55</v>
      </c>
      <c r="R192" s="58">
        <v>50</v>
      </c>
      <c r="S192" s="33"/>
    </row>
    <row r="193" spans="1:20" s="17" customFormat="1" ht="30" customHeight="1" x14ac:dyDescent="0.2">
      <c r="A193" s="1234"/>
      <c r="B193" s="1189"/>
      <c r="C193" s="2"/>
      <c r="D193" s="657"/>
      <c r="E193" s="667"/>
      <c r="F193" s="2103"/>
      <c r="G193" s="892"/>
      <c r="H193" s="1260"/>
      <c r="I193" s="7"/>
      <c r="J193" s="2105"/>
      <c r="K193" s="897"/>
      <c r="L193" s="1264"/>
      <c r="M193" s="2100"/>
      <c r="N193" s="2102"/>
      <c r="O193" s="517" t="s">
        <v>143</v>
      </c>
      <c r="P193" s="241">
        <v>100</v>
      </c>
      <c r="Q193" s="15"/>
      <c r="R193" s="241"/>
      <c r="S193" s="33"/>
    </row>
    <row r="194" spans="1:20" s="17" customFormat="1" ht="15" customHeight="1" x14ac:dyDescent="0.2">
      <c r="A194" s="1234"/>
      <c r="B194" s="1189"/>
      <c r="C194" s="2"/>
      <c r="D194" s="657"/>
      <c r="E194" s="655"/>
      <c r="F194" s="1768" t="s">
        <v>251</v>
      </c>
      <c r="G194" s="892"/>
      <c r="H194" s="2043">
        <v>2</v>
      </c>
      <c r="I194" s="2045" t="s">
        <v>237</v>
      </c>
      <c r="J194" s="207" t="s">
        <v>15</v>
      </c>
      <c r="K194" s="634">
        <v>75</v>
      </c>
      <c r="L194" s="161"/>
      <c r="M194" s="936"/>
      <c r="N194" s="126"/>
      <c r="O194" s="168" t="s">
        <v>128</v>
      </c>
      <c r="P194" s="19">
        <v>13</v>
      </c>
      <c r="Q194" s="26"/>
      <c r="R194" s="58"/>
      <c r="S194" s="33"/>
    </row>
    <row r="195" spans="1:20" s="17" customFormat="1" ht="15" customHeight="1" x14ac:dyDescent="0.2">
      <c r="A195" s="1234"/>
      <c r="B195" s="1189"/>
      <c r="C195" s="2"/>
      <c r="D195" s="657"/>
      <c r="E195" s="655"/>
      <c r="F195" s="1791"/>
      <c r="G195" s="892"/>
      <c r="H195" s="2044"/>
      <c r="I195" s="2046"/>
      <c r="J195" s="1269" t="s">
        <v>15</v>
      </c>
      <c r="K195" s="943"/>
      <c r="L195" s="1263">
        <v>5</v>
      </c>
      <c r="M195" s="1249">
        <v>50</v>
      </c>
      <c r="N195" s="42"/>
      <c r="O195" s="48" t="s">
        <v>128</v>
      </c>
      <c r="P195" s="56"/>
      <c r="Q195" s="27">
        <v>11</v>
      </c>
      <c r="R195" s="56">
        <v>10</v>
      </c>
      <c r="S195" s="20"/>
    </row>
    <row r="196" spans="1:20" s="17" customFormat="1" ht="15" customHeight="1" x14ac:dyDescent="0.2">
      <c r="A196" s="1234"/>
      <c r="B196" s="1189"/>
      <c r="C196" s="2"/>
      <c r="D196" s="657"/>
      <c r="E196" s="655"/>
      <c r="F196" s="87" t="s">
        <v>249</v>
      </c>
      <c r="G196" s="892"/>
      <c r="H196" s="1259">
        <v>1</v>
      </c>
      <c r="I196" s="2045" t="s">
        <v>240</v>
      </c>
      <c r="J196" s="220" t="s">
        <v>15</v>
      </c>
      <c r="K196" s="943"/>
      <c r="L196" s="161">
        <v>158</v>
      </c>
      <c r="M196" s="936">
        <f>252.8-80</f>
        <v>172.8</v>
      </c>
      <c r="N196" s="126">
        <f>185.5-30</f>
        <v>155.5</v>
      </c>
      <c r="O196" s="168" t="s">
        <v>118</v>
      </c>
      <c r="P196" s="58"/>
      <c r="Q196" s="26">
        <v>10</v>
      </c>
      <c r="R196" s="593">
        <v>11</v>
      </c>
      <c r="S196" s="19">
        <v>12</v>
      </c>
    </row>
    <row r="197" spans="1:20" s="17" customFormat="1" ht="15.75" customHeight="1" x14ac:dyDescent="0.2">
      <c r="A197" s="1234"/>
      <c r="B197" s="1189"/>
      <c r="C197" s="2"/>
      <c r="D197" s="657"/>
      <c r="E197" s="667"/>
      <c r="F197" s="1768" t="s">
        <v>250</v>
      </c>
      <c r="G197" s="892"/>
      <c r="H197" s="1260"/>
      <c r="I197" s="2046"/>
      <c r="J197" s="1280" t="s">
        <v>15</v>
      </c>
      <c r="K197" s="322"/>
      <c r="L197" s="1263"/>
      <c r="M197" s="1249"/>
      <c r="N197" s="42">
        <v>104</v>
      </c>
      <c r="O197" s="47" t="s">
        <v>118</v>
      </c>
      <c r="P197" s="240"/>
      <c r="Q197" s="8"/>
      <c r="R197" s="240"/>
      <c r="S197" s="1246">
        <v>52</v>
      </c>
    </row>
    <row r="198" spans="1:20" s="17" customFormat="1" ht="15.75" customHeight="1" thickBot="1" x14ac:dyDescent="0.25">
      <c r="A198" s="1234"/>
      <c r="B198" s="1189"/>
      <c r="C198" s="2"/>
      <c r="D198" s="657"/>
      <c r="E198" s="667"/>
      <c r="F198" s="1786"/>
      <c r="G198" s="892"/>
      <c r="H198" s="1260"/>
      <c r="I198" s="2106"/>
      <c r="J198" s="16" t="s">
        <v>16</v>
      </c>
      <c r="K198" s="124">
        <f>SUM(K190:K197)</f>
        <v>126.9</v>
      </c>
      <c r="L198" s="39">
        <f>SUM(L190:L197)</f>
        <v>235.2</v>
      </c>
      <c r="M198" s="124">
        <f>SUM(M190:M197)</f>
        <v>245.3</v>
      </c>
      <c r="N198" s="133">
        <f>SUM(N190:N197)</f>
        <v>259.5</v>
      </c>
      <c r="O198" s="47"/>
      <c r="P198" s="240"/>
      <c r="Q198" s="8"/>
      <c r="R198" s="240"/>
      <c r="S198" s="63"/>
    </row>
    <row r="199" spans="1:20" s="17" customFormat="1" ht="27" customHeight="1" x14ac:dyDescent="0.2">
      <c r="A199" s="1234"/>
      <c r="B199" s="1189"/>
      <c r="C199" s="2"/>
      <c r="D199" s="657"/>
      <c r="E199" s="655"/>
      <c r="F199" s="900" t="s">
        <v>247</v>
      </c>
      <c r="G199" s="337"/>
      <c r="H199" s="1211">
        <v>2</v>
      </c>
      <c r="I199" s="1283" t="s">
        <v>237</v>
      </c>
      <c r="J199" s="250" t="s">
        <v>15</v>
      </c>
      <c r="K199" s="899">
        <v>11.899999999999999</v>
      </c>
      <c r="L199" s="151"/>
      <c r="M199" s="112"/>
      <c r="N199" s="38"/>
      <c r="O199" s="109" t="s">
        <v>185</v>
      </c>
      <c r="P199" s="128">
        <v>5</v>
      </c>
      <c r="Q199" s="92"/>
      <c r="R199" s="183"/>
      <c r="S199" s="236"/>
    </row>
    <row r="200" spans="1:20" s="17" customFormat="1" ht="15.75" customHeight="1" x14ac:dyDescent="0.2">
      <c r="A200" s="1234"/>
      <c r="B200" s="1189"/>
      <c r="C200" s="2"/>
      <c r="D200" s="657"/>
      <c r="E200" s="655"/>
      <c r="F200" s="1768" t="s">
        <v>181</v>
      </c>
      <c r="G200" s="179"/>
      <c r="H200" s="1260"/>
      <c r="I200" s="528"/>
      <c r="J200" s="27" t="s">
        <v>15</v>
      </c>
      <c r="K200" s="937">
        <v>26.7</v>
      </c>
      <c r="L200" s="2057"/>
      <c r="M200" s="1249"/>
      <c r="N200" s="42"/>
      <c r="O200" s="526" t="s">
        <v>145</v>
      </c>
      <c r="P200" s="56">
        <v>362</v>
      </c>
      <c r="Q200" s="27"/>
      <c r="R200" s="56"/>
      <c r="S200" s="20"/>
    </row>
    <row r="201" spans="1:20" s="17" customFormat="1" ht="14.25" customHeight="1" x14ac:dyDescent="0.2">
      <c r="A201" s="1234"/>
      <c r="B201" s="1189"/>
      <c r="C201" s="25"/>
      <c r="D201" s="658"/>
      <c r="E201" s="655"/>
      <c r="F201" s="1769"/>
      <c r="G201" s="179"/>
      <c r="H201" s="1260"/>
      <c r="I201" s="7"/>
      <c r="J201" s="15"/>
      <c r="K201" s="284"/>
      <c r="L201" s="2058"/>
      <c r="M201" s="1250"/>
      <c r="N201" s="45"/>
      <c r="O201" s="527"/>
      <c r="P201" s="241"/>
      <c r="Q201" s="15"/>
      <c r="R201" s="241"/>
      <c r="S201" s="18"/>
    </row>
    <row r="202" spans="1:20" s="17" customFormat="1" ht="26.25" customHeight="1" x14ac:dyDescent="0.2">
      <c r="A202" s="1234"/>
      <c r="B202" s="1189"/>
      <c r="C202" s="25"/>
      <c r="D202" s="658"/>
      <c r="E202" s="655"/>
      <c r="F202" s="1202" t="s">
        <v>182</v>
      </c>
      <c r="G202" s="179"/>
      <c r="H202" s="1260"/>
      <c r="I202" s="7"/>
      <c r="J202" s="8" t="s">
        <v>15</v>
      </c>
      <c r="K202" s="286">
        <v>2.6</v>
      </c>
      <c r="L202" s="1237"/>
      <c r="M202" s="1213"/>
      <c r="N202" s="37"/>
      <c r="O202" s="522" t="s">
        <v>141</v>
      </c>
      <c r="P202" s="240">
        <v>25</v>
      </c>
      <c r="Q202" s="8"/>
      <c r="R202" s="240"/>
      <c r="S202" s="32"/>
      <c r="T202" s="31"/>
    </row>
    <row r="203" spans="1:20" s="17" customFormat="1" ht="21" customHeight="1" x14ac:dyDescent="0.2">
      <c r="A203" s="1234"/>
      <c r="B203" s="1189"/>
      <c r="C203" s="2"/>
      <c r="D203" s="657"/>
      <c r="E203" s="655"/>
      <c r="F203" s="1768" t="s">
        <v>154</v>
      </c>
      <c r="G203" s="179"/>
      <c r="H203" s="1260"/>
      <c r="I203" s="7"/>
      <c r="J203" s="93" t="s">
        <v>15</v>
      </c>
      <c r="K203" s="937">
        <v>9.1</v>
      </c>
      <c r="L203" s="1263"/>
      <c r="M203" s="1249"/>
      <c r="N203" s="42"/>
      <c r="O203" s="168" t="s">
        <v>144</v>
      </c>
      <c r="P203" s="19">
        <v>19</v>
      </c>
      <c r="Q203" s="27"/>
      <c r="R203" s="56"/>
      <c r="S203" s="33"/>
    </row>
    <row r="204" spans="1:20" s="17" customFormat="1" ht="18.75" customHeight="1" x14ac:dyDescent="0.2">
      <c r="A204" s="1234"/>
      <c r="B204" s="1189"/>
      <c r="C204" s="2"/>
      <c r="D204" s="657"/>
      <c r="E204" s="655"/>
      <c r="F204" s="1769"/>
      <c r="G204" s="179"/>
      <c r="H204" s="1260"/>
      <c r="I204" s="7"/>
      <c r="J204" s="95"/>
      <c r="K204" s="284"/>
      <c r="L204" s="1264"/>
      <c r="M204" s="1250"/>
      <c r="N204" s="45"/>
      <c r="O204" s="53" t="s">
        <v>128</v>
      </c>
      <c r="P204" s="1247">
        <v>8</v>
      </c>
      <c r="Q204" s="26"/>
      <c r="R204" s="58"/>
      <c r="S204" s="33"/>
    </row>
    <row r="205" spans="1:20" s="17" customFormat="1" ht="18" customHeight="1" x14ac:dyDescent="0.2">
      <c r="A205" s="1234"/>
      <c r="B205" s="1189"/>
      <c r="C205" s="2"/>
      <c r="D205" s="657"/>
      <c r="E205" s="655"/>
      <c r="F205" s="1202" t="s">
        <v>183</v>
      </c>
      <c r="G205" s="179"/>
      <c r="H205" s="1260"/>
      <c r="I205" s="7"/>
      <c r="J205" s="1269" t="s">
        <v>15</v>
      </c>
      <c r="K205" s="286">
        <v>4.9000000000000004</v>
      </c>
      <c r="L205" s="1237"/>
      <c r="M205" s="1213"/>
      <c r="N205" s="37"/>
      <c r="O205" s="522" t="s">
        <v>140</v>
      </c>
      <c r="P205" s="240">
        <v>39</v>
      </c>
      <c r="Q205" s="8"/>
      <c r="R205" s="240"/>
      <c r="S205" s="32"/>
    </row>
    <row r="206" spans="1:20" s="17" customFormat="1" ht="24" customHeight="1" x14ac:dyDescent="0.2">
      <c r="A206" s="1234"/>
      <c r="B206" s="1189"/>
      <c r="C206" s="2"/>
      <c r="D206" s="657"/>
      <c r="E206" s="655"/>
      <c r="F206" s="1768" t="s">
        <v>142</v>
      </c>
      <c r="G206" s="1239"/>
      <c r="H206" s="1215"/>
      <c r="I206" s="336"/>
      <c r="J206" s="79" t="s">
        <v>15</v>
      </c>
      <c r="K206" s="937">
        <v>51.8</v>
      </c>
      <c r="L206" s="1263"/>
      <c r="M206" s="1249"/>
      <c r="N206" s="42"/>
      <c r="O206" s="1198" t="s">
        <v>118</v>
      </c>
      <c r="P206" s="1246">
        <v>12</v>
      </c>
      <c r="Q206" s="27"/>
      <c r="R206" s="56"/>
      <c r="S206" s="20"/>
    </row>
    <row r="207" spans="1:20" ht="17.25" customHeight="1" thickBot="1" x14ac:dyDescent="0.25">
      <c r="A207" s="469"/>
      <c r="B207" s="415"/>
      <c r="C207" s="402"/>
      <c r="D207" s="648"/>
      <c r="E207" s="649"/>
      <c r="F207" s="1786"/>
      <c r="G207" s="1195"/>
      <c r="H207" s="417"/>
      <c r="I207" s="1281"/>
      <c r="J207" s="16" t="s">
        <v>16</v>
      </c>
      <c r="K207" s="185">
        <f>SUM(K199:K206)</f>
        <v>107</v>
      </c>
      <c r="L207" s="66"/>
      <c r="M207" s="185"/>
      <c r="N207" s="187"/>
      <c r="O207" s="74"/>
      <c r="P207" s="177"/>
      <c r="Q207" s="216"/>
      <c r="R207" s="332"/>
      <c r="S207" s="483"/>
    </row>
    <row r="208" spans="1:20" ht="18" customHeight="1" thickBot="1" x14ac:dyDescent="0.25">
      <c r="A208" s="418" t="s">
        <v>17</v>
      </c>
      <c r="B208" s="415" t="s">
        <v>17</v>
      </c>
      <c r="C208" s="1751" t="s">
        <v>20</v>
      </c>
      <c r="D208" s="1752"/>
      <c r="E208" s="1752"/>
      <c r="F208" s="1752"/>
      <c r="G208" s="1752"/>
      <c r="H208" s="1752"/>
      <c r="I208" s="1752"/>
      <c r="J208" s="1890"/>
      <c r="K208" s="847">
        <f>K207+K188+K198</f>
        <v>278</v>
      </c>
      <c r="L208" s="806">
        <f>L207+L188+L198</f>
        <v>279.2</v>
      </c>
      <c r="M208" s="805">
        <f>M207+M188+M198</f>
        <v>262.5</v>
      </c>
      <c r="N208" s="862">
        <f>N207+N188+N198</f>
        <v>259.5</v>
      </c>
      <c r="O208" s="443"/>
      <c r="P208" s="444"/>
      <c r="Q208" s="444"/>
      <c r="R208" s="444"/>
      <c r="S208" s="445"/>
    </row>
    <row r="209" spans="1:22" ht="17.25" customHeight="1" thickBot="1" x14ac:dyDescent="0.25">
      <c r="A209" s="441" t="s">
        <v>17</v>
      </c>
      <c r="B209" s="496" t="s">
        <v>19</v>
      </c>
      <c r="C209" s="1760" t="s">
        <v>34</v>
      </c>
      <c r="D209" s="1761"/>
      <c r="E209" s="1761"/>
      <c r="F209" s="1761"/>
      <c r="G209" s="1761"/>
      <c r="H209" s="1761"/>
      <c r="I209" s="1761"/>
      <c r="J209" s="1761"/>
      <c r="K209" s="1761"/>
      <c r="L209" s="1761"/>
      <c r="M209" s="1761"/>
      <c r="N209" s="1761"/>
      <c r="O209" s="1761"/>
      <c r="P209" s="1761"/>
      <c r="Q209" s="1761"/>
      <c r="R209" s="1761"/>
      <c r="S209" s="1762"/>
    </row>
    <row r="210" spans="1:22" ht="15.75" customHeight="1" x14ac:dyDescent="0.2">
      <c r="A210" s="407" t="s">
        <v>17</v>
      </c>
      <c r="B210" s="408" t="s">
        <v>19</v>
      </c>
      <c r="C210" s="409" t="s">
        <v>14</v>
      </c>
      <c r="D210" s="645"/>
      <c r="E210" s="645"/>
      <c r="F210" s="1763" t="s">
        <v>35</v>
      </c>
      <c r="G210" s="1194"/>
      <c r="H210" s="410">
        <v>6</v>
      </c>
      <c r="I210" s="2051" t="s">
        <v>246</v>
      </c>
      <c r="J210" s="13"/>
      <c r="K210" s="848"/>
      <c r="L210" s="849"/>
      <c r="M210" s="850"/>
      <c r="N210" s="851"/>
      <c r="O210" s="497"/>
      <c r="P210" s="602"/>
      <c r="Q210" s="411"/>
      <c r="R210" s="453"/>
      <c r="S210" s="454"/>
    </row>
    <row r="211" spans="1:22" ht="15.75" customHeight="1" x14ac:dyDescent="0.2">
      <c r="A211" s="398"/>
      <c r="B211" s="381"/>
      <c r="C211" s="382"/>
      <c r="D211" s="646"/>
      <c r="E211" s="646"/>
      <c r="F211" s="1764"/>
      <c r="G211" s="1239"/>
      <c r="H211" s="370"/>
      <c r="I211" s="2030"/>
      <c r="J211" s="265"/>
      <c r="K211" s="852"/>
      <c r="L211" s="853"/>
      <c r="M211" s="854"/>
      <c r="N211" s="853"/>
      <c r="O211" s="461"/>
      <c r="P211" s="603"/>
      <c r="Q211" s="388"/>
      <c r="R211" s="459"/>
      <c r="S211" s="460"/>
    </row>
    <row r="212" spans="1:22" ht="95.25" customHeight="1" x14ac:dyDescent="0.2">
      <c r="A212" s="398"/>
      <c r="B212" s="381"/>
      <c r="C212" s="456"/>
      <c r="D212" s="672" t="s">
        <v>14</v>
      </c>
      <c r="E212" s="672"/>
      <c r="F212" s="28" t="s">
        <v>620</v>
      </c>
      <c r="G212" s="1239"/>
      <c r="H212" s="370"/>
      <c r="I212" s="2030"/>
      <c r="J212" s="78" t="s">
        <v>15</v>
      </c>
      <c r="K212" s="600">
        <f>300+53.6+63.7</f>
        <v>417.3</v>
      </c>
      <c r="L212" s="141">
        <f>562-75</f>
        <v>487</v>
      </c>
      <c r="M212" s="936">
        <v>380</v>
      </c>
      <c r="N212" s="126">
        <v>400</v>
      </c>
      <c r="O212" s="73" t="s">
        <v>186</v>
      </c>
      <c r="P212" s="58">
        <v>19</v>
      </c>
      <c r="Q212" s="26">
        <v>16</v>
      </c>
      <c r="R212" s="593">
        <v>15</v>
      </c>
      <c r="S212" s="594">
        <v>15</v>
      </c>
      <c r="T212" s="455"/>
    </row>
    <row r="213" spans="1:22" s="104" customFormat="1" ht="30.75" customHeight="1" x14ac:dyDescent="0.2">
      <c r="A213" s="398"/>
      <c r="B213" s="381"/>
      <c r="C213" s="456"/>
      <c r="D213" s="653" t="s">
        <v>17</v>
      </c>
      <c r="E213" s="653"/>
      <c r="F213" s="249" t="s">
        <v>86</v>
      </c>
      <c r="G213" s="1239"/>
      <c r="H213" s="370"/>
      <c r="I213" s="1252"/>
      <c r="J213" s="78" t="s">
        <v>15</v>
      </c>
      <c r="K213" s="273">
        <v>44.8</v>
      </c>
      <c r="L213" s="141">
        <v>36.700000000000003</v>
      </c>
      <c r="M213" s="936">
        <v>36.700000000000003</v>
      </c>
      <c r="N213" s="70">
        <v>36.700000000000003</v>
      </c>
      <c r="O213" s="73" t="s">
        <v>118</v>
      </c>
      <c r="P213" s="58">
        <v>93</v>
      </c>
      <c r="Q213" s="26">
        <v>93</v>
      </c>
      <c r="R213" s="593">
        <v>93</v>
      </c>
      <c r="S213" s="594">
        <f>+Q213</f>
        <v>93</v>
      </c>
      <c r="T213" s="455"/>
    </row>
    <row r="214" spans="1:22" ht="28.5" customHeight="1" x14ac:dyDescent="0.2">
      <c r="A214" s="398"/>
      <c r="B214" s="381"/>
      <c r="C214" s="382"/>
      <c r="D214" s="682" t="s">
        <v>19</v>
      </c>
      <c r="E214" s="672"/>
      <c r="F214" s="21" t="s">
        <v>39</v>
      </c>
      <c r="G214" s="1239"/>
      <c r="H214" s="370"/>
      <c r="I214" s="1252"/>
      <c r="J214" s="78" t="s">
        <v>15</v>
      </c>
      <c r="K214" s="273">
        <v>105.6</v>
      </c>
      <c r="L214" s="141">
        <v>90.2</v>
      </c>
      <c r="M214" s="936">
        <v>90.2</v>
      </c>
      <c r="N214" s="70">
        <v>90.2</v>
      </c>
      <c r="O214" s="1199" t="s">
        <v>187</v>
      </c>
      <c r="P214" s="241">
        <v>45</v>
      </c>
      <c r="Q214" s="15">
        <v>30</v>
      </c>
      <c r="R214" s="596">
        <v>30</v>
      </c>
      <c r="S214" s="597">
        <v>30</v>
      </c>
      <c r="T214" s="455"/>
    </row>
    <row r="215" spans="1:22" ht="29.25" customHeight="1" x14ac:dyDescent="0.2">
      <c r="A215" s="398"/>
      <c r="B215" s="381"/>
      <c r="C215" s="456"/>
      <c r="D215" s="653" t="s">
        <v>21</v>
      </c>
      <c r="E215" s="653"/>
      <c r="F215" s="28" t="s">
        <v>41</v>
      </c>
      <c r="G215" s="1239"/>
      <c r="H215" s="370"/>
      <c r="I215" s="1252"/>
      <c r="J215" s="265" t="s">
        <v>15</v>
      </c>
      <c r="K215" s="601">
        <v>23.6</v>
      </c>
      <c r="L215" s="141">
        <v>42</v>
      </c>
      <c r="M215" s="936">
        <v>42</v>
      </c>
      <c r="N215" s="70">
        <v>42</v>
      </c>
      <c r="O215" s="73" t="s">
        <v>188</v>
      </c>
      <c r="P215" s="58">
        <v>3</v>
      </c>
      <c r="Q215" s="26">
        <f>+P215</f>
        <v>3</v>
      </c>
      <c r="R215" s="593">
        <v>3</v>
      </c>
      <c r="S215" s="594">
        <f>+Q215</f>
        <v>3</v>
      </c>
      <c r="T215" s="455"/>
    </row>
    <row r="216" spans="1:22" ht="18" customHeight="1" x14ac:dyDescent="0.2">
      <c r="A216" s="398"/>
      <c r="B216" s="381"/>
      <c r="C216" s="456"/>
      <c r="D216" s="672" t="s">
        <v>22</v>
      </c>
      <c r="E216" s="672"/>
      <c r="F216" s="28" t="s">
        <v>38</v>
      </c>
      <c r="G216" s="1239"/>
      <c r="H216" s="370"/>
      <c r="I216" s="1252"/>
      <c r="J216" s="265" t="s">
        <v>15</v>
      </c>
      <c r="K216" s="273">
        <v>14.9</v>
      </c>
      <c r="L216" s="141">
        <v>17.2</v>
      </c>
      <c r="M216" s="936">
        <v>20</v>
      </c>
      <c r="N216" s="70">
        <v>21</v>
      </c>
      <c r="O216" s="73" t="s">
        <v>42</v>
      </c>
      <c r="P216" s="58">
        <v>33</v>
      </c>
      <c r="Q216" s="26">
        <v>35</v>
      </c>
      <c r="R216" s="593">
        <v>37</v>
      </c>
      <c r="S216" s="594">
        <v>38</v>
      </c>
      <c r="T216" s="455"/>
      <c r="V216" s="1265"/>
    </row>
    <row r="217" spans="1:22" ht="30.75" customHeight="1" x14ac:dyDescent="0.2">
      <c r="A217" s="398"/>
      <c r="B217" s="381"/>
      <c r="C217" s="382"/>
      <c r="D217" s="646" t="s">
        <v>96</v>
      </c>
      <c r="E217" s="646"/>
      <c r="F217" s="108" t="s">
        <v>114</v>
      </c>
      <c r="G217" s="1239"/>
      <c r="H217" s="370"/>
      <c r="I217" s="1252"/>
      <c r="J217" s="265" t="s">
        <v>15</v>
      </c>
      <c r="K217" s="273">
        <v>25</v>
      </c>
      <c r="L217" s="141">
        <v>25</v>
      </c>
      <c r="M217" s="936">
        <v>12</v>
      </c>
      <c r="N217" s="70"/>
      <c r="O217" s="1198" t="s">
        <v>189</v>
      </c>
      <c r="P217" s="58">
        <v>7</v>
      </c>
      <c r="Q217" s="26">
        <f>+P217</f>
        <v>7</v>
      </c>
      <c r="R217" s="593">
        <v>3</v>
      </c>
      <c r="S217" s="594"/>
      <c r="T217" s="455"/>
      <c r="V217" s="1265"/>
    </row>
    <row r="218" spans="1:22" ht="14.25" customHeight="1" x14ac:dyDescent="0.2">
      <c r="A218" s="398"/>
      <c r="B218" s="381"/>
      <c r="C218" s="382"/>
      <c r="D218" s="674" t="s">
        <v>97</v>
      </c>
      <c r="E218" s="674"/>
      <c r="F218" s="1187" t="s">
        <v>40</v>
      </c>
      <c r="G218" s="1239"/>
      <c r="H218" s="370"/>
      <c r="I218" s="1252"/>
      <c r="J218" s="265" t="s">
        <v>15</v>
      </c>
      <c r="K218" s="601">
        <f>429.3-35.7</f>
        <v>393.6</v>
      </c>
      <c r="L218" s="141">
        <v>429.3</v>
      </c>
      <c r="M218" s="936">
        <v>429.3</v>
      </c>
      <c r="N218" s="70">
        <v>429.3</v>
      </c>
      <c r="O218" s="1766" t="s">
        <v>190</v>
      </c>
      <c r="P218" s="240">
        <v>101</v>
      </c>
      <c r="Q218" s="8">
        <f>+P218</f>
        <v>101</v>
      </c>
      <c r="R218" s="239">
        <v>101</v>
      </c>
      <c r="S218" s="595">
        <f>+Q218</f>
        <v>101</v>
      </c>
      <c r="T218" s="455"/>
      <c r="V218" s="1265"/>
    </row>
    <row r="219" spans="1:22" ht="14.25" customHeight="1" x14ac:dyDescent="0.2">
      <c r="A219" s="398"/>
      <c r="B219" s="381"/>
      <c r="C219" s="382"/>
      <c r="D219" s="646"/>
      <c r="E219" s="646"/>
      <c r="F219" s="599"/>
      <c r="G219" s="1239"/>
      <c r="H219" s="370"/>
      <c r="I219" s="1252"/>
      <c r="J219" s="265" t="s">
        <v>98</v>
      </c>
      <c r="K219" s="273">
        <v>35.700000000000003</v>
      </c>
      <c r="L219" s="141"/>
      <c r="M219" s="936"/>
      <c r="N219" s="70"/>
      <c r="O219" s="2025"/>
      <c r="P219" s="240"/>
      <c r="Q219" s="8"/>
      <c r="R219" s="239"/>
      <c r="S219" s="595"/>
      <c r="T219" s="455"/>
      <c r="V219" s="1265"/>
    </row>
    <row r="220" spans="1:22" ht="14.25" customHeight="1" x14ac:dyDescent="0.2">
      <c r="A220" s="398"/>
      <c r="B220" s="381"/>
      <c r="C220" s="382"/>
      <c r="D220" s="675"/>
      <c r="E220" s="675"/>
      <c r="F220" s="238"/>
      <c r="G220" s="1239"/>
      <c r="H220" s="370"/>
      <c r="I220" s="1252"/>
      <c r="J220" s="27" t="s">
        <v>18</v>
      </c>
      <c r="K220" s="273">
        <v>7.4</v>
      </c>
      <c r="L220" s="141">
        <v>7.4</v>
      </c>
      <c r="M220" s="936">
        <v>7.4</v>
      </c>
      <c r="N220" s="70">
        <v>7.4</v>
      </c>
      <c r="O220" s="1767"/>
      <c r="P220" s="240"/>
      <c r="Q220" s="8"/>
      <c r="R220" s="239"/>
      <c r="S220" s="595"/>
      <c r="T220" s="104"/>
      <c r="V220" s="1265"/>
    </row>
    <row r="221" spans="1:22" ht="31.5" customHeight="1" x14ac:dyDescent="0.2">
      <c r="A221" s="398"/>
      <c r="B221" s="381"/>
      <c r="C221" s="456"/>
      <c r="D221" s="653" t="s">
        <v>267</v>
      </c>
      <c r="E221" s="653"/>
      <c r="F221" s="46" t="s">
        <v>49</v>
      </c>
      <c r="G221" s="22"/>
      <c r="H221" s="41"/>
      <c r="I221" s="1279"/>
      <c r="J221" s="26" t="s">
        <v>15</v>
      </c>
      <c r="K221" s="273">
        <v>539</v>
      </c>
      <c r="L221" s="141">
        <f>500-100</f>
        <v>400</v>
      </c>
      <c r="M221" s="936">
        <v>342</v>
      </c>
      <c r="N221" s="70">
        <v>185</v>
      </c>
      <c r="O221" s="168" t="s">
        <v>118</v>
      </c>
      <c r="P221" s="58">
        <v>16</v>
      </c>
      <c r="Q221" s="26">
        <v>16</v>
      </c>
      <c r="R221" s="593">
        <v>10</v>
      </c>
      <c r="S221" s="594">
        <v>5</v>
      </c>
      <c r="T221" s="306"/>
      <c r="V221" s="1265"/>
    </row>
    <row r="222" spans="1:22" ht="54.75" customHeight="1" x14ac:dyDescent="0.2">
      <c r="A222" s="398"/>
      <c r="B222" s="381"/>
      <c r="C222" s="456"/>
      <c r="D222" s="672" t="s">
        <v>268</v>
      </c>
      <c r="E222" s="672"/>
      <c r="F222" s="87" t="s">
        <v>610</v>
      </c>
      <c r="G222" s="22"/>
      <c r="H222" s="41"/>
      <c r="I222" s="1279"/>
      <c r="J222" s="15" t="s">
        <v>15</v>
      </c>
      <c r="K222" s="601">
        <v>80</v>
      </c>
      <c r="L222" s="141"/>
      <c r="M222" s="936"/>
      <c r="N222" s="70">
        <v>100</v>
      </c>
      <c r="O222" s="168" t="s">
        <v>118</v>
      </c>
      <c r="P222" s="58">
        <v>1</v>
      </c>
      <c r="Q222" s="26"/>
      <c r="R222" s="593"/>
      <c r="S222" s="594">
        <f>+Q222</f>
        <v>0</v>
      </c>
      <c r="T222" s="1203"/>
      <c r="V222" s="1265"/>
    </row>
    <row r="223" spans="1:22" ht="30.75" customHeight="1" x14ac:dyDescent="0.2">
      <c r="A223" s="398"/>
      <c r="B223" s="381"/>
      <c r="C223" s="456"/>
      <c r="D223" s="653" t="s">
        <v>5</v>
      </c>
      <c r="E223" s="653"/>
      <c r="F223" s="1201" t="s">
        <v>58</v>
      </c>
      <c r="G223" s="22"/>
      <c r="H223" s="41"/>
      <c r="I223" s="1279"/>
      <c r="J223" s="8" t="s">
        <v>15</v>
      </c>
      <c r="K223" s="273">
        <v>146</v>
      </c>
      <c r="L223" s="141">
        <v>170</v>
      </c>
      <c r="M223" s="936">
        <v>170</v>
      </c>
      <c r="N223" s="70">
        <v>170</v>
      </c>
      <c r="O223" s="168" t="s">
        <v>118</v>
      </c>
      <c r="P223" s="241">
        <v>7</v>
      </c>
      <c r="Q223" s="15">
        <v>10</v>
      </c>
      <c r="R223" s="596">
        <v>10</v>
      </c>
      <c r="S223" s="597">
        <v>10</v>
      </c>
    </row>
    <row r="224" spans="1:22" ht="18" customHeight="1" x14ac:dyDescent="0.2">
      <c r="A224" s="398"/>
      <c r="B224" s="381"/>
      <c r="C224" s="456"/>
      <c r="D224" s="672" t="s">
        <v>269</v>
      </c>
      <c r="E224" s="672"/>
      <c r="F224" s="1201" t="s">
        <v>79</v>
      </c>
      <c r="G224" s="1271"/>
      <c r="H224" s="41"/>
      <c r="I224" s="1279"/>
      <c r="J224" s="26" t="s">
        <v>15</v>
      </c>
      <c r="K224" s="601">
        <v>350</v>
      </c>
      <c r="L224" s="141">
        <v>310</v>
      </c>
      <c r="M224" s="936">
        <v>200</v>
      </c>
      <c r="N224" s="126">
        <v>210</v>
      </c>
      <c r="O224" s="168" t="s">
        <v>118</v>
      </c>
      <c r="P224" s="241">
        <v>16</v>
      </c>
      <c r="Q224" s="15">
        <v>12</v>
      </c>
      <c r="R224" s="596">
        <v>6</v>
      </c>
      <c r="S224" s="597">
        <v>6</v>
      </c>
    </row>
    <row r="225" spans="1:32" ht="27.75" customHeight="1" x14ac:dyDescent="0.2">
      <c r="A225" s="398"/>
      <c r="B225" s="381"/>
      <c r="C225" s="382"/>
      <c r="D225" s="646" t="s">
        <v>272</v>
      </c>
      <c r="E225" s="646"/>
      <c r="F225" s="1768" t="s">
        <v>632</v>
      </c>
      <c r="G225" s="1770" t="s">
        <v>48</v>
      </c>
      <c r="H225" s="370"/>
      <c r="I225" s="1252"/>
      <c r="J225" s="79" t="s">
        <v>15</v>
      </c>
      <c r="K225" s="274">
        <v>114</v>
      </c>
      <c r="L225" s="939">
        <v>75</v>
      </c>
      <c r="M225" s="1249">
        <v>75</v>
      </c>
      <c r="N225" s="42">
        <v>75</v>
      </c>
      <c r="O225" s="1251" t="s">
        <v>192</v>
      </c>
      <c r="P225" s="241">
        <v>3</v>
      </c>
      <c r="Q225" s="15">
        <v>2</v>
      </c>
      <c r="R225" s="596">
        <v>2</v>
      </c>
      <c r="S225" s="597">
        <v>2</v>
      </c>
    </row>
    <row r="226" spans="1:32" ht="27.75" customHeight="1" x14ac:dyDescent="0.2">
      <c r="A226" s="398"/>
      <c r="B226" s="381"/>
      <c r="C226" s="382"/>
      <c r="D226" s="646"/>
      <c r="E226" s="646"/>
      <c r="F226" s="1769"/>
      <c r="G226" s="1771"/>
      <c r="H226" s="370"/>
      <c r="I226" s="1252"/>
      <c r="J226" s="79" t="s">
        <v>98</v>
      </c>
      <c r="K226" s="273"/>
      <c r="L226" s="141">
        <f>56.4+7.4</f>
        <v>63.8</v>
      </c>
      <c r="M226" s="936"/>
      <c r="N226" s="126"/>
      <c r="O226" s="73" t="s">
        <v>203</v>
      </c>
      <c r="P226" s="58">
        <v>3</v>
      </c>
      <c r="Q226" s="27">
        <v>5</v>
      </c>
      <c r="R226" s="5">
        <v>2</v>
      </c>
      <c r="S226" s="598">
        <v>2</v>
      </c>
    </row>
    <row r="227" spans="1:32" ht="14.25" customHeight="1" x14ac:dyDescent="0.2">
      <c r="A227" s="398"/>
      <c r="B227" s="381"/>
      <c r="C227" s="382"/>
      <c r="D227" s="674" t="s">
        <v>273</v>
      </c>
      <c r="E227" s="674"/>
      <c r="F227" s="1772" t="s">
        <v>156</v>
      </c>
      <c r="G227" s="188"/>
      <c r="H227" s="383"/>
      <c r="I227" s="1279"/>
      <c r="J227" s="207" t="s">
        <v>15</v>
      </c>
      <c r="K227" s="1257">
        <v>43.7</v>
      </c>
      <c r="L227" s="141">
        <v>100</v>
      </c>
      <c r="M227" s="936">
        <v>100</v>
      </c>
      <c r="N227" s="70">
        <v>100</v>
      </c>
      <c r="O227" s="1198" t="s">
        <v>118</v>
      </c>
      <c r="P227" s="56">
        <v>33</v>
      </c>
      <c r="Q227" s="27">
        <v>33</v>
      </c>
      <c r="R227" s="5">
        <v>33</v>
      </c>
      <c r="S227" s="598">
        <v>33</v>
      </c>
    </row>
    <row r="228" spans="1:32" ht="14.25" customHeight="1" thickBot="1" x14ac:dyDescent="0.25">
      <c r="A228" s="469"/>
      <c r="B228" s="415"/>
      <c r="C228" s="416"/>
      <c r="D228" s="649"/>
      <c r="E228" s="649"/>
      <c r="F228" s="1773"/>
      <c r="G228" s="1195"/>
      <c r="H228" s="498"/>
      <c r="I228" s="1282"/>
      <c r="J228" s="16" t="s">
        <v>16</v>
      </c>
      <c r="K228" s="187">
        <f>SUM(K212:K227)</f>
        <v>2340.6000000000004</v>
      </c>
      <c r="L228" s="185">
        <f>SUM(L212:L227)</f>
        <v>2253.6000000000004</v>
      </c>
      <c r="M228" s="111">
        <f>SUM(M212:M227)</f>
        <v>1904.6</v>
      </c>
      <c r="N228" s="437">
        <f>SUM(N212:N227)</f>
        <v>1866.6000000000001</v>
      </c>
      <c r="O228" s="206"/>
      <c r="P228" s="518"/>
      <c r="Q228" s="393"/>
      <c r="R228" s="493"/>
      <c r="S228" s="494"/>
    </row>
    <row r="229" spans="1:32" s="17" customFormat="1" ht="16.5" customHeight="1" x14ac:dyDescent="0.2">
      <c r="A229" s="1776" t="s">
        <v>17</v>
      </c>
      <c r="B229" s="1778" t="s">
        <v>19</v>
      </c>
      <c r="C229" s="2" t="s">
        <v>17</v>
      </c>
      <c r="D229" s="894"/>
      <c r="E229" s="894"/>
      <c r="F229" s="1790" t="s">
        <v>625</v>
      </c>
      <c r="G229" s="1781"/>
      <c r="H229" s="1783">
        <v>2</v>
      </c>
      <c r="I229" s="2021" t="s">
        <v>237</v>
      </c>
      <c r="J229" s="898" t="s">
        <v>15</v>
      </c>
      <c r="K229" s="1060">
        <v>31.3</v>
      </c>
      <c r="L229" s="151">
        <v>31.3</v>
      </c>
      <c r="M229" s="112">
        <v>31.3</v>
      </c>
      <c r="N229" s="38">
        <v>31.3</v>
      </c>
      <c r="O229" s="2026" t="s">
        <v>626</v>
      </c>
      <c r="P229" s="61">
        <v>300</v>
      </c>
      <c r="Q229" s="898">
        <v>300</v>
      </c>
      <c r="R229" s="61">
        <v>300</v>
      </c>
      <c r="S229" s="236">
        <v>300</v>
      </c>
    </row>
    <row r="230" spans="1:32" s="17" customFormat="1" ht="11.25" customHeight="1" x14ac:dyDescent="0.2">
      <c r="A230" s="1776"/>
      <c r="B230" s="2019"/>
      <c r="C230" s="2"/>
      <c r="D230" s="1094"/>
      <c r="F230" s="1791"/>
      <c r="G230" s="1781"/>
      <c r="H230" s="2020"/>
      <c r="I230" s="2022"/>
      <c r="J230" s="1095"/>
      <c r="K230" s="284"/>
      <c r="L230" s="1264"/>
      <c r="M230" s="1250"/>
      <c r="N230" s="45"/>
      <c r="O230" s="2027"/>
      <c r="P230" s="44"/>
      <c r="Q230" s="529"/>
      <c r="R230" s="44"/>
      <c r="S230" s="32"/>
    </row>
    <row r="231" spans="1:32" s="17" customFormat="1" ht="16.5" customHeight="1" thickBot="1" x14ac:dyDescent="0.25">
      <c r="A231" s="1777"/>
      <c r="B231" s="1779"/>
      <c r="C231" s="86"/>
      <c r="D231" s="659"/>
      <c r="E231" s="676"/>
      <c r="F231" s="1786"/>
      <c r="G231" s="1782"/>
      <c r="H231" s="1784"/>
      <c r="I231" s="1258"/>
      <c r="J231" s="16" t="s">
        <v>16</v>
      </c>
      <c r="K231" s="124">
        <f>SUM(K229:K230)</f>
        <v>31.3</v>
      </c>
      <c r="L231" s="39">
        <f>SUM(L229:L230)</f>
        <v>31.3</v>
      </c>
      <c r="M231" s="124">
        <f>SUM(M229:M230)</f>
        <v>31.3</v>
      </c>
      <c r="N231" s="133">
        <f>SUM(N229:N230)</f>
        <v>31.3</v>
      </c>
      <c r="O231" s="2028"/>
      <c r="P231" s="62"/>
      <c r="Q231" s="225"/>
      <c r="R231" s="62"/>
      <c r="S231" s="237"/>
    </row>
    <row r="232" spans="1:32" ht="36.75" customHeight="1" x14ac:dyDescent="0.2">
      <c r="A232" s="407" t="s">
        <v>17</v>
      </c>
      <c r="B232" s="408" t="s">
        <v>19</v>
      </c>
      <c r="C232" s="495" t="s">
        <v>19</v>
      </c>
      <c r="D232" s="656"/>
      <c r="E232" s="652"/>
      <c r="F232" s="1790" t="s">
        <v>155</v>
      </c>
      <c r="G232" s="1194" t="s">
        <v>46</v>
      </c>
      <c r="H232" s="138">
        <v>2</v>
      </c>
      <c r="I232" s="2073" t="s">
        <v>237</v>
      </c>
      <c r="J232" s="13" t="s">
        <v>15</v>
      </c>
      <c r="K232" s="842"/>
      <c r="L232" s="855">
        <v>35</v>
      </c>
      <c r="M232" s="834"/>
      <c r="N232" s="832"/>
      <c r="O232" s="146" t="s">
        <v>193</v>
      </c>
      <c r="P232" s="316">
        <v>0</v>
      </c>
      <c r="Q232" s="105">
        <v>3</v>
      </c>
      <c r="R232" s="453"/>
      <c r="S232" s="454"/>
    </row>
    <row r="233" spans="1:32" ht="15" customHeight="1" thickBot="1" x14ac:dyDescent="0.25">
      <c r="A233" s="469"/>
      <c r="B233" s="415"/>
      <c r="C233" s="499"/>
      <c r="D233" s="660"/>
      <c r="E233" s="663"/>
      <c r="F233" s="1786"/>
      <c r="G233" s="176" t="s">
        <v>206</v>
      </c>
      <c r="H233" s="501"/>
      <c r="I233" s="2107"/>
      <c r="J233" s="125" t="s">
        <v>16</v>
      </c>
      <c r="K233" s="270">
        <f>+K232</f>
        <v>0</v>
      </c>
      <c r="L233" s="268">
        <f>+L232</f>
        <v>35</v>
      </c>
      <c r="M233" s="856"/>
      <c r="N233" s="167"/>
      <c r="O233" s="74"/>
      <c r="P233" s="1275"/>
      <c r="Q233" s="388"/>
      <c r="R233" s="459"/>
      <c r="S233" s="460"/>
    </row>
    <row r="234" spans="1:32" ht="15" customHeight="1" x14ac:dyDescent="0.2">
      <c r="A234" s="407" t="s">
        <v>17</v>
      </c>
      <c r="B234" s="408" t="s">
        <v>19</v>
      </c>
      <c r="C234" s="450" t="s">
        <v>21</v>
      </c>
      <c r="D234" s="652"/>
      <c r="E234" s="652"/>
      <c r="F234" s="1919" t="s">
        <v>89</v>
      </c>
      <c r="G234" s="84"/>
      <c r="H234" s="138">
        <v>6</v>
      </c>
      <c r="I234" s="2073" t="s">
        <v>246</v>
      </c>
      <c r="J234" s="105"/>
      <c r="K234" s="857"/>
      <c r="L234" s="858"/>
      <c r="M234" s="859"/>
      <c r="N234" s="765"/>
      <c r="O234" s="1196"/>
      <c r="P234" s="387"/>
      <c r="Q234" s="411"/>
      <c r="R234" s="453"/>
      <c r="S234" s="454"/>
      <c r="T234" s="1242"/>
    </row>
    <row r="235" spans="1:32" ht="15" customHeight="1" x14ac:dyDescent="0.2">
      <c r="A235" s="398"/>
      <c r="B235" s="381"/>
      <c r="C235" s="456"/>
      <c r="D235" s="653"/>
      <c r="E235" s="653"/>
      <c r="F235" s="1840"/>
      <c r="G235" s="106"/>
      <c r="H235" s="137"/>
      <c r="I235" s="2074"/>
      <c r="J235" s="204"/>
      <c r="K235" s="824"/>
      <c r="L235" s="860"/>
      <c r="M235" s="861"/>
      <c r="N235" s="759"/>
      <c r="O235" s="1251"/>
      <c r="P235" s="1274"/>
      <c r="Q235" s="388"/>
      <c r="R235" s="459"/>
      <c r="S235" s="460"/>
      <c r="T235" s="1242"/>
    </row>
    <row r="236" spans="1:32" s="503" customFormat="1" ht="15" customHeight="1" x14ac:dyDescent="0.2">
      <c r="A236" s="398"/>
      <c r="B236" s="381"/>
      <c r="C236" s="466"/>
      <c r="D236" s="669" t="s">
        <v>14</v>
      </c>
      <c r="E236" s="670"/>
      <c r="F236" s="1772" t="s">
        <v>78</v>
      </c>
      <c r="G236" s="172"/>
      <c r="H236" s="137"/>
      <c r="I236" s="2074"/>
      <c r="J236" s="79" t="s">
        <v>15</v>
      </c>
      <c r="K236" s="274">
        <v>1825.4</v>
      </c>
      <c r="L236" s="939">
        <f>2204.9-100</f>
        <v>2104.9</v>
      </c>
      <c r="M236" s="1249">
        <v>2104.9</v>
      </c>
      <c r="N236" s="937">
        <v>2104.9</v>
      </c>
      <c r="O236" s="1766" t="s">
        <v>194</v>
      </c>
      <c r="P236" s="2063">
        <v>92</v>
      </c>
      <c r="Q236" s="2065">
        <v>92</v>
      </c>
      <c r="R236" s="2067">
        <v>92</v>
      </c>
      <c r="S236" s="2068">
        <v>92</v>
      </c>
      <c r="T236" s="455"/>
      <c r="U236" s="502"/>
      <c r="V236" s="502"/>
      <c r="W236" s="502"/>
      <c r="X236" s="502"/>
      <c r="Y236" s="502"/>
      <c r="Z236" s="502"/>
      <c r="AA236" s="502"/>
      <c r="AB236" s="502"/>
      <c r="AC236" s="502"/>
      <c r="AD236" s="502"/>
      <c r="AE236" s="502"/>
      <c r="AF236" s="502"/>
    </row>
    <row r="237" spans="1:32" s="503" customFormat="1" ht="15" customHeight="1" x14ac:dyDescent="0.2">
      <c r="A237" s="398"/>
      <c r="B237" s="381"/>
      <c r="C237" s="466"/>
      <c r="D237" s="668"/>
      <c r="E237" s="671"/>
      <c r="F237" s="1863"/>
      <c r="G237" s="173"/>
      <c r="H237" s="137"/>
      <c r="I237" s="2074"/>
      <c r="J237" s="78" t="s">
        <v>98</v>
      </c>
      <c r="K237" s="273">
        <v>330.2</v>
      </c>
      <c r="L237" s="141"/>
      <c r="M237" s="936"/>
      <c r="N237" s="70"/>
      <c r="O237" s="1767"/>
      <c r="P237" s="2064"/>
      <c r="Q237" s="2066"/>
      <c r="R237" s="1865"/>
      <c r="S237" s="2069"/>
      <c r="T237" s="502"/>
      <c r="U237" s="502"/>
      <c r="V237" s="502"/>
      <c r="W237" s="502"/>
      <c r="X237" s="502"/>
      <c r="Y237" s="502"/>
      <c r="Z237" s="502"/>
      <c r="AA237" s="502"/>
      <c r="AB237" s="502"/>
      <c r="AC237" s="502"/>
      <c r="AD237" s="502"/>
      <c r="AE237" s="502"/>
      <c r="AF237" s="502"/>
    </row>
    <row r="238" spans="1:32" s="503" customFormat="1" ht="28.5" customHeight="1" x14ac:dyDescent="0.2">
      <c r="A238" s="398"/>
      <c r="B238" s="381"/>
      <c r="C238" s="81"/>
      <c r="D238" s="661" t="s">
        <v>17</v>
      </c>
      <c r="E238" s="661"/>
      <c r="F238" s="1748" t="s">
        <v>85</v>
      </c>
      <c r="G238" s="173"/>
      <c r="H238" s="137"/>
      <c r="I238" s="2074"/>
      <c r="J238" s="938" t="s">
        <v>15</v>
      </c>
      <c r="K238" s="274">
        <f>78.1-20.9</f>
        <v>57.199999999999996</v>
      </c>
      <c r="L238" s="626">
        <f>87+8.3</f>
        <v>95.3</v>
      </c>
      <c r="M238" s="628">
        <v>45</v>
      </c>
      <c r="N238" s="127">
        <v>15</v>
      </c>
      <c r="O238" s="199" t="s">
        <v>195</v>
      </c>
      <c r="P238" s="1216">
        <v>39</v>
      </c>
      <c r="Q238" s="1220">
        <v>59</v>
      </c>
      <c r="R238" s="12">
        <v>79</v>
      </c>
      <c r="S238" s="604">
        <v>89</v>
      </c>
      <c r="T238" s="502"/>
      <c r="U238" s="502"/>
      <c r="V238" s="502"/>
      <c r="W238" s="502"/>
      <c r="X238" s="502"/>
      <c r="Y238" s="502"/>
      <c r="Z238" s="502"/>
      <c r="AA238" s="502"/>
      <c r="AB238" s="502"/>
      <c r="AC238" s="502"/>
      <c r="AD238" s="502"/>
      <c r="AE238" s="502"/>
      <c r="AF238" s="502"/>
    </row>
    <row r="239" spans="1:32" s="503" customFormat="1" ht="29.25" customHeight="1" x14ac:dyDescent="0.2">
      <c r="A239" s="398"/>
      <c r="B239" s="381"/>
      <c r="C239" s="81"/>
      <c r="D239" s="661"/>
      <c r="E239" s="661"/>
      <c r="F239" s="1941"/>
      <c r="G239" s="172"/>
      <c r="H239" s="137"/>
      <c r="I239" s="1273"/>
      <c r="J239" s="608"/>
      <c r="K239" s="610"/>
      <c r="L239" s="627"/>
      <c r="M239" s="629"/>
      <c r="N239" s="922"/>
      <c r="O239" s="226" t="s">
        <v>196</v>
      </c>
      <c r="P239" s="11">
        <v>20</v>
      </c>
      <c r="Q239" s="210">
        <v>20</v>
      </c>
      <c r="R239" s="10">
        <v>10</v>
      </c>
      <c r="S239" s="955"/>
      <c r="T239" s="502"/>
      <c r="U239" s="502"/>
      <c r="V239" s="502"/>
      <c r="W239" s="502"/>
      <c r="X239" s="502"/>
      <c r="Y239" s="502"/>
      <c r="Z239" s="502"/>
      <c r="AA239" s="502"/>
      <c r="AB239" s="502"/>
      <c r="AC239" s="502"/>
      <c r="AD239" s="502"/>
      <c r="AE239" s="502"/>
      <c r="AF239" s="502"/>
    </row>
    <row r="240" spans="1:32" s="3" customFormat="1" ht="42" customHeight="1" x14ac:dyDescent="0.2">
      <c r="A240" s="1234"/>
      <c r="B240" s="1189"/>
      <c r="C240" s="81"/>
      <c r="D240" s="683" t="s">
        <v>19</v>
      </c>
      <c r="E240" s="683"/>
      <c r="F240" s="1240" t="s">
        <v>264</v>
      </c>
      <c r="G240" s="173"/>
      <c r="H240" s="166"/>
      <c r="I240" s="1273"/>
      <c r="J240" s="80" t="s">
        <v>15</v>
      </c>
      <c r="K240" s="611"/>
      <c r="L240" s="277">
        <v>3.6</v>
      </c>
      <c r="M240" s="630"/>
      <c r="N240" s="923"/>
      <c r="O240" s="199" t="s">
        <v>194</v>
      </c>
      <c r="P240" s="1246"/>
      <c r="Q240" s="227">
        <v>1</v>
      </c>
      <c r="R240" s="239"/>
      <c r="S240" s="1054"/>
      <c r="T240" s="1"/>
      <c r="U240" s="1"/>
      <c r="V240" s="1"/>
      <c r="W240" s="1"/>
      <c r="X240" s="1"/>
      <c r="Y240" s="1"/>
      <c r="Z240" s="1"/>
      <c r="AA240" s="1"/>
      <c r="AB240" s="1"/>
      <c r="AC240" s="1"/>
      <c r="AD240" s="1"/>
      <c r="AE240" s="1"/>
      <c r="AF240" s="1"/>
    </row>
    <row r="241" spans="1:32" s="503" customFormat="1" ht="17.25" customHeight="1" x14ac:dyDescent="0.2">
      <c r="A241" s="398"/>
      <c r="B241" s="377"/>
      <c r="C241" s="81"/>
      <c r="D241" s="661" t="s">
        <v>21</v>
      </c>
      <c r="E241" s="661"/>
      <c r="F241" s="1747" t="s">
        <v>636</v>
      </c>
      <c r="G241" s="173"/>
      <c r="H241" s="137"/>
      <c r="I241" s="1273"/>
      <c r="J241" s="609" t="s">
        <v>15</v>
      </c>
      <c r="K241" s="612">
        <f>16-10</f>
        <v>6</v>
      </c>
      <c r="L241" s="141">
        <v>6</v>
      </c>
      <c r="M241" s="936"/>
      <c r="N241" s="70"/>
      <c r="O241" s="2015" t="s">
        <v>197</v>
      </c>
      <c r="P241" s="1246">
        <v>2</v>
      </c>
      <c r="Q241" s="227">
        <v>4</v>
      </c>
      <c r="R241" s="5"/>
      <c r="S241" s="287"/>
      <c r="T241" s="502"/>
      <c r="U241" s="502"/>
      <c r="V241" s="502"/>
      <c r="W241" s="502"/>
      <c r="X241" s="502"/>
      <c r="Y241" s="502"/>
      <c r="Z241" s="502"/>
      <c r="AA241" s="502"/>
      <c r="AB241" s="502"/>
      <c r="AC241" s="502"/>
      <c r="AD241" s="502"/>
      <c r="AE241" s="502"/>
      <c r="AF241" s="502"/>
    </row>
    <row r="242" spans="1:32" s="503" customFormat="1" ht="17.25" customHeight="1" x14ac:dyDescent="0.2">
      <c r="A242" s="398"/>
      <c r="B242" s="377"/>
      <c r="C242" s="81"/>
      <c r="D242" s="661"/>
      <c r="E242" s="661"/>
      <c r="F242" s="1748"/>
      <c r="G242" s="173"/>
      <c r="H242" s="137"/>
      <c r="I242" s="1273"/>
      <c r="J242" s="609" t="s">
        <v>98</v>
      </c>
      <c r="K242" s="612"/>
      <c r="L242" s="70">
        <v>6</v>
      </c>
      <c r="M242" s="936"/>
      <c r="N242" s="70"/>
      <c r="O242" s="2016"/>
      <c r="P242" s="1247"/>
      <c r="Q242" s="224"/>
      <c r="R242" s="596"/>
      <c r="S242" s="288"/>
      <c r="T242" s="502"/>
      <c r="U242" s="502"/>
      <c r="V242" s="502"/>
      <c r="W242" s="502"/>
      <c r="X242" s="502"/>
      <c r="Y242" s="502"/>
      <c r="Z242" s="502"/>
      <c r="AA242" s="502"/>
      <c r="AB242" s="502"/>
      <c r="AC242" s="502"/>
      <c r="AD242" s="502"/>
      <c r="AE242" s="502"/>
      <c r="AF242" s="502"/>
    </row>
    <row r="243" spans="1:32" s="503" customFormat="1" ht="20.25" customHeight="1" x14ac:dyDescent="0.2">
      <c r="A243" s="398"/>
      <c r="B243" s="377"/>
      <c r="C243" s="81"/>
      <c r="D243" s="661"/>
      <c r="E243" s="661"/>
      <c r="F243" s="1748"/>
      <c r="G243" s="173"/>
      <c r="H243" s="137"/>
      <c r="I243" s="1273"/>
      <c r="J243" s="80" t="s">
        <v>15</v>
      </c>
      <c r="K243" s="613"/>
      <c r="L243" s="284">
        <v>0.2</v>
      </c>
      <c r="M243" s="1250">
        <v>7.1</v>
      </c>
      <c r="N243" s="35"/>
      <c r="O243" s="1746" t="s">
        <v>262</v>
      </c>
      <c r="P243" s="924"/>
      <c r="Q243" s="918">
        <v>2</v>
      </c>
      <c r="R243" s="919">
        <v>2</v>
      </c>
      <c r="S243" s="1277"/>
      <c r="T243" s="502"/>
      <c r="U243" s="502"/>
      <c r="V243" s="502"/>
      <c r="W243" s="502"/>
      <c r="X243" s="502"/>
      <c r="Y243" s="502"/>
      <c r="Z243" s="502"/>
      <c r="AA243" s="502"/>
      <c r="AB243" s="502"/>
      <c r="AC243" s="502"/>
      <c r="AD243" s="502"/>
      <c r="AE243" s="502"/>
      <c r="AF243" s="502"/>
    </row>
    <row r="244" spans="1:32" s="503" customFormat="1" ht="20.25" customHeight="1" x14ac:dyDescent="0.2">
      <c r="A244" s="398"/>
      <c r="B244" s="377"/>
      <c r="C244" s="81"/>
      <c r="D244" s="661"/>
      <c r="E244" s="661"/>
      <c r="F244" s="1748"/>
      <c r="G244" s="173"/>
      <c r="H244" s="137"/>
      <c r="I244" s="1273"/>
      <c r="J244" s="609" t="s">
        <v>15</v>
      </c>
      <c r="K244" s="612"/>
      <c r="L244" s="284">
        <v>29</v>
      </c>
      <c r="M244" s="1250">
        <v>25.8</v>
      </c>
      <c r="N244" s="70"/>
      <c r="O244" s="1746"/>
      <c r="P244" s="242"/>
      <c r="Q244" s="8"/>
      <c r="R244" s="239"/>
      <c r="S244" s="1277"/>
      <c r="T244" s="502"/>
      <c r="U244" s="502"/>
      <c r="V244" s="502"/>
      <c r="W244" s="502"/>
      <c r="X244" s="502"/>
      <c r="Y244" s="502"/>
      <c r="Z244" s="502"/>
      <c r="AA244" s="502"/>
      <c r="AB244" s="502"/>
      <c r="AC244" s="502"/>
      <c r="AD244" s="502"/>
      <c r="AE244" s="502"/>
      <c r="AF244" s="502"/>
    </row>
    <row r="245" spans="1:32" ht="42.75" customHeight="1" x14ac:dyDescent="0.2">
      <c r="A245" s="398"/>
      <c r="B245" s="377"/>
      <c r="C245" s="81"/>
      <c r="D245" s="661"/>
      <c r="E245" s="661"/>
      <c r="F245" s="1241"/>
      <c r="G245" s="172"/>
      <c r="H245" s="137"/>
      <c r="I245" s="1273"/>
      <c r="J245" s="605" t="s">
        <v>3</v>
      </c>
      <c r="K245" s="614">
        <v>324</v>
      </c>
      <c r="L245" s="284">
        <v>143</v>
      </c>
      <c r="M245" s="1250">
        <v>127.7</v>
      </c>
      <c r="N245" s="70"/>
      <c r="O245" s="226" t="s">
        <v>631</v>
      </c>
      <c r="P245" s="19"/>
      <c r="Q245" s="221">
        <v>2</v>
      </c>
      <c r="R245" s="593">
        <v>2</v>
      </c>
      <c r="S245" s="505"/>
    </row>
    <row r="246" spans="1:32" ht="27" customHeight="1" x14ac:dyDescent="0.2">
      <c r="A246" s="398"/>
      <c r="B246" s="381"/>
      <c r="C246" s="81"/>
      <c r="D246" s="684" t="s">
        <v>22</v>
      </c>
      <c r="E246" s="684"/>
      <c r="F246" s="1747" t="s">
        <v>623</v>
      </c>
      <c r="G246" s="173"/>
      <c r="H246" s="2011">
        <v>6</v>
      </c>
      <c r="I246" s="2013" t="s">
        <v>246</v>
      </c>
      <c r="J246" s="938" t="s">
        <v>15</v>
      </c>
      <c r="K246" s="615">
        <v>23.5</v>
      </c>
      <c r="L246" s="939"/>
      <c r="M246" s="1249"/>
      <c r="N246" s="937"/>
      <c r="O246" s="2015" t="s">
        <v>53</v>
      </c>
      <c r="P246" s="2017">
        <v>1</v>
      </c>
      <c r="Q246" s="227"/>
      <c r="R246" s="5"/>
      <c r="S246" s="287"/>
    </row>
    <row r="247" spans="1:32" ht="27" customHeight="1" x14ac:dyDescent="0.2">
      <c r="A247" s="398"/>
      <c r="B247" s="506"/>
      <c r="C247" s="82"/>
      <c r="D247" s="662"/>
      <c r="E247" s="662"/>
      <c r="F247" s="1748"/>
      <c r="G247" s="173"/>
      <c r="H247" s="2012"/>
      <c r="I247" s="2014"/>
      <c r="J247" s="938" t="s">
        <v>98</v>
      </c>
      <c r="K247" s="615"/>
      <c r="L247" s="939">
        <v>5</v>
      </c>
      <c r="M247" s="1249"/>
      <c r="N247" s="937"/>
      <c r="O247" s="2016"/>
      <c r="P247" s="2018"/>
      <c r="Q247" s="222"/>
      <c r="R247" s="596"/>
      <c r="S247" s="1277"/>
    </row>
    <row r="248" spans="1:32" ht="30" customHeight="1" x14ac:dyDescent="0.2">
      <c r="A248" s="398"/>
      <c r="B248" s="506"/>
      <c r="C248" s="82"/>
      <c r="D248" s="662"/>
      <c r="E248" s="662"/>
      <c r="F248" s="1748"/>
      <c r="G248" s="173"/>
      <c r="H248" s="1243">
        <v>5</v>
      </c>
      <c r="I248" s="2013" t="s">
        <v>252</v>
      </c>
      <c r="J248" s="609" t="s">
        <v>15</v>
      </c>
      <c r="K248" s="940"/>
      <c r="L248" s="141">
        <v>237.1</v>
      </c>
      <c r="M248" s="936">
        <v>692.9</v>
      </c>
      <c r="N248" s="600"/>
      <c r="O248" s="2098" t="s">
        <v>263</v>
      </c>
      <c r="P248" s="1246"/>
      <c r="Q248" s="227">
        <v>30</v>
      </c>
      <c r="R248" s="56">
        <v>100</v>
      </c>
      <c r="S248" s="30"/>
    </row>
    <row r="249" spans="1:32" ht="14.25" customHeight="1" thickBot="1" x14ac:dyDescent="0.25">
      <c r="A249" s="398"/>
      <c r="B249" s="506"/>
      <c r="C249" s="82"/>
      <c r="D249" s="662"/>
      <c r="E249" s="662"/>
      <c r="F249" s="1749"/>
      <c r="G249" s="174"/>
      <c r="H249" s="501"/>
      <c r="I249" s="2032"/>
      <c r="J249" s="4" t="s">
        <v>16</v>
      </c>
      <c r="K249" s="187">
        <f>SUM(K236:K248)</f>
        <v>2566.2999999999997</v>
      </c>
      <c r="L249" s="66">
        <f>SUM(L236:L248)</f>
        <v>2630.1</v>
      </c>
      <c r="M249" s="111">
        <f>SUM(M236:M248)</f>
        <v>3003.4</v>
      </c>
      <c r="N249" s="269">
        <f t="shared" ref="N249" si="11">SUM(N236:N248)</f>
        <v>2119.9</v>
      </c>
      <c r="O249" s="1750"/>
      <c r="P249" s="925"/>
      <c r="Q249" s="216"/>
      <c r="R249" s="332"/>
      <c r="S249" s="483"/>
    </row>
    <row r="250" spans="1:32" s="508" customFormat="1" ht="14.25" customHeight="1" thickBot="1" x14ac:dyDescent="0.25">
      <c r="A250" s="507" t="s">
        <v>17</v>
      </c>
      <c r="B250" s="486" t="s">
        <v>21</v>
      </c>
      <c r="C250" s="1751" t="s">
        <v>20</v>
      </c>
      <c r="D250" s="1752"/>
      <c r="E250" s="1752"/>
      <c r="F250" s="1752"/>
      <c r="G250" s="1752"/>
      <c r="H250" s="1752"/>
      <c r="I250" s="1752"/>
      <c r="J250" s="1890"/>
      <c r="K250" s="862">
        <f>+K228+K233+K249+K231</f>
        <v>4938.2</v>
      </c>
      <c r="L250" s="805">
        <f>+L228+L233+L249+L231</f>
        <v>4950.0000000000009</v>
      </c>
      <c r="M250" s="807">
        <f>+M228+M233+M249+M231</f>
        <v>4939.3</v>
      </c>
      <c r="N250" s="843">
        <f>+N228+N233+N249+N231</f>
        <v>4017.8</v>
      </c>
      <c r="O250" s="443"/>
      <c r="P250" s="444"/>
      <c r="Q250" s="606"/>
      <c r="R250" s="606"/>
      <c r="S250" s="607"/>
    </row>
    <row r="251" spans="1:32" s="344" customFormat="1" ht="14.25" customHeight="1" thickBot="1" x14ac:dyDescent="0.25">
      <c r="A251" s="507" t="s">
        <v>17</v>
      </c>
      <c r="B251" s="1891" t="s">
        <v>6</v>
      </c>
      <c r="C251" s="1892"/>
      <c r="D251" s="1892"/>
      <c r="E251" s="1892"/>
      <c r="F251" s="1892"/>
      <c r="G251" s="1892"/>
      <c r="H251" s="1892"/>
      <c r="I251" s="1892"/>
      <c r="J251" s="1893"/>
      <c r="K251" s="863">
        <f>K250+K208+K185</f>
        <v>9066.7000000000007</v>
      </c>
      <c r="L251" s="864">
        <f>L250+L208+L185</f>
        <v>12079.500000000002</v>
      </c>
      <c r="M251" s="865">
        <f>M250+M208+M185</f>
        <v>14442</v>
      </c>
      <c r="N251" s="866">
        <f>N250+N208+N185</f>
        <v>12986.8</v>
      </c>
      <c r="O251" s="446"/>
      <c r="P251" s="340"/>
      <c r="Q251" s="340"/>
      <c r="R251" s="340"/>
      <c r="S251" s="341"/>
      <c r="V251" s="347"/>
      <c r="X251" s="347"/>
    </row>
    <row r="252" spans="1:32" s="344" customFormat="1" ht="14.25" customHeight="1" thickBot="1" x14ac:dyDescent="0.25">
      <c r="A252" s="509" t="s">
        <v>5</v>
      </c>
      <c r="B252" s="1753" t="s">
        <v>7</v>
      </c>
      <c r="C252" s="1754"/>
      <c r="D252" s="1754"/>
      <c r="E252" s="1754"/>
      <c r="F252" s="1754"/>
      <c r="G252" s="1754"/>
      <c r="H252" s="1754"/>
      <c r="I252" s="1754"/>
      <c r="J252" s="2110"/>
      <c r="K252" s="867">
        <f>K251+K110</f>
        <v>83448.800000000003</v>
      </c>
      <c r="L252" s="868">
        <f>L251+L110</f>
        <v>91184.1</v>
      </c>
      <c r="M252" s="869">
        <f>M251+M110</f>
        <v>94042.7</v>
      </c>
      <c r="N252" s="870">
        <f>N251+N110</f>
        <v>92171.200000000012</v>
      </c>
      <c r="O252" s="510"/>
      <c r="P252" s="511"/>
      <c r="Q252" s="511"/>
      <c r="R252" s="511"/>
      <c r="S252" s="512"/>
    </row>
    <row r="253" spans="1:32" s="344" customFormat="1" ht="23.25" customHeight="1" thickBot="1" x14ac:dyDescent="0.25">
      <c r="A253" s="2117" t="s">
        <v>0</v>
      </c>
      <c r="B253" s="2117"/>
      <c r="C253" s="2117"/>
      <c r="D253" s="2117"/>
      <c r="E253" s="2117"/>
      <c r="F253" s="2117"/>
      <c r="G253" s="2117"/>
      <c r="H253" s="2117"/>
      <c r="I253" s="2117"/>
      <c r="J253" s="2117"/>
      <c r="K253" s="2117"/>
      <c r="L253" s="2117"/>
      <c r="M253" s="2117"/>
      <c r="N253" s="2117"/>
      <c r="O253" s="2117"/>
      <c r="P253" s="2117"/>
      <c r="Q253" s="2117"/>
      <c r="R253" s="2117"/>
      <c r="S253" s="2117"/>
    </row>
    <row r="254" spans="1:32" s="344" customFormat="1" ht="59.25" customHeight="1" thickBot="1" x14ac:dyDescent="0.25">
      <c r="A254" s="1930" t="s">
        <v>1</v>
      </c>
      <c r="B254" s="1931"/>
      <c r="C254" s="1931"/>
      <c r="D254" s="1931"/>
      <c r="E254" s="1931"/>
      <c r="F254" s="1931"/>
      <c r="G254" s="1931"/>
      <c r="H254" s="1931"/>
      <c r="I254" s="1931"/>
      <c r="J254" s="1932"/>
      <c r="K254" s="328" t="s">
        <v>110</v>
      </c>
      <c r="L254" s="329" t="s">
        <v>703</v>
      </c>
      <c r="M254" s="642" t="s">
        <v>113</v>
      </c>
      <c r="N254" s="640" t="s">
        <v>265</v>
      </c>
      <c r="O254" s="89"/>
      <c r="P254" s="89"/>
      <c r="Q254" s="342"/>
      <c r="R254" s="342"/>
      <c r="S254" s="342"/>
      <c r="W254" s="347"/>
    </row>
    <row r="255" spans="1:32" s="344" customFormat="1" ht="13.5" customHeight="1" x14ac:dyDescent="0.2">
      <c r="A255" s="1924" t="s">
        <v>24</v>
      </c>
      <c r="B255" s="1925"/>
      <c r="C255" s="1925"/>
      <c r="D255" s="1925"/>
      <c r="E255" s="1925"/>
      <c r="F255" s="1925"/>
      <c r="G255" s="1925"/>
      <c r="H255" s="1925"/>
      <c r="I255" s="1925"/>
      <c r="J255" s="1975"/>
      <c r="K255" s="330">
        <f>SUM(K256:K263)</f>
        <v>82742.400000000009</v>
      </c>
      <c r="L255" s="639">
        <f t="shared" ref="L255:N255" si="12">SUM(L256:L263)</f>
        <v>90527.900000000009</v>
      </c>
      <c r="M255" s="643">
        <f t="shared" si="12"/>
        <v>93404.9</v>
      </c>
      <c r="N255" s="641">
        <f t="shared" si="12"/>
        <v>92171.199999999997</v>
      </c>
      <c r="O255" s="89"/>
      <c r="P255" s="89"/>
      <c r="Q255" s="342"/>
      <c r="R255" s="342"/>
      <c r="S255" s="342"/>
    </row>
    <row r="256" spans="1:32" s="344" customFormat="1" ht="14.25" customHeight="1" x14ac:dyDescent="0.2">
      <c r="A256" s="1937" t="s">
        <v>27</v>
      </c>
      <c r="B256" s="1938"/>
      <c r="C256" s="1938"/>
      <c r="D256" s="1938"/>
      <c r="E256" s="1938"/>
      <c r="F256" s="1938"/>
      <c r="G256" s="1938"/>
      <c r="H256" s="1938"/>
      <c r="I256" s="1938"/>
      <c r="J256" s="1971"/>
      <c r="K256" s="871">
        <f>SUMIF(J13:J248,"sb",K13:K248)</f>
        <v>37289.299999999996</v>
      </c>
      <c r="L256" s="96">
        <f>SUMIF(J13:J248,"sb",L13:L248)</f>
        <v>38914.1</v>
      </c>
      <c r="M256" s="117">
        <f>SUMIF(J13:J248,"sb",M13:M248)</f>
        <v>41997.299999999996</v>
      </c>
      <c r="N256" s="129">
        <f>SUMIF(J13:J248,"sb",N13:N248)</f>
        <v>40041.599999999999</v>
      </c>
      <c r="O256" s="163"/>
      <c r="P256" s="88"/>
      <c r="Q256" s="342"/>
      <c r="R256" s="342"/>
      <c r="S256" s="342"/>
    </row>
    <row r="257" spans="1:27" s="344" customFormat="1" ht="18" customHeight="1" x14ac:dyDescent="0.2">
      <c r="A257" s="1937" t="s">
        <v>99</v>
      </c>
      <c r="B257" s="1938"/>
      <c r="C257" s="1938"/>
      <c r="D257" s="1938"/>
      <c r="E257" s="1938"/>
      <c r="F257" s="1938"/>
      <c r="G257" s="1938"/>
      <c r="H257" s="1938"/>
      <c r="I257" s="1938"/>
      <c r="J257" s="1971"/>
      <c r="K257" s="196">
        <f>SUMIF(J13:J248,"sb(l)",K13:K248)</f>
        <v>637.9</v>
      </c>
      <c r="L257" s="196">
        <f>SUMIF(J13:J248,"sb(l)",L13:L248)</f>
        <v>603.69999999999993</v>
      </c>
      <c r="M257" s="162"/>
      <c r="N257" s="760"/>
      <c r="O257" s="88"/>
      <c r="P257" s="88"/>
      <c r="Q257" s="342"/>
      <c r="R257" s="342"/>
      <c r="S257" s="342"/>
    </row>
    <row r="258" spans="1:27" s="344" customFormat="1" ht="15.75" customHeight="1" x14ac:dyDescent="0.2">
      <c r="A258" s="1937" t="s">
        <v>32</v>
      </c>
      <c r="B258" s="1938"/>
      <c r="C258" s="1938"/>
      <c r="D258" s="1938"/>
      <c r="E258" s="1938"/>
      <c r="F258" s="1938"/>
      <c r="G258" s="1938"/>
      <c r="H258" s="1938"/>
      <c r="I258" s="1938"/>
      <c r="J258" s="1971"/>
      <c r="K258" s="871">
        <f>SUMIF(J13:J248,"sb(sp)",K13:K248)</f>
        <v>5540</v>
      </c>
      <c r="L258" s="96">
        <f>SUMIF(J13:J248,"sb(sp)",L13:L248)</f>
        <v>5544.9000000000005</v>
      </c>
      <c r="M258" s="117">
        <f>SUMIF(J13:J248,"sb(sp)",M13:M248)</f>
        <v>5544.9000000000005</v>
      </c>
      <c r="N258" s="129">
        <f>SUMIF(J13:J248,"sb(sp)",N13:N248)</f>
        <v>5544.9000000000005</v>
      </c>
      <c r="O258" s="88"/>
      <c r="P258" s="88"/>
      <c r="Q258" s="342"/>
      <c r="R258" s="342"/>
      <c r="S258" s="342"/>
    </row>
    <row r="259" spans="1:27" s="344" customFormat="1" ht="15.75" customHeight="1" x14ac:dyDescent="0.2">
      <c r="A259" s="1937" t="s">
        <v>215</v>
      </c>
      <c r="B259" s="1938"/>
      <c r="C259" s="1938"/>
      <c r="D259" s="1938"/>
      <c r="E259" s="1938"/>
      <c r="F259" s="1938"/>
      <c r="G259" s="1938"/>
      <c r="H259" s="1938"/>
      <c r="I259" s="1938"/>
      <c r="J259" s="1971"/>
      <c r="K259" s="871">
        <f>SUMIF(J13:J248,"sb(p)",K13:K248)</f>
        <v>0</v>
      </c>
      <c r="L259" s="96">
        <f>SUMIF(J13:J248,"sb(p)",L13:L248)</f>
        <v>2900</v>
      </c>
      <c r="M259" s="117">
        <f>SUMIF(J13:J248,"sb(p)",M13:M248)</f>
        <v>2986.5</v>
      </c>
      <c r="N259" s="129">
        <f>SUMIF(J13:J248,"sb(p)",N13:N248)</f>
        <v>4900</v>
      </c>
      <c r="O259" s="88"/>
      <c r="P259" s="88"/>
      <c r="Q259" s="342"/>
      <c r="R259" s="342"/>
      <c r="S259" s="342"/>
    </row>
    <row r="260" spans="1:27" s="344" customFormat="1" ht="15.75" customHeight="1" x14ac:dyDescent="0.2">
      <c r="A260" s="1937" t="s">
        <v>67</v>
      </c>
      <c r="B260" s="1938"/>
      <c r="C260" s="1938"/>
      <c r="D260" s="1938"/>
      <c r="E260" s="1938"/>
      <c r="F260" s="1938"/>
      <c r="G260" s="1938"/>
      <c r="H260" s="1938"/>
      <c r="I260" s="1938"/>
      <c r="J260" s="1971"/>
      <c r="K260" s="871">
        <f>SUMIF(J13:J248,"sb(spl)",K13:K248)</f>
        <v>593.70000000000005</v>
      </c>
      <c r="L260" s="96"/>
      <c r="M260" s="117"/>
      <c r="N260" s="129"/>
      <c r="O260" s="88"/>
      <c r="P260" s="88"/>
      <c r="Q260" s="342"/>
      <c r="R260" s="342"/>
      <c r="S260" s="342"/>
    </row>
    <row r="261" spans="1:27" s="344" customFormat="1" ht="15.75" customHeight="1" x14ac:dyDescent="0.2">
      <c r="A261" s="1937" t="s">
        <v>28</v>
      </c>
      <c r="B261" s="1938"/>
      <c r="C261" s="1938"/>
      <c r="D261" s="1938"/>
      <c r="E261" s="1938"/>
      <c r="F261" s="1938"/>
      <c r="G261" s="1938"/>
      <c r="H261" s="1938"/>
      <c r="I261" s="1938"/>
      <c r="J261" s="1971"/>
      <c r="K261" s="872">
        <f>SUMIF(J13:J248,"sb(vb)",K13:K248)</f>
        <v>37946.600000000006</v>
      </c>
      <c r="L261" s="97">
        <f>SUMIF(J13:J248,"sb(vb)",L13:L248)</f>
        <v>40730.400000000001</v>
      </c>
      <c r="M261" s="118">
        <f>SUMIF(J13:J248,"sb(vb)",M13:M248)</f>
        <v>40920.699999999997</v>
      </c>
      <c r="N261" s="154">
        <f>SUMIF(J13:J248,"sb(vb)",N13:N248)</f>
        <v>41031.5</v>
      </c>
      <c r="O261" s="88"/>
      <c r="P261" s="88"/>
      <c r="Q261" s="342"/>
      <c r="R261" s="342"/>
      <c r="S261" s="342"/>
    </row>
    <row r="262" spans="1:27" ht="30" customHeight="1" x14ac:dyDescent="0.2">
      <c r="A262" s="1937" t="s">
        <v>199</v>
      </c>
      <c r="B262" s="1938"/>
      <c r="C262" s="1938"/>
      <c r="D262" s="1938"/>
      <c r="E262" s="1938"/>
      <c r="F262" s="1938"/>
      <c r="G262" s="1938"/>
      <c r="H262" s="1938"/>
      <c r="I262" s="1938"/>
      <c r="J262" s="1971"/>
      <c r="K262" s="203">
        <f>SUMIF(J13:J248,"sb(esa)",K13:K248)</f>
        <v>43.3</v>
      </c>
      <c r="L262" s="203">
        <f>SUMIF(J13:J249,"sb(esa)",L13:L249)</f>
        <v>43.3</v>
      </c>
      <c r="M262" s="245">
        <f>SUMIF(J13:J249,"sb(esa)",M13:M249)</f>
        <v>7.7</v>
      </c>
      <c r="N262" s="873">
        <f>SUMIF(J13:J249,"sb(esa)",N13:N249)</f>
        <v>0</v>
      </c>
      <c r="O262" s="88"/>
      <c r="P262" s="88"/>
      <c r="Q262" s="342"/>
      <c r="R262" s="342"/>
      <c r="S262" s="342"/>
      <c r="T262" s="344"/>
      <c r="U262" s="344"/>
      <c r="V262" s="344"/>
      <c r="W262" s="344"/>
      <c r="X262" s="344"/>
      <c r="Y262" s="344"/>
      <c r="Z262" s="344"/>
      <c r="AA262" s="344"/>
    </row>
    <row r="263" spans="1:27" ht="19.5" customHeight="1" thickBot="1" x14ac:dyDescent="0.25">
      <c r="A263" s="2111" t="s">
        <v>102</v>
      </c>
      <c r="B263" s="2112"/>
      <c r="C263" s="2112"/>
      <c r="D263" s="2112"/>
      <c r="E263" s="2112"/>
      <c r="F263" s="2112"/>
      <c r="G263" s="2112"/>
      <c r="H263" s="2112"/>
      <c r="I263" s="2112"/>
      <c r="J263" s="2113"/>
      <c r="K263" s="874">
        <f>SUMIF(J13:J248,"sb(es)",K13:K248)</f>
        <v>691.6</v>
      </c>
      <c r="L263" s="99">
        <f>SUMIF(J13:J249,"sb(es)",L13:L249)</f>
        <v>1791.5000000000002</v>
      </c>
      <c r="M263" s="119">
        <f>SUMIF(J13:J249,"sb(es)",M13:M249)</f>
        <v>1947.8</v>
      </c>
      <c r="N263" s="156">
        <f>SUMIF(J13:J249,"sb(es)",N13:N249)</f>
        <v>653.20000000000005</v>
      </c>
      <c r="O263" s="88"/>
      <c r="P263" s="88"/>
      <c r="Q263" s="342"/>
      <c r="R263" s="342"/>
      <c r="S263" s="342"/>
      <c r="T263" s="344"/>
      <c r="U263" s="344"/>
      <c r="V263" s="344"/>
      <c r="W263" s="344"/>
      <c r="X263" s="344"/>
      <c r="Y263" s="344"/>
      <c r="Z263" s="344"/>
      <c r="AA263" s="344"/>
    </row>
    <row r="264" spans="1:27" ht="17.25" customHeight="1" thickBot="1" x14ac:dyDescent="0.25">
      <c r="A264" s="1973" t="s">
        <v>25</v>
      </c>
      <c r="B264" s="1754"/>
      <c r="C264" s="1754"/>
      <c r="D264" s="1754"/>
      <c r="E264" s="1754"/>
      <c r="F264" s="1754"/>
      <c r="G264" s="1754"/>
      <c r="H264" s="1754"/>
      <c r="I264" s="1754"/>
      <c r="J264" s="1974"/>
      <c r="K264" s="875">
        <f>SUM(K265:K266)</f>
        <v>706.4</v>
      </c>
      <c r="L264" s="234">
        <f>SUM(L265:L266)</f>
        <v>656.2</v>
      </c>
      <c r="M264" s="235">
        <f>SUM(M265:M266)</f>
        <v>637.79999999999995</v>
      </c>
      <c r="N264" s="876">
        <f>SUM(N265:N266)</f>
        <v>0</v>
      </c>
      <c r="O264" s="89"/>
      <c r="P264" s="89"/>
      <c r="Q264" s="342"/>
      <c r="R264" s="342"/>
      <c r="S264" s="342"/>
      <c r="T264" s="344"/>
      <c r="U264" s="344"/>
      <c r="V264" s="344"/>
      <c r="W264" s="344"/>
      <c r="X264" s="344"/>
      <c r="Z264" s="344"/>
      <c r="AA264" s="344"/>
    </row>
    <row r="265" spans="1:27" ht="15" customHeight="1" x14ac:dyDescent="0.2">
      <c r="A265" s="2114" t="s">
        <v>29</v>
      </c>
      <c r="B265" s="2115"/>
      <c r="C265" s="2115"/>
      <c r="D265" s="2115"/>
      <c r="E265" s="2115"/>
      <c r="F265" s="2115"/>
      <c r="G265" s="2115"/>
      <c r="H265" s="2115"/>
      <c r="I265" s="2115"/>
      <c r="J265" s="2116"/>
      <c r="K265" s="158">
        <f>SUMIF(J13:J248,"es",K13:K248)</f>
        <v>297.5</v>
      </c>
      <c r="L265" s="98">
        <f>SUMIF(J13:J248,"es",L13:L248)</f>
        <v>509.4</v>
      </c>
      <c r="M265" s="254">
        <f>SUMIF(J13:J248,"es",M13:M248)</f>
        <v>509.4</v>
      </c>
      <c r="N265" s="155"/>
      <c r="O265" s="88"/>
      <c r="P265" s="88"/>
      <c r="Q265" s="342"/>
      <c r="R265" s="342"/>
      <c r="S265" s="342"/>
    </row>
    <row r="266" spans="1:27" ht="15" customHeight="1" thickBot="1" x14ac:dyDescent="0.25">
      <c r="A266" s="1794" t="s">
        <v>105</v>
      </c>
      <c r="B266" s="1795"/>
      <c r="C266" s="1795"/>
      <c r="D266" s="1795"/>
      <c r="E266" s="1795"/>
      <c r="F266" s="1795"/>
      <c r="G266" s="1795"/>
      <c r="H266" s="1795"/>
      <c r="I266" s="1795"/>
      <c r="J266" s="1959"/>
      <c r="K266" s="98">
        <f>SUMIF(J13:J248,"lrvb",K13:K248)</f>
        <v>408.9</v>
      </c>
      <c r="L266" s="98">
        <f>SUMIF(J13:J248,"lrvb",L13:L248)</f>
        <v>146.80000000000001</v>
      </c>
      <c r="M266" s="132">
        <f>SUMIF(J13:J248,"lrvb",M13:M248)</f>
        <v>128.4</v>
      </c>
      <c r="N266" s="155"/>
      <c r="O266" s="88"/>
      <c r="P266" s="88"/>
      <c r="Q266" s="342"/>
      <c r="R266" s="342"/>
      <c r="S266" s="342"/>
    </row>
    <row r="267" spans="1:27" ht="16.5" customHeight="1" thickBot="1" x14ac:dyDescent="0.25">
      <c r="A267" s="1756" t="s">
        <v>26</v>
      </c>
      <c r="B267" s="1757"/>
      <c r="C267" s="1757"/>
      <c r="D267" s="1757"/>
      <c r="E267" s="1757"/>
      <c r="F267" s="1757"/>
      <c r="G267" s="1757"/>
      <c r="H267" s="1757"/>
      <c r="I267" s="1757"/>
      <c r="J267" s="1961"/>
      <c r="K267" s="877">
        <f>K264+K255</f>
        <v>83448.800000000003</v>
      </c>
      <c r="L267" s="100">
        <f t="shared" ref="L267:N267" si="13">L264+L255</f>
        <v>91184.1</v>
      </c>
      <c r="M267" s="120">
        <f t="shared" si="13"/>
        <v>94042.7</v>
      </c>
      <c r="N267" s="157">
        <f t="shared" si="13"/>
        <v>92171.199999999997</v>
      </c>
      <c r="O267" s="89"/>
      <c r="P267" s="89"/>
    </row>
    <row r="269" spans="1:27" x14ac:dyDescent="0.2">
      <c r="F269" s="347"/>
      <c r="G269" s="1242"/>
      <c r="H269" s="1242"/>
      <c r="I269" s="457"/>
      <c r="J269" s="457"/>
      <c r="K269" s="504"/>
      <c r="L269" s="504"/>
      <c r="M269" s="504"/>
      <c r="N269" s="504"/>
    </row>
    <row r="270" spans="1:27" ht="12.75" customHeight="1" x14ac:dyDescent="0.2">
      <c r="A270" s="1758" t="s">
        <v>216</v>
      </c>
      <c r="B270" s="1758"/>
      <c r="C270" s="1758"/>
      <c r="D270" s="1758"/>
      <c r="E270" s="1758"/>
      <c r="F270" s="1758"/>
      <c r="G270" s="1758"/>
      <c r="H270" s="1758"/>
      <c r="I270" s="1758"/>
      <c r="J270" s="1758"/>
      <c r="K270" s="1758"/>
      <c r="L270" s="1758"/>
      <c r="M270" s="1758"/>
      <c r="N270" s="1758"/>
      <c r="O270" s="1758"/>
      <c r="P270" s="1758"/>
      <c r="Q270" s="1758"/>
      <c r="R270" s="1758"/>
      <c r="S270" s="1758"/>
    </row>
    <row r="271" spans="1:27" x14ac:dyDescent="0.2">
      <c r="F271" s="347"/>
      <c r="G271" s="1242"/>
      <c r="H271" s="1242"/>
      <c r="I271" s="457"/>
      <c r="J271" s="457"/>
      <c r="K271" s="504"/>
      <c r="L271" s="504"/>
      <c r="M271" s="504"/>
      <c r="N271" s="504"/>
    </row>
    <row r="272" spans="1:27" x14ac:dyDescent="0.2">
      <c r="F272" s="347"/>
      <c r="G272" s="1242"/>
      <c r="H272" s="1242"/>
      <c r="I272" s="457"/>
      <c r="J272" s="457"/>
      <c r="K272" s="504"/>
      <c r="L272" s="504"/>
      <c r="M272" s="504"/>
      <c r="N272" s="504"/>
    </row>
    <row r="273" spans="1:16" x14ac:dyDescent="0.2">
      <c r="F273" s="347"/>
      <c r="G273" s="1242"/>
      <c r="H273" s="1242"/>
      <c r="I273" s="457"/>
      <c r="J273" s="457"/>
      <c r="K273" s="504"/>
      <c r="L273" s="504"/>
      <c r="M273" s="504"/>
      <c r="N273" s="504"/>
    </row>
    <row r="274" spans="1:16" x14ac:dyDescent="0.2">
      <c r="F274" s="347"/>
      <c r="G274" s="1242"/>
      <c r="H274" s="1242"/>
      <c r="I274" s="457"/>
      <c r="J274" s="457"/>
      <c r="K274" s="504"/>
      <c r="L274" s="504"/>
      <c r="M274" s="504"/>
      <c r="N274" s="504"/>
    </row>
    <row r="275" spans="1:16" x14ac:dyDescent="0.2">
      <c r="F275" s="347"/>
      <c r="G275" s="1242"/>
      <c r="H275" s="1242"/>
      <c r="I275" s="457"/>
      <c r="J275" s="457"/>
      <c r="K275" s="504"/>
      <c r="L275" s="504"/>
      <c r="M275" s="504"/>
      <c r="N275" s="504"/>
    </row>
    <row r="276" spans="1:16" x14ac:dyDescent="0.2">
      <c r="F276" s="347"/>
      <c r="G276" s="1242"/>
      <c r="H276" s="1242"/>
      <c r="I276" s="457"/>
      <c r="J276" s="457"/>
      <c r="K276" s="504"/>
      <c r="L276" s="504"/>
      <c r="M276" s="504"/>
      <c r="N276" s="504"/>
    </row>
    <row r="277" spans="1:16" x14ac:dyDescent="0.2">
      <c r="F277" s="347"/>
      <c r="G277" s="1242"/>
      <c r="H277" s="1242"/>
      <c r="I277" s="457"/>
      <c r="J277" s="457"/>
      <c r="K277" s="504"/>
      <c r="L277" s="504"/>
      <c r="M277" s="504"/>
      <c r="N277" s="504"/>
    </row>
    <row r="278" spans="1:16" x14ac:dyDescent="0.2">
      <c r="F278" s="347"/>
      <c r="G278" s="1242"/>
      <c r="H278" s="1242"/>
      <c r="I278" s="457"/>
      <c r="J278" s="457"/>
      <c r="K278" s="504"/>
      <c r="L278" s="504"/>
      <c r="M278" s="504"/>
      <c r="N278" s="504"/>
    </row>
    <row r="279" spans="1:16" x14ac:dyDescent="0.2">
      <c r="F279" s="347"/>
      <c r="G279" s="1242"/>
      <c r="H279" s="1242"/>
      <c r="I279" s="457"/>
      <c r="J279" s="457"/>
      <c r="K279" s="504"/>
      <c r="L279" s="504"/>
      <c r="M279" s="504"/>
      <c r="N279" s="504"/>
    </row>
    <row r="280" spans="1:16" x14ac:dyDescent="0.2">
      <c r="A280" s="467"/>
      <c r="B280" s="467"/>
      <c r="C280" s="467"/>
      <c r="D280" s="654"/>
      <c r="E280" s="677"/>
      <c r="F280" s="347"/>
      <c r="G280" s="1242"/>
      <c r="H280" s="1242"/>
      <c r="I280" s="457"/>
      <c r="J280" s="457"/>
      <c r="K280" s="504"/>
      <c r="L280" s="504"/>
      <c r="M280" s="504"/>
      <c r="N280" s="504"/>
      <c r="O280" s="347"/>
      <c r="P280" s="1242"/>
    </row>
    <row r="281" spans="1:16" x14ac:dyDescent="0.2">
      <c r="A281" s="467"/>
      <c r="B281" s="467"/>
      <c r="C281" s="467"/>
      <c r="D281" s="654"/>
      <c r="E281" s="677"/>
      <c r="F281" s="347"/>
      <c r="G281" s="1242"/>
      <c r="H281" s="1242"/>
      <c r="I281" s="457"/>
      <c r="J281" s="457"/>
      <c r="K281" s="504"/>
      <c r="L281" s="504"/>
      <c r="M281" s="504"/>
      <c r="N281" s="504"/>
      <c r="O281" s="347"/>
      <c r="P281" s="1242"/>
    </row>
    <row r="282" spans="1:16" x14ac:dyDescent="0.2">
      <c r="A282" s="467"/>
      <c r="B282" s="467"/>
      <c r="C282" s="467"/>
      <c r="D282" s="654"/>
      <c r="E282" s="677"/>
      <c r="F282" s="347"/>
      <c r="G282" s="1242"/>
      <c r="H282" s="1242"/>
      <c r="I282" s="457"/>
      <c r="J282" s="457"/>
      <c r="K282" s="504"/>
      <c r="L282" s="504"/>
      <c r="M282" s="504"/>
      <c r="N282" s="504"/>
      <c r="O282" s="347"/>
      <c r="P282" s="1242"/>
    </row>
    <row r="283" spans="1:16" x14ac:dyDescent="0.2">
      <c r="A283" s="467"/>
      <c r="B283" s="467"/>
      <c r="C283" s="467"/>
      <c r="D283" s="654"/>
      <c r="E283" s="677"/>
      <c r="F283" s="347"/>
      <c r="G283" s="1242"/>
      <c r="H283" s="1242"/>
      <c r="I283" s="457"/>
      <c r="J283" s="457"/>
      <c r="K283" s="504"/>
      <c r="L283" s="504"/>
      <c r="M283" s="504"/>
      <c r="N283" s="504"/>
      <c r="O283" s="347"/>
      <c r="P283" s="1242"/>
    </row>
    <row r="284" spans="1:16" x14ac:dyDescent="0.2">
      <c r="A284" s="467"/>
      <c r="B284" s="467"/>
      <c r="C284" s="467"/>
      <c r="D284" s="654"/>
      <c r="E284" s="677"/>
      <c r="F284" s="347"/>
      <c r="G284" s="1242"/>
      <c r="H284" s="1242"/>
      <c r="I284" s="457"/>
      <c r="J284" s="457"/>
      <c r="K284" s="504"/>
      <c r="L284" s="504"/>
      <c r="M284" s="504"/>
      <c r="N284" s="504"/>
      <c r="O284" s="347"/>
      <c r="P284" s="1242"/>
    </row>
    <row r="285" spans="1:16" x14ac:dyDescent="0.2">
      <c r="A285" s="467"/>
      <c r="B285" s="467"/>
      <c r="C285" s="467"/>
      <c r="D285" s="654"/>
      <c r="E285" s="677"/>
      <c r="F285" s="347"/>
      <c r="G285" s="1242"/>
      <c r="H285" s="1242"/>
      <c r="I285" s="457"/>
      <c r="J285" s="457"/>
      <c r="K285" s="504"/>
      <c r="L285" s="504"/>
      <c r="M285" s="504"/>
      <c r="N285" s="504"/>
      <c r="O285" s="347"/>
      <c r="P285" s="1242"/>
    </row>
    <row r="286" spans="1:16" x14ac:dyDescent="0.2">
      <c r="A286" s="467"/>
      <c r="B286" s="467"/>
      <c r="C286" s="467"/>
      <c r="D286" s="654"/>
      <c r="E286" s="677"/>
      <c r="F286" s="347"/>
      <c r="G286" s="1242"/>
      <c r="H286" s="1242"/>
      <c r="I286" s="457"/>
      <c r="J286" s="457"/>
      <c r="K286" s="504"/>
      <c r="L286" s="504"/>
      <c r="M286" s="504"/>
      <c r="N286" s="504"/>
      <c r="O286" s="347"/>
      <c r="P286" s="1242"/>
    </row>
    <row r="287" spans="1:16" x14ac:dyDescent="0.2">
      <c r="A287" s="467"/>
      <c r="B287" s="467"/>
      <c r="C287" s="467"/>
      <c r="D287" s="654"/>
      <c r="E287" s="677"/>
      <c r="F287" s="347"/>
      <c r="G287" s="1242"/>
      <c r="H287" s="1242"/>
      <c r="I287" s="457"/>
      <c r="J287" s="457"/>
      <c r="K287" s="504"/>
      <c r="L287" s="504"/>
      <c r="M287" s="504"/>
      <c r="N287" s="504"/>
      <c r="O287" s="347"/>
      <c r="P287" s="1242"/>
    </row>
    <row r="288" spans="1:16" x14ac:dyDescent="0.2">
      <c r="A288" s="467"/>
      <c r="B288" s="467"/>
      <c r="C288" s="467"/>
      <c r="D288" s="654"/>
      <c r="E288" s="677"/>
      <c r="F288" s="347"/>
      <c r="G288" s="1242"/>
      <c r="H288" s="1242"/>
      <c r="I288" s="457"/>
      <c r="J288" s="457"/>
      <c r="K288" s="504"/>
      <c r="L288" s="504"/>
      <c r="M288" s="504"/>
      <c r="N288" s="504"/>
      <c r="O288" s="347"/>
      <c r="P288" s="1242"/>
    </row>
    <row r="289" spans="1:16" x14ac:dyDescent="0.2">
      <c r="A289" s="467"/>
      <c r="B289" s="467"/>
      <c r="C289" s="467"/>
      <c r="D289" s="654"/>
      <c r="E289" s="677"/>
      <c r="F289" s="347"/>
      <c r="G289" s="1242"/>
      <c r="H289" s="1242"/>
      <c r="I289" s="457"/>
      <c r="J289" s="457"/>
      <c r="K289" s="504"/>
      <c r="L289" s="504"/>
      <c r="M289" s="504"/>
      <c r="N289" s="504"/>
      <c r="O289" s="347"/>
      <c r="P289" s="1242"/>
    </row>
    <row r="290" spans="1:16" x14ac:dyDescent="0.2">
      <c r="A290" s="467"/>
      <c r="B290" s="467"/>
      <c r="C290" s="467"/>
      <c r="D290" s="654"/>
      <c r="E290" s="677"/>
      <c r="F290" s="347"/>
      <c r="G290" s="1242"/>
      <c r="H290" s="1242"/>
      <c r="I290" s="457"/>
      <c r="J290" s="457"/>
      <c r="K290" s="504"/>
      <c r="L290" s="504"/>
      <c r="M290" s="504"/>
      <c r="N290" s="504"/>
      <c r="O290" s="347"/>
      <c r="P290" s="1242"/>
    </row>
    <row r="291" spans="1:16" x14ac:dyDescent="0.2">
      <c r="A291" s="467"/>
      <c r="B291" s="467"/>
      <c r="C291" s="467"/>
      <c r="D291" s="654"/>
      <c r="E291" s="677"/>
      <c r="F291" s="347"/>
      <c r="G291" s="1242"/>
      <c r="H291" s="1242"/>
      <c r="I291" s="457"/>
      <c r="J291" s="457"/>
      <c r="K291" s="504"/>
      <c r="L291" s="504"/>
      <c r="M291" s="504"/>
      <c r="N291" s="504"/>
      <c r="O291" s="347"/>
      <c r="P291" s="1242"/>
    </row>
    <row r="292" spans="1:16" x14ac:dyDescent="0.2">
      <c r="A292" s="467"/>
      <c r="B292" s="467"/>
      <c r="C292" s="467"/>
      <c r="D292" s="654"/>
      <c r="E292" s="677"/>
      <c r="F292" s="347"/>
      <c r="G292" s="1242"/>
      <c r="H292" s="1242"/>
      <c r="I292" s="457"/>
      <c r="J292" s="457"/>
      <c r="K292" s="504"/>
      <c r="L292" s="504"/>
      <c r="M292" s="504"/>
      <c r="N292" s="504"/>
      <c r="O292" s="347"/>
      <c r="P292" s="1242"/>
    </row>
  </sheetData>
  <mergeCells count="214">
    <mergeCell ref="A257:J257"/>
    <mergeCell ref="J179:J180"/>
    <mergeCell ref="F187:F188"/>
    <mergeCell ref="I189:I190"/>
    <mergeCell ref="F176:F177"/>
    <mergeCell ref="I176:I178"/>
    <mergeCell ref="C185:J185"/>
    <mergeCell ref="C186:S186"/>
    <mergeCell ref="A267:J267"/>
    <mergeCell ref="C250:J250"/>
    <mergeCell ref="B251:J251"/>
    <mergeCell ref="B252:J252"/>
    <mergeCell ref="A258:J258"/>
    <mergeCell ref="A259:J259"/>
    <mergeCell ref="A260:J260"/>
    <mergeCell ref="A261:J261"/>
    <mergeCell ref="A262:J262"/>
    <mergeCell ref="A263:J263"/>
    <mergeCell ref="A264:J264"/>
    <mergeCell ref="A265:J265"/>
    <mergeCell ref="A266:J266"/>
    <mergeCell ref="A253:S253"/>
    <mergeCell ref="A254:J254"/>
    <mergeCell ref="A255:J255"/>
    <mergeCell ref="A256:J256"/>
    <mergeCell ref="O248:O249"/>
    <mergeCell ref="O241:O242"/>
    <mergeCell ref="I248:I249"/>
    <mergeCell ref="M192:M193"/>
    <mergeCell ref="N192:N193"/>
    <mergeCell ref="F203:F204"/>
    <mergeCell ref="F206:F207"/>
    <mergeCell ref="C208:J208"/>
    <mergeCell ref="C209:S209"/>
    <mergeCell ref="F197:F198"/>
    <mergeCell ref="L200:L201"/>
    <mergeCell ref="F200:F201"/>
    <mergeCell ref="F225:F226"/>
    <mergeCell ref="F227:F228"/>
    <mergeCell ref="F210:F211"/>
    <mergeCell ref="I210:I212"/>
    <mergeCell ref="F192:F193"/>
    <mergeCell ref="J192:J193"/>
    <mergeCell ref="F232:F233"/>
    <mergeCell ref="I196:I198"/>
    <mergeCell ref="I232:I233"/>
    <mergeCell ref="F246:F249"/>
    <mergeCell ref="G225:G226"/>
    <mergeCell ref="O1:S1"/>
    <mergeCell ref="G69:G70"/>
    <mergeCell ref="G151:J151"/>
    <mergeCell ref="F152:F153"/>
    <mergeCell ref="F156:F158"/>
    <mergeCell ref="G165:J165"/>
    <mergeCell ref="G174:J174"/>
    <mergeCell ref="F166:F167"/>
    <mergeCell ref="F168:F170"/>
    <mergeCell ref="O172:O174"/>
    <mergeCell ref="F171:F172"/>
    <mergeCell ref="I141:I142"/>
    <mergeCell ref="F145:F146"/>
    <mergeCell ref="F69:F70"/>
    <mergeCell ref="F79:F80"/>
    <mergeCell ref="F93:F94"/>
    <mergeCell ref="I171:I172"/>
    <mergeCell ref="I152:I153"/>
    <mergeCell ref="I159:I160"/>
    <mergeCell ref="I166:I167"/>
    <mergeCell ref="I168:I169"/>
    <mergeCell ref="A9:S9"/>
    <mergeCell ref="A10:S10"/>
    <mergeCell ref="B11:S11"/>
    <mergeCell ref="X174:X175"/>
    <mergeCell ref="F107:F108"/>
    <mergeCell ref="C109:J109"/>
    <mergeCell ref="F129:F131"/>
    <mergeCell ref="B110:J110"/>
    <mergeCell ref="B111:S111"/>
    <mergeCell ref="I116:I118"/>
    <mergeCell ref="F119:F122"/>
    <mergeCell ref="O119:O120"/>
    <mergeCell ref="O121:O122"/>
    <mergeCell ref="O123:O124"/>
    <mergeCell ref="F123:F125"/>
    <mergeCell ref="F132:F134"/>
    <mergeCell ref="F126:F128"/>
    <mergeCell ref="F116:F118"/>
    <mergeCell ref="B113:B115"/>
    <mergeCell ref="C113:C115"/>
    <mergeCell ref="F160:F161"/>
    <mergeCell ref="F113:F115"/>
    <mergeCell ref="G113:G115"/>
    <mergeCell ref="O162:O163"/>
    <mergeCell ref="F162:F163"/>
    <mergeCell ref="C112:S112"/>
    <mergeCell ref="X165:X166"/>
    <mergeCell ref="C12:S12"/>
    <mergeCell ref="F24:F28"/>
    <mergeCell ref="F31:F32"/>
    <mergeCell ref="O33:O34"/>
    <mergeCell ref="O86:O87"/>
    <mergeCell ref="S86:S87"/>
    <mergeCell ref="F33:F34"/>
    <mergeCell ref="F14:F17"/>
    <mergeCell ref="F18:F20"/>
    <mergeCell ref="F21:F23"/>
    <mergeCell ref="F35:F36"/>
    <mergeCell ref="G83:J83"/>
    <mergeCell ref="F29:F30"/>
    <mergeCell ref="A2:S2"/>
    <mergeCell ref="A3:S3"/>
    <mergeCell ref="A4:S4"/>
    <mergeCell ref="A6:A8"/>
    <mergeCell ref="B6:B8"/>
    <mergeCell ref="C6:C8"/>
    <mergeCell ref="F6:F8"/>
    <mergeCell ref="G6:G8"/>
    <mergeCell ref="H6:H8"/>
    <mergeCell ref="N6:N8"/>
    <mergeCell ref="O6:S6"/>
    <mergeCell ref="K6:K8"/>
    <mergeCell ref="J6:J8"/>
    <mergeCell ref="L6:L8"/>
    <mergeCell ref="R5:S5"/>
    <mergeCell ref="M6:M8"/>
    <mergeCell ref="P7:S7"/>
    <mergeCell ref="D6:D8"/>
    <mergeCell ref="E6:E8"/>
    <mergeCell ref="I6:I8"/>
    <mergeCell ref="O7:O8"/>
    <mergeCell ref="A270:S270"/>
    <mergeCell ref="I135:I137"/>
    <mergeCell ref="T129:U129"/>
    <mergeCell ref="I123:I125"/>
    <mergeCell ref="F66:F67"/>
    <mergeCell ref="I97:I98"/>
    <mergeCell ref="O113:O115"/>
    <mergeCell ref="P236:P237"/>
    <mergeCell ref="Q236:Q237"/>
    <mergeCell ref="R236:R237"/>
    <mergeCell ref="S236:S237"/>
    <mergeCell ref="Q86:Q87"/>
    <mergeCell ref="R86:R87"/>
    <mergeCell ref="L86:L87"/>
    <mergeCell ref="F105:F106"/>
    <mergeCell ref="F103:F104"/>
    <mergeCell ref="I95:I96"/>
    <mergeCell ref="F97:F98"/>
    <mergeCell ref="F234:F235"/>
    <mergeCell ref="I234:I238"/>
    <mergeCell ref="O236:O237"/>
    <mergeCell ref="S101:S102"/>
    <mergeCell ref="O100:O102"/>
    <mergeCell ref="F99:F101"/>
    <mergeCell ref="F90:F91"/>
    <mergeCell ref="H194:H195"/>
    <mergeCell ref="I194:I195"/>
    <mergeCell ref="F194:F195"/>
    <mergeCell ref="W38:W40"/>
    <mergeCell ref="F135:F136"/>
    <mergeCell ref="V38:V40"/>
    <mergeCell ref="T123:U123"/>
    <mergeCell ref="U38:U40"/>
    <mergeCell ref="F48:F50"/>
    <mergeCell ref="F45:F47"/>
    <mergeCell ref="F37:F44"/>
    <mergeCell ref="F57:F58"/>
    <mergeCell ref="F51:F53"/>
    <mergeCell ref="F59:F61"/>
    <mergeCell ref="I107:I108"/>
    <mergeCell ref="I105:I106"/>
    <mergeCell ref="I103:I104"/>
    <mergeCell ref="K179:K180"/>
    <mergeCell ref="L179:L180"/>
    <mergeCell ref="F137:F138"/>
    <mergeCell ref="F139:F140"/>
    <mergeCell ref="F147:F148"/>
    <mergeCell ref="F143:F144"/>
    <mergeCell ref="A113:A115"/>
    <mergeCell ref="M179:M180"/>
    <mergeCell ref="O218:O220"/>
    <mergeCell ref="O132:O133"/>
    <mergeCell ref="O229:O231"/>
    <mergeCell ref="F229:F231"/>
    <mergeCell ref="O164:O165"/>
    <mergeCell ref="F141:F142"/>
    <mergeCell ref="F149:F151"/>
    <mergeCell ref="I162:I164"/>
    <mergeCell ref="I114:I115"/>
    <mergeCell ref="I156:I157"/>
    <mergeCell ref="I119:I122"/>
    <mergeCell ref="I132:I134"/>
    <mergeCell ref="I143:I144"/>
    <mergeCell ref="F154:F155"/>
    <mergeCell ref="I154:I155"/>
    <mergeCell ref="N179:N180"/>
    <mergeCell ref="G184:J184"/>
    <mergeCell ref="F183:F184"/>
    <mergeCell ref="F190:F191"/>
    <mergeCell ref="F179:F180"/>
    <mergeCell ref="I187:I188"/>
    <mergeCell ref="H246:H247"/>
    <mergeCell ref="I246:I247"/>
    <mergeCell ref="O246:O247"/>
    <mergeCell ref="P246:P247"/>
    <mergeCell ref="A229:A231"/>
    <mergeCell ref="B229:B231"/>
    <mergeCell ref="G229:G231"/>
    <mergeCell ref="H229:H231"/>
    <mergeCell ref="I229:I230"/>
    <mergeCell ref="O243:O244"/>
    <mergeCell ref="F236:F237"/>
    <mergeCell ref="F238:F239"/>
    <mergeCell ref="F241:F244"/>
  </mergeCells>
  <printOptions horizontalCentered="1"/>
  <pageMargins left="0.51181102362204722" right="0.11811023622047245" top="0.35433070866141736" bottom="0.35433070866141736" header="0.31496062992125984" footer="0.31496062992125984"/>
  <pageSetup paperSize="9" scale="62" orientation="portrait" r:id="rId1"/>
  <rowBreaks count="4" manualBreakCount="4">
    <brk id="62" max="18" man="1"/>
    <brk id="106" max="18" man="1"/>
    <brk id="158" max="18" man="1"/>
    <brk id="252" max="1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7" sqref="L36:L37"/>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8" sqref="L38"/>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1" sqref="K11"/>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14" sqref="C14"/>
    </sheetView>
  </sheetViews>
  <sheetFormatPr defaultRowHeight="12.75" x14ac:dyDescent="0.2"/>
  <cols>
    <col min="2" max="2" width="28.85546875" customWidth="1"/>
    <col min="3" max="3" width="24.28515625" customWidth="1"/>
    <col min="4" max="4" width="21.28515625" customWidth="1"/>
    <col min="5" max="5" width="13.85546875" customWidth="1"/>
  </cols>
  <sheetData>
    <row r="1" spans="1:5" ht="16.5" thickBot="1" x14ac:dyDescent="0.25">
      <c r="A1" s="2118" t="s">
        <v>640</v>
      </c>
      <c r="B1" s="2118"/>
      <c r="C1" s="2118"/>
      <c r="D1" s="2118"/>
      <c r="E1" s="2118"/>
    </row>
    <row r="2" spans="1:5" ht="32.25" thickBot="1" x14ac:dyDescent="0.25">
      <c r="A2" s="1286" t="s">
        <v>285</v>
      </c>
      <c r="B2" s="1287" t="s">
        <v>641</v>
      </c>
      <c r="C2" s="1287" t="s">
        <v>642</v>
      </c>
      <c r="D2" s="1287" t="s">
        <v>643</v>
      </c>
      <c r="E2" s="1287" t="s">
        <v>644</v>
      </c>
    </row>
    <row r="3" spans="1:5" ht="16.5" customHeight="1" thickBot="1" x14ac:dyDescent="0.25">
      <c r="A3" s="2119" t="s">
        <v>645</v>
      </c>
      <c r="B3" s="2120"/>
      <c r="C3" s="2120"/>
      <c r="D3" s="2120"/>
      <c r="E3" s="2120"/>
    </row>
    <row r="4" spans="1:5" ht="31.5" customHeight="1" x14ac:dyDescent="0.2">
      <c r="A4" s="2121" t="s">
        <v>646</v>
      </c>
      <c r="B4" s="2123" t="s">
        <v>647</v>
      </c>
      <c r="C4" s="2125" t="s">
        <v>648</v>
      </c>
      <c r="D4" s="2121" t="s">
        <v>649</v>
      </c>
      <c r="E4" s="2123"/>
    </row>
    <row r="5" spans="1:5" ht="13.5" customHeight="1" thickBot="1" x14ac:dyDescent="0.25">
      <c r="A5" s="2122"/>
      <c r="B5" s="2124"/>
      <c r="C5" s="2126"/>
      <c r="D5" s="2122"/>
      <c r="E5" s="2124"/>
    </row>
    <row r="6" spans="1:5" ht="16.5" thickBot="1" x14ac:dyDescent="0.25">
      <c r="A6" s="1291" t="s">
        <v>596</v>
      </c>
      <c r="B6" s="1292" t="s">
        <v>650</v>
      </c>
      <c r="C6" s="1292" t="s">
        <v>651</v>
      </c>
      <c r="D6" s="1293" t="s">
        <v>652</v>
      </c>
      <c r="E6" s="1292"/>
    </row>
    <row r="7" spans="1:5" ht="16.5" thickBot="1" x14ac:dyDescent="0.25">
      <c r="A7" s="1291"/>
      <c r="B7" s="1292"/>
      <c r="C7" s="1294" t="s">
        <v>653</v>
      </c>
      <c r="D7" s="1295" t="s">
        <v>654</v>
      </c>
      <c r="E7" s="1292"/>
    </row>
    <row r="8" spans="1:5" ht="16.5" customHeight="1" thickBot="1" x14ac:dyDescent="0.25">
      <c r="A8" s="2119" t="s">
        <v>655</v>
      </c>
      <c r="B8" s="2120"/>
      <c r="C8" s="2120"/>
      <c r="D8" s="2120"/>
      <c r="E8" s="2120"/>
    </row>
    <row r="9" spans="1:5" ht="32.25" thickBot="1" x14ac:dyDescent="0.25">
      <c r="A9" s="1291" t="s">
        <v>598</v>
      </c>
      <c r="B9" s="1292" t="s">
        <v>656</v>
      </c>
      <c r="C9" s="1292" t="s">
        <v>657</v>
      </c>
      <c r="D9" s="1293" t="s">
        <v>658</v>
      </c>
      <c r="E9" s="1292"/>
    </row>
    <row r="10" spans="1:5" ht="32.25" thickBot="1" x14ac:dyDescent="0.25">
      <c r="A10" s="1291" t="s">
        <v>450</v>
      </c>
      <c r="B10" s="1292" t="s">
        <v>659</v>
      </c>
      <c r="C10" s="1292" t="s">
        <v>657</v>
      </c>
      <c r="D10" s="1293" t="s">
        <v>658</v>
      </c>
      <c r="E10" s="1292"/>
    </row>
    <row r="11" spans="1:5" ht="32.25" thickBot="1" x14ac:dyDescent="0.25">
      <c r="A11" s="1291" t="s">
        <v>502</v>
      </c>
      <c r="B11" s="1292" t="s">
        <v>660</v>
      </c>
      <c r="C11" s="1292" t="s">
        <v>661</v>
      </c>
      <c r="D11" s="1293" t="s">
        <v>662</v>
      </c>
      <c r="E11" s="1292"/>
    </row>
    <row r="12" spans="1:5" ht="32.25" thickBot="1" x14ac:dyDescent="0.25">
      <c r="A12" s="1291" t="s">
        <v>535</v>
      </c>
      <c r="B12" s="1292" t="s">
        <v>663</v>
      </c>
      <c r="C12" s="1292" t="s">
        <v>661</v>
      </c>
      <c r="D12" s="1293" t="s">
        <v>664</v>
      </c>
      <c r="E12" s="1292"/>
    </row>
    <row r="13" spans="1:5" ht="32.25" thickBot="1" x14ac:dyDescent="0.25">
      <c r="A13" s="1291" t="s">
        <v>665</v>
      </c>
      <c r="B13" s="1292" t="s">
        <v>666</v>
      </c>
      <c r="C13" s="1292" t="s">
        <v>657</v>
      </c>
      <c r="D13" s="1293" t="s">
        <v>667</v>
      </c>
      <c r="E13" s="1292"/>
    </row>
    <row r="14" spans="1:5" ht="32.25" thickBot="1" x14ac:dyDescent="0.25">
      <c r="A14" s="1291" t="s">
        <v>668</v>
      </c>
      <c r="B14" s="1292" t="s">
        <v>669</v>
      </c>
      <c r="C14" s="1292" t="s">
        <v>661</v>
      </c>
      <c r="D14" s="1293" t="s">
        <v>670</v>
      </c>
      <c r="E14" s="1292"/>
    </row>
    <row r="15" spans="1:5" ht="16.5" thickBot="1" x14ac:dyDescent="0.25">
      <c r="A15" s="1291" t="s">
        <v>671</v>
      </c>
      <c r="B15" s="1292" t="s">
        <v>672</v>
      </c>
      <c r="C15" s="1292" t="s">
        <v>673</v>
      </c>
      <c r="D15" s="1293" t="s">
        <v>670</v>
      </c>
      <c r="E15" s="1292"/>
    </row>
    <row r="16" spans="1:5" ht="32.25" thickBot="1" x14ac:dyDescent="0.25">
      <c r="A16" s="1288" t="s">
        <v>674</v>
      </c>
      <c r="B16" s="1289" t="s">
        <v>675</v>
      </c>
      <c r="C16" s="1289" t="s">
        <v>661</v>
      </c>
      <c r="D16" s="1290" t="s">
        <v>670</v>
      </c>
      <c r="E16" s="1289"/>
    </row>
    <row r="17" spans="1:5" ht="42.75" customHeight="1" thickBot="1" x14ac:dyDescent="0.25">
      <c r="A17" s="1297" t="s">
        <v>676</v>
      </c>
      <c r="B17" s="1298" t="s">
        <v>677</v>
      </c>
      <c r="C17" s="1298" t="s">
        <v>661</v>
      </c>
      <c r="D17" s="1299" t="s">
        <v>678</v>
      </c>
      <c r="E17" s="1300"/>
    </row>
    <row r="18" spans="1:5" ht="32.25" thickBot="1" x14ac:dyDescent="0.25">
      <c r="A18" s="1291" t="s">
        <v>679</v>
      </c>
      <c r="B18" s="1292" t="s">
        <v>680</v>
      </c>
      <c r="C18" s="1292" t="s">
        <v>657</v>
      </c>
      <c r="D18" s="1293" t="s">
        <v>658</v>
      </c>
      <c r="E18" s="1292"/>
    </row>
    <row r="19" spans="1:5" ht="32.25" thickBot="1" x14ac:dyDescent="0.25">
      <c r="A19" s="1291" t="s">
        <v>681</v>
      </c>
      <c r="B19" s="1292" t="s">
        <v>682</v>
      </c>
      <c r="C19" s="1292" t="s">
        <v>657</v>
      </c>
      <c r="D19" s="1293" t="s">
        <v>683</v>
      </c>
      <c r="E19" s="1292"/>
    </row>
    <row r="20" spans="1:5" ht="16.5" thickBot="1" x14ac:dyDescent="0.25">
      <c r="A20" s="1291"/>
      <c r="B20" s="1292"/>
      <c r="C20" s="1294" t="s">
        <v>653</v>
      </c>
      <c r="D20" s="1295" t="s">
        <v>684</v>
      </c>
      <c r="E20" s="1292"/>
    </row>
    <row r="21" spans="1:5" ht="16.5" thickBot="1" x14ac:dyDescent="0.25">
      <c r="A21" s="1291"/>
      <c r="B21" s="1292"/>
      <c r="C21" s="1296" t="s">
        <v>653</v>
      </c>
      <c r="D21" s="1295" t="s">
        <v>685</v>
      </c>
      <c r="E21" s="1292"/>
    </row>
    <row r="22" spans="1:5" ht="15" x14ac:dyDescent="0.2">
      <c r="A22" s="1285"/>
    </row>
    <row r="23" spans="1:5" ht="15" x14ac:dyDescent="0.2">
      <c r="A23" s="1285" t="s">
        <v>686</v>
      </c>
    </row>
    <row r="24" spans="1:5" ht="15" x14ac:dyDescent="0.2">
      <c r="A24" s="1285" t="s">
        <v>687</v>
      </c>
    </row>
    <row r="25" spans="1:5" ht="15" x14ac:dyDescent="0.2">
      <c r="A25" s="1285"/>
    </row>
    <row r="26" spans="1:5" ht="15" x14ac:dyDescent="0.2">
      <c r="A26" s="1285"/>
    </row>
  </sheetData>
  <mergeCells count="8">
    <mergeCell ref="A1:E1"/>
    <mergeCell ref="A8:E8"/>
    <mergeCell ref="A4:A5"/>
    <mergeCell ref="B4:B5"/>
    <mergeCell ref="C4:C5"/>
    <mergeCell ref="D4:D5"/>
    <mergeCell ref="E4:E5"/>
    <mergeCell ref="A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election activeCell="J14" sqref="J14"/>
    </sheetView>
  </sheetViews>
  <sheetFormatPr defaultRowHeight="15.75" x14ac:dyDescent="0.25"/>
  <cols>
    <col min="1" max="1" width="6.42578125" style="729" customWidth="1"/>
    <col min="2" max="2" width="67.140625" style="718" customWidth="1"/>
    <col min="3" max="3" width="15.7109375" style="729" customWidth="1"/>
    <col min="4" max="4" width="16.85546875" style="718" customWidth="1"/>
    <col min="5" max="5" width="16.5703125" style="738" customWidth="1"/>
    <col min="6" max="16384" width="9.140625" style="718"/>
  </cols>
  <sheetData>
    <row r="1" spans="1:5" ht="48" thickBot="1" x14ac:dyDescent="0.3">
      <c r="A1" s="715" t="s">
        <v>285</v>
      </c>
      <c r="B1" s="716" t="s">
        <v>286</v>
      </c>
      <c r="C1" s="716" t="s">
        <v>287</v>
      </c>
      <c r="D1" s="716" t="s">
        <v>288</v>
      </c>
      <c r="E1" s="744" t="s">
        <v>289</v>
      </c>
    </row>
    <row r="2" spans="1:5" ht="16.5" thickBot="1" x14ac:dyDescent="0.3">
      <c r="A2" s="727" t="s">
        <v>290</v>
      </c>
      <c r="B2" s="741" t="s">
        <v>589</v>
      </c>
      <c r="C2" s="750"/>
      <c r="D2" s="741"/>
      <c r="E2" s="745"/>
    </row>
    <row r="3" spans="1:5" ht="41.25" customHeight="1" thickBot="1" x14ac:dyDescent="0.3">
      <c r="A3" s="723" t="s">
        <v>291</v>
      </c>
      <c r="B3" s="724" t="s">
        <v>292</v>
      </c>
      <c r="C3" s="723" t="s">
        <v>293</v>
      </c>
      <c r="D3" s="723" t="s">
        <v>294</v>
      </c>
      <c r="E3" s="732">
        <v>200</v>
      </c>
    </row>
    <row r="4" spans="1:5" ht="36.75" customHeight="1" thickBot="1" x14ac:dyDescent="0.3">
      <c r="A4" s="723" t="s">
        <v>295</v>
      </c>
      <c r="B4" s="724" t="s">
        <v>296</v>
      </c>
      <c r="C4" s="723" t="s">
        <v>297</v>
      </c>
      <c r="D4" s="723" t="s">
        <v>294</v>
      </c>
      <c r="E4" s="732">
        <v>200</v>
      </c>
    </row>
    <row r="5" spans="1:5" ht="35.25" customHeight="1" thickBot="1" x14ac:dyDescent="0.3">
      <c r="A5" s="723" t="s">
        <v>298</v>
      </c>
      <c r="B5" s="724" t="s">
        <v>299</v>
      </c>
      <c r="C5" s="723" t="s">
        <v>297</v>
      </c>
      <c r="D5" s="723" t="s">
        <v>294</v>
      </c>
      <c r="E5" s="732">
        <v>200</v>
      </c>
    </row>
    <row r="6" spans="1:5" ht="35.25" customHeight="1" thickBot="1" x14ac:dyDescent="0.3">
      <c r="A6" s="723" t="s">
        <v>300</v>
      </c>
      <c r="B6" s="724" t="s">
        <v>301</v>
      </c>
      <c r="C6" s="723" t="s">
        <v>293</v>
      </c>
      <c r="D6" s="723" t="s">
        <v>302</v>
      </c>
      <c r="E6" s="732">
        <v>600</v>
      </c>
    </row>
    <row r="7" spans="1:5" ht="20.25" customHeight="1" thickBot="1" x14ac:dyDescent="0.3">
      <c r="A7" s="723" t="s">
        <v>303</v>
      </c>
      <c r="B7" s="724" t="s">
        <v>304</v>
      </c>
      <c r="C7" s="723" t="s">
        <v>293</v>
      </c>
      <c r="D7" s="723" t="s">
        <v>305</v>
      </c>
      <c r="E7" s="732">
        <v>400</v>
      </c>
    </row>
    <row r="8" spans="1:5" ht="20.25" customHeight="1" thickBot="1" x14ac:dyDescent="0.3">
      <c r="A8" s="723" t="s">
        <v>306</v>
      </c>
      <c r="B8" s="724" t="s">
        <v>307</v>
      </c>
      <c r="C8" s="723" t="s">
        <v>308</v>
      </c>
      <c r="D8" s="723" t="s">
        <v>305</v>
      </c>
      <c r="E8" s="732">
        <v>200</v>
      </c>
    </row>
    <row r="9" spans="1:5" ht="20.25" customHeight="1" thickBot="1" x14ac:dyDescent="0.3">
      <c r="A9" s="715" t="s">
        <v>309</v>
      </c>
      <c r="B9" s="726" t="s">
        <v>310</v>
      </c>
      <c r="C9" s="716" t="s">
        <v>297</v>
      </c>
      <c r="D9" s="716" t="s">
        <v>305</v>
      </c>
      <c r="E9" s="733">
        <v>200</v>
      </c>
    </row>
    <row r="10" spans="1:5" ht="36" customHeight="1" thickBot="1" x14ac:dyDescent="0.3">
      <c r="A10" s="723" t="s">
        <v>311</v>
      </c>
      <c r="B10" s="724" t="s">
        <v>312</v>
      </c>
      <c r="C10" s="723" t="s">
        <v>293</v>
      </c>
      <c r="D10" s="723" t="s">
        <v>313</v>
      </c>
      <c r="E10" s="732">
        <v>2000</v>
      </c>
    </row>
    <row r="11" spans="1:5" ht="24.75" customHeight="1" thickBot="1" x14ac:dyDescent="0.3">
      <c r="A11" s="723" t="s">
        <v>314</v>
      </c>
      <c r="B11" s="724" t="s">
        <v>315</v>
      </c>
      <c r="C11" s="723" t="s">
        <v>293</v>
      </c>
      <c r="D11" s="723" t="s">
        <v>302</v>
      </c>
      <c r="E11" s="732">
        <v>300</v>
      </c>
    </row>
    <row r="12" spans="1:5" ht="34.5" customHeight="1" thickBot="1" x14ac:dyDescent="0.3">
      <c r="A12" s="723" t="s">
        <v>316</v>
      </c>
      <c r="B12" s="724" t="s">
        <v>317</v>
      </c>
      <c r="C12" s="723" t="s">
        <v>297</v>
      </c>
      <c r="D12" s="723" t="s">
        <v>318</v>
      </c>
      <c r="E12" s="732">
        <v>800</v>
      </c>
    </row>
    <row r="13" spans="1:5" ht="21" customHeight="1" thickBot="1" x14ac:dyDescent="0.3">
      <c r="A13" s="723" t="s">
        <v>319</v>
      </c>
      <c r="B13" s="724" t="s">
        <v>320</v>
      </c>
      <c r="C13" s="723" t="s">
        <v>308</v>
      </c>
      <c r="D13" s="723" t="s">
        <v>321</v>
      </c>
      <c r="E13" s="732">
        <v>200</v>
      </c>
    </row>
    <row r="14" spans="1:5" ht="37.5" customHeight="1" thickBot="1" x14ac:dyDescent="0.3">
      <c r="A14" s="723" t="s">
        <v>322</v>
      </c>
      <c r="B14" s="724" t="s">
        <v>323</v>
      </c>
      <c r="C14" s="723" t="s">
        <v>308</v>
      </c>
      <c r="D14" s="723" t="s">
        <v>321</v>
      </c>
      <c r="E14" s="732">
        <v>200</v>
      </c>
    </row>
    <row r="15" spans="1:5" ht="33.75" customHeight="1" thickBot="1" x14ac:dyDescent="0.3">
      <c r="A15" s="723" t="s">
        <v>324</v>
      </c>
      <c r="B15" s="724" t="s">
        <v>325</v>
      </c>
      <c r="C15" s="723" t="s">
        <v>293</v>
      </c>
      <c r="D15" s="723" t="s">
        <v>321</v>
      </c>
      <c r="E15" s="732">
        <v>400</v>
      </c>
    </row>
    <row r="16" spans="1:5" ht="39" customHeight="1" thickBot="1" x14ac:dyDescent="0.3">
      <c r="A16" s="715" t="s">
        <v>326</v>
      </c>
      <c r="B16" s="730" t="s">
        <v>327</v>
      </c>
      <c r="C16" s="715" t="s">
        <v>308</v>
      </c>
      <c r="D16" s="715" t="s">
        <v>328</v>
      </c>
      <c r="E16" s="734">
        <v>200</v>
      </c>
    </row>
    <row r="17" spans="1:5" ht="16.5" thickBot="1" x14ac:dyDescent="0.3">
      <c r="D17" s="731" t="s">
        <v>16</v>
      </c>
      <c r="E17" s="735">
        <f>SUM(E3:E16)</f>
        <v>6100</v>
      </c>
    </row>
    <row r="19" spans="1:5" ht="16.5" thickBot="1" x14ac:dyDescent="0.3">
      <c r="A19" s="727" t="s">
        <v>596</v>
      </c>
      <c r="B19" s="742" t="s">
        <v>590</v>
      </c>
      <c r="C19" s="751"/>
      <c r="D19" s="742"/>
      <c r="E19" s="746"/>
    </row>
    <row r="20" spans="1:5" x14ac:dyDescent="0.25">
      <c r="A20" s="2128" t="s">
        <v>329</v>
      </c>
      <c r="B20" s="2134" t="s">
        <v>330</v>
      </c>
      <c r="C20" s="2128" t="s">
        <v>297</v>
      </c>
      <c r="D20" s="2128" t="s">
        <v>331</v>
      </c>
      <c r="E20" s="2132">
        <v>9500</v>
      </c>
    </row>
    <row r="21" spans="1:5" ht="16.5" thickBot="1" x14ac:dyDescent="0.3">
      <c r="A21" s="2129"/>
      <c r="B21" s="2135"/>
      <c r="C21" s="2129"/>
      <c r="D21" s="2129"/>
      <c r="E21" s="2133"/>
    </row>
    <row r="22" spans="1:5" ht="16.5" thickBot="1" x14ac:dyDescent="0.3">
      <c r="A22" s="721" t="s">
        <v>332</v>
      </c>
      <c r="B22" s="722" t="s">
        <v>333</v>
      </c>
      <c r="C22" s="719" t="s">
        <v>297</v>
      </c>
      <c r="D22" s="719" t="s">
        <v>334</v>
      </c>
      <c r="E22" s="737">
        <v>200</v>
      </c>
    </row>
    <row r="23" spans="1:5" ht="15" customHeight="1" thickBot="1" x14ac:dyDescent="0.3">
      <c r="A23" s="723" t="s">
        <v>335</v>
      </c>
      <c r="B23" s="725" t="s">
        <v>336</v>
      </c>
      <c r="C23" s="723" t="s">
        <v>297</v>
      </c>
      <c r="D23" s="723" t="s">
        <v>334</v>
      </c>
      <c r="E23" s="732">
        <v>200</v>
      </c>
    </row>
    <row r="24" spans="1:5" ht="16.5" thickBot="1" x14ac:dyDescent="0.3">
      <c r="A24" s="723" t="s">
        <v>337</v>
      </c>
      <c r="B24" s="725" t="s">
        <v>338</v>
      </c>
      <c r="C24" s="723" t="s">
        <v>308</v>
      </c>
      <c r="D24" s="723" t="s">
        <v>294</v>
      </c>
      <c r="E24" s="732">
        <v>200</v>
      </c>
    </row>
    <row r="25" spans="1:5" ht="16.5" thickBot="1" x14ac:dyDescent="0.3">
      <c r="A25" s="715" t="s">
        <v>339</v>
      </c>
      <c r="B25" s="736" t="s">
        <v>340</v>
      </c>
      <c r="C25" s="716" t="s">
        <v>308</v>
      </c>
      <c r="D25" s="716" t="s">
        <v>294</v>
      </c>
      <c r="E25" s="733">
        <v>200</v>
      </c>
    </row>
    <row r="26" spans="1:5" ht="16.5" thickBot="1" x14ac:dyDescent="0.3">
      <c r="A26" s="721" t="s">
        <v>341</v>
      </c>
      <c r="B26" s="722" t="s">
        <v>342</v>
      </c>
      <c r="C26" s="719" t="s">
        <v>297</v>
      </c>
      <c r="D26" s="719" t="s">
        <v>302</v>
      </c>
      <c r="E26" s="737">
        <v>200</v>
      </c>
    </row>
    <row r="27" spans="1:5" ht="16.5" thickBot="1" x14ac:dyDescent="0.3">
      <c r="A27" s="721" t="s">
        <v>343</v>
      </c>
      <c r="B27" s="722" t="s">
        <v>344</v>
      </c>
      <c r="C27" s="719" t="s">
        <v>297</v>
      </c>
      <c r="D27" s="719" t="s">
        <v>302</v>
      </c>
      <c r="E27" s="737">
        <v>200</v>
      </c>
    </row>
    <row r="28" spans="1:5" ht="16.5" thickBot="1" x14ac:dyDescent="0.3">
      <c r="A28" s="721" t="s">
        <v>345</v>
      </c>
      <c r="B28" s="722" t="s">
        <v>346</v>
      </c>
      <c r="C28" s="719" t="s">
        <v>297</v>
      </c>
      <c r="D28" s="719" t="s">
        <v>302</v>
      </c>
      <c r="E28" s="737">
        <v>200</v>
      </c>
    </row>
    <row r="29" spans="1:5" ht="16.5" thickBot="1" x14ac:dyDescent="0.3">
      <c r="A29" s="721" t="s">
        <v>347</v>
      </c>
      <c r="B29" s="722" t="s">
        <v>348</v>
      </c>
      <c r="C29" s="719" t="s">
        <v>308</v>
      </c>
      <c r="D29" s="719" t="s">
        <v>302</v>
      </c>
      <c r="E29" s="737">
        <v>200</v>
      </c>
    </row>
    <row r="30" spans="1:5" ht="16.5" thickBot="1" x14ac:dyDescent="0.3">
      <c r="A30" s="723" t="s">
        <v>349</v>
      </c>
      <c r="B30" s="725" t="s">
        <v>350</v>
      </c>
      <c r="C30" s="723" t="s">
        <v>308</v>
      </c>
      <c r="D30" s="723" t="s">
        <v>302</v>
      </c>
      <c r="E30" s="732">
        <v>200</v>
      </c>
    </row>
    <row r="31" spans="1:5" ht="16.5" thickBot="1" x14ac:dyDescent="0.3">
      <c r="A31" s="723" t="s">
        <v>351</v>
      </c>
      <c r="B31" s="725" t="s">
        <v>352</v>
      </c>
      <c r="C31" s="723" t="s">
        <v>297</v>
      </c>
      <c r="D31" s="723" t="s">
        <v>305</v>
      </c>
      <c r="E31" s="732">
        <v>200</v>
      </c>
    </row>
    <row r="32" spans="1:5" ht="16.5" thickBot="1" x14ac:dyDescent="0.3">
      <c r="A32" s="723" t="s">
        <v>353</v>
      </c>
      <c r="B32" s="725" t="s">
        <v>354</v>
      </c>
      <c r="C32" s="723" t="s">
        <v>308</v>
      </c>
      <c r="D32" s="723" t="s">
        <v>305</v>
      </c>
      <c r="E32" s="732">
        <v>200</v>
      </c>
    </row>
    <row r="33" spans="1:5" x14ac:dyDescent="0.25">
      <c r="A33" s="2128" t="s">
        <v>355</v>
      </c>
      <c r="B33" s="2134" t="s">
        <v>356</v>
      </c>
      <c r="C33" s="2128" t="s">
        <v>308</v>
      </c>
      <c r="D33" s="2128" t="s">
        <v>305</v>
      </c>
      <c r="E33" s="2132">
        <v>200</v>
      </c>
    </row>
    <row r="34" spans="1:5" ht="16.5" thickBot="1" x14ac:dyDescent="0.3">
      <c r="A34" s="2129"/>
      <c r="B34" s="2135"/>
      <c r="C34" s="2129"/>
      <c r="D34" s="2129"/>
      <c r="E34" s="2133"/>
    </row>
    <row r="35" spans="1:5" ht="16.5" thickBot="1" x14ac:dyDescent="0.3">
      <c r="A35" s="721" t="s">
        <v>357</v>
      </c>
      <c r="B35" s="722" t="s">
        <v>358</v>
      </c>
      <c r="C35" s="719" t="s">
        <v>297</v>
      </c>
      <c r="D35" s="719" t="s">
        <v>305</v>
      </c>
      <c r="E35" s="737">
        <v>400</v>
      </c>
    </row>
    <row r="36" spans="1:5" ht="32.25" thickBot="1" x14ac:dyDescent="0.3">
      <c r="A36" s="721" t="s">
        <v>359</v>
      </c>
      <c r="B36" s="722" t="s">
        <v>360</v>
      </c>
      <c r="C36" s="719" t="s">
        <v>297</v>
      </c>
      <c r="D36" s="719" t="s">
        <v>361</v>
      </c>
      <c r="E36" s="737">
        <v>600</v>
      </c>
    </row>
    <row r="37" spans="1:5" x14ac:dyDescent="0.25">
      <c r="A37" s="2128" t="s">
        <v>362</v>
      </c>
      <c r="B37" s="2134" t="s">
        <v>363</v>
      </c>
      <c r="C37" s="2128" t="s">
        <v>297</v>
      </c>
      <c r="D37" s="2128" t="s">
        <v>361</v>
      </c>
      <c r="E37" s="2132">
        <v>300</v>
      </c>
    </row>
    <row r="38" spans="1:5" ht="16.5" thickBot="1" x14ac:dyDescent="0.3">
      <c r="A38" s="2129"/>
      <c r="B38" s="2135"/>
      <c r="C38" s="2129"/>
      <c r="D38" s="2129"/>
      <c r="E38" s="2133"/>
    </row>
    <row r="39" spans="1:5" x14ac:dyDescent="0.25">
      <c r="A39" s="2128" t="s">
        <v>364</v>
      </c>
      <c r="B39" s="2134" t="s">
        <v>365</v>
      </c>
      <c r="C39" s="2128" t="s">
        <v>297</v>
      </c>
      <c r="D39" s="2128" t="s">
        <v>361</v>
      </c>
      <c r="E39" s="2132">
        <v>200</v>
      </c>
    </row>
    <row r="40" spans="1:5" ht="16.5" thickBot="1" x14ac:dyDescent="0.3">
      <c r="A40" s="2129"/>
      <c r="B40" s="2135"/>
      <c r="C40" s="2129"/>
      <c r="D40" s="2129"/>
      <c r="E40" s="2133"/>
    </row>
    <row r="41" spans="1:5" x14ac:dyDescent="0.25">
      <c r="A41" s="2128" t="s">
        <v>366</v>
      </c>
      <c r="B41" s="2134" t="s">
        <v>367</v>
      </c>
      <c r="C41" s="2128" t="s">
        <v>297</v>
      </c>
      <c r="D41" s="2128" t="s">
        <v>361</v>
      </c>
      <c r="E41" s="2132">
        <v>200</v>
      </c>
    </row>
    <row r="42" spans="1:5" ht="16.5" thickBot="1" x14ac:dyDescent="0.3">
      <c r="A42" s="2129"/>
      <c r="B42" s="2135"/>
      <c r="C42" s="2129"/>
      <c r="D42" s="2129"/>
      <c r="E42" s="2133"/>
    </row>
    <row r="43" spans="1:5" x14ac:dyDescent="0.25">
      <c r="A43" s="2128" t="s">
        <v>368</v>
      </c>
      <c r="B43" s="2134" t="s">
        <v>369</v>
      </c>
      <c r="C43" s="2128" t="s">
        <v>297</v>
      </c>
      <c r="D43" s="2128" t="s">
        <v>321</v>
      </c>
      <c r="E43" s="2132">
        <v>200</v>
      </c>
    </row>
    <row r="44" spans="1:5" ht="16.5" thickBot="1" x14ac:dyDescent="0.3">
      <c r="A44" s="2129"/>
      <c r="B44" s="2135"/>
      <c r="C44" s="2129"/>
      <c r="D44" s="2129"/>
      <c r="E44" s="2133"/>
    </row>
    <row r="45" spans="1:5" x14ac:dyDescent="0.25">
      <c r="A45" s="2128" t="s">
        <v>370</v>
      </c>
      <c r="B45" s="2134" t="s">
        <v>371</v>
      </c>
      <c r="C45" s="2128" t="s">
        <v>308</v>
      </c>
      <c r="D45" s="2128" t="s">
        <v>321</v>
      </c>
      <c r="E45" s="2132">
        <v>200</v>
      </c>
    </row>
    <row r="46" spans="1:5" ht="16.5" thickBot="1" x14ac:dyDescent="0.3">
      <c r="A46" s="2129"/>
      <c r="B46" s="2135"/>
      <c r="C46" s="2129"/>
      <c r="D46" s="2129"/>
      <c r="E46" s="2133"/>
    </row>
    <row r="47" spans="1:5" ht="16.5" thickBot="1" x14ac:dyDescent="0.3">
      <c r="A47" s="723" t="s">
        <v>372</v>
      </c>
      <c r="B47" s="725" t="s">
        <v>373</v>
      </c>
      <c r="C47" s="723" t="s">
        <v>297</v>
      </c>
      <c r="D47" s="723" t="s">
        <v>328</v>
      </c>
      <c r="E47" s="732">
        <v>200</v>
      </c>
    </row>
    <row r="48" spans="1:5" ht="16.5" thickBot="1" x14ac:dyDescent="0.3">
      <c r="A48" s="715" t="s">
        <v>374</v>
      </c>
      <c r="B48" s="736" t="s">
        <v>375</v>
      </c>
      <c r="C48" s="716" t="s">
        <v>293</v>
      </c>
      <c r="D48" s="716" t="s">
        <v>376</v>
      </c>
      <c r="E48" s="733">
        <v>300</v>
      </c>
    </row>
    <row r="49" spans="1:5" x14ac:dyDescent="0.25">
      <c r="A49" s="2128" t="s">
        <v>377</v>
      </c>
      <c r="B49" s="2134" t="s">
        <v>378</v>
      </c>
      <c r="C49" s="2128" t="s">
        <v>297</v>
      </c>
      <c r="D49" s="2128" t="s">
        <v>328</v>
      </c>
      <c r="E49" s="2132">
        <v>200</v>
      </c>
    </row>
    <row r="50" spans="1:5" ht="16.5" thickBot="1" x14ac:dyDescent="0.3">
      <c r="A50" s="2129"/>
      <c r="B50" s="2135"/>
      <c r="C50" s="2129"/>
      <c r="D50" s="2129"/>
      <c r="E50" s="2133"/>
    </row>
    <row r="51" spans="1:5" ht="16.5" thickBot="1" x14ac:dyDescent="0.3">
      <c r="D51" s="731" t="s">
        <v>16</v>
      </c>
      <c r="E51" s="735">
        <f>SUM(E20:E50)</f>
        <v>14700</v>
      </c>
    </row>
    <row r="53" spans="1:5" ht="16.5" thickBot="1" x14ac:dyDescent="0.3">
      <c r="A53" s="727" t="s">
        <v>597</v>
      </c>
      <c r="B53" s="743" t="s">
        <v>591</v>
      </c>
      <c r="C53" s="752"/>
      <c r="D53" s="743"/>
      <c r="E53" s="747"/>
    </row>
    <row r="54" spans="1:5" ht="16.5" thickBot="1" x14ac:dyDescent="0.3">
      <c r="A54" s="715" t="s">
        <v>379</v>
      </c>
      <c r="B54" s="726" t="s">
        <v>380</v>
      </c>
      <c r="C54" s="716" t="s">
        <v>297</v>
      </c>
      <c r="D54" s="716" t="s">
        <v>334</v>
      </c>
      <c r="E54" s="733">
        <v>500</v>
      </c>
    </row>
    <row r="55" spans="1:5" x14ac:dyDescent="0.25">
      <c r="A55" s="723" t="s">
        <v>381</v>
      </c>
      <c r="B55" s="724" t="s">
        <v>382</v>
      </c>
      <c r="C55" s="723" t="s">
        <v>297</v>
      </c>
      <c r="D55" s="723" t="s">
        <v>294</v>
      </c>
      <c r="E55" s="732">
        <v>500</v>
      </c>
    </row>
    <row r="56" spans="1:5" ht="16.5" thickBot="1" x14ac:dyDescent="0.3">
      <c r="A56" s="721" t="s">
        <v>383</v>
      </c>
      <c r="B56" s="720" t="s">
        <v>384</v>
      </c>
      <c r="C56" s="719" t="s">
        <v>297</v>
      </c>
      <c r="D56" s="719" t="s">
        <v>302</v>
      </c>
      <c r="E56" s="737">
        <v>200</v>
      </c>
    </row>
    <row r="57" spans="1:5" ht="32.25" thickBot="1" x14ac:dyDescent="0.3">
      <c r="A57" s="721" t="s">
        <v>385</v>
      </c>
      <c r="B57" s="720" t="s">
        <v>386</v>
      </c>
      <c r="C57" s="719" t="s">
        <v>297</v>
      </c>
      <c r="D57" s="719" t="s">
        <v>302</v>
      </c>
      <c r="E57" s="737">
        <v>500</v>
      </c>
    </row>
    <row r="58" spans="1:5" ht="16.5" thickBot="1" x14ac:dyDescent="0.3">
      <c r="A58" s="723" t="s">
        <v>387</v>
      </c>
      <c r="B58" s="724" t="s">
        <v>388</v>
      </c>
      <c r="C58" s="723" t="s">
        <v>293</v>
      </c>
      <c r="D58" s="723" t="s">
        <v>361</v>
      </c>
      <c r="E58" s="732">
        <v>1000</v>
      </c>
    </row>
    <row r="59" spans="1:5" ht="16.5" thickBot="1" x14ac:dyDescent="0.3">
      <c r="A59" s="723" t="s">
        <v>389</v>
      </c>
      <c r="B59" s="724" t="s">
        <v>390</v>
      </c>
      <c r="C59" s="723" t="s">
        <v>297</v>
      </c>
      <c r="D59" s="723" t="s">
        <v>361</v>
      </c>
      <c r="E59" s="732">
        <v>5000</v>
      </c>
    </row>
    <row r="60" spans="1:5" ht="32.25" thickBot="1" x14ac:dyDescent="0.3">
      <c r="A60" s="715" t="s">
        <v>391</v>
      </c>
      <c r="B60" s="726" t="s">
        <v>392</v>
      </c>
      <c r="C60" s="716" t="s">
        <v>297</v>
      </c>
      <c r="D60" s="716" t="s">
        <v>393</v>
      </c>
      <c r="E60" s="733">
        <v>500</v>
      </c>
    </row>
    <row r="61" spans="1:5" ht="16.5" thickBot="1" x14ac:dyDescent="0.3">
      <c r="A61" s="721" t="s">
        <v>394</v>
      </c>
      <c r="B61" s="720" t="s">
        <v>395</v>
      </c>
      <c r="C61" s="719" t="s">
        <v>297</v>
      </c>
      <c r="D61" s="719" t="s">
        <v>396</v>
      </c>
      <c r="E61" s="737">
        <v>300</v>
      </c>
    </row>
    <row r="62" spans="1:5" ht="16.5" thickBot="1" x14ac:dyDescent="0.3">
      <c r="A62" s="721" t="s">
        <v>397</v>
      </c>
      <c r="B62" s="720" t="s">
        <v>398</v>
      </c>
      <c r="C62" s="719" t="s">
        <v>297</v>
      </c>
      <c r="D62" s="719" t="s">
        <v>399</v>
      </c>
      <c r="E62" s="737">
        <v>8000</v>
      </c>
    </row>
    <row r="63" spans="1:5" ht="16.5" thickBot="1" x14ac:dyDescent="0.3">
      <c r="A63" s="721" t="s">
        <v>400</v>
      </c>
      <c r="B63" s="720" t="s">
        <v>401</v>
      </c>
      <c r="C63" s="719" t="s">
        <v>293</v>
      </c>
      <c r="D63" s="719" t="s">
        <v>321</v>
      </c>
      <c r="E63" s="737">
        <v>10000</v>
      </c>
    </row>
    <row r="64" spans="1:5" ht="16.5" thickBot="1" x14ac:dyDescent="0.3">
      <c r="A64" s="715" t="s">
        <v>402</v>
      </c>
      <c r="B64" s="730" t="s">
        <v>403</v>
      </c>
      <c r="C64" s="715" t="s">
        <v>297</v>
      </c>
      <c r="D64" s="715" t="s">
        <v>404</v>
      </c>
      <c r="E64" s="734">
        <v>1000</v>
      </c>
    </row>
    <row r="65" spans="1:5" ht="16.5" thickBot="1" x14ac:dyDescent="0.3">
      <c r="D65" s="731" t="s">
        <v>16</v>
      </c>
      <c r="E65" s="735">
        <f>SUM(E54:E64)</f>
        <v>27500</v>
      </c>
    </row>
    <row r="67" spans="1:5" ht="16.5" thickBot="1" x14ac:dyDescent="0.3">
      <c r="A67" s="727" t="s">
        <v>598</v>
      </c>
      <c r="B67" s="728" t="s">
        <v>592</v>
      </c>
      <c r="C67" s="727"/>
      <c r="D67" s="728"/>
      <c r="E67" s="748"/>
    </row>
    <row r="68" spans="1:5" x14ac:dyDescent="0.25">
      <c r="A68" s="723" t="s">
        <v>405</v>
      </c>
      <c r="B68" s="724" t="s">
        <v>406</v>
      </c>
      <c r="C68" s="723" t="s">
        <v>308</v>
      </c>
      <c r="D68" s="723" t="s">
        <v>331</v>
      </c>
      <c r="E68" s="732">
        <v>5400</v>
      </c>
    </row>
    <row r="69" spans="1:5" ht="16.5" thickBot="1" x14ac:dyDescent="0.3">
      <c r="A69" s="721" t="s">
        <v>407</v>
      </c>
      <c r="B69" s="720" t="s">
        <v>408</v>
      </c>
      <c r="C69" s="719" t="s">
        <v>308</v>
      </c>
      <c r="D69" s="719" t="s">
        <v>331</v>
      </c>
      <c r="E69" s="737">
        <v>5000</v>
      </c>
    </row>
    <row r="70" spans="1:5" ht="16.5" thickBot="1" x14ac:dyDescent="0.3">
      <c r="A70" s="723" t="s">
        <v>409</v>
      </c>
      <c r="B70" s="724" t="s">
        <v>410</v>
      </c>
      <c r="C70" s="723" t="s">
        <v>308</v>
      </c>
      <c r="D70" s="723" t="s">
        <v>334</v>
      </c>
      <c r="E70" s="732">
        <v>200</v>
      </c>
    </row>
    <row r="71" spans="1:5" x14ac:dyDescent="0.25">
      <c r="A71" s="723" t="s">
        <v>411</v>
      </c>
      <c r="B71" s="724" t="s">
        <v>412</v>
      </c>
      <c r="C71" s="723" t="s">
        <v>308</v>
      </c>
      <c r="D71" s="723" t="s">
        <v>294</v>
      </c>
      <c r="E71" s="732">
        <v>200</v>
      </c>
    </row>
    <row r="72" spans="1:5" ht="16.5" thickBot="1" x14ac:dyDescent="0.3">
      <c r="A72" s="721" t="s">
        <v>413</v>
      </c>
      <c r="B72" s="720" t="s">
        <v>414</v>
      </c>
      <c r="C72" s="719" t="s">
        <v>308</v>
      </c>
      <c r="D72" s="719" t="s">
        <v>294</v>
      </c>
      <c r="E72" s="737">
        <v>200</v>
      </c>
    </row>
    <row r="73" spans="1:5" ht="16.5" thickBot="1" x14ac:dyDescent="0.3">
      <c r="A73" s="723" t="s">
        <v>415</v>
      </c>
      <c r="B73" s="724" t="s">
        <v>416</v>
      </c>
      <c r="C73" s="723" t="s">
        <v>308</v>
      </c>
      <c r="D73" s="723" t="s">
        <v>417</v>
      </c>
      <c r="E73" s="732">
        <v>400</v>
      </c>
    </row>
    <row r="74" spans="1:5" ht="16.5" thickBot="1" x14ac:dyDescent="0.3">
      <c r="A74" s="715" t="s">
        <v>418</v>
      </c>
      <c r="B74" s="726" t="s">
        <v>419</v>
      </c>
      <c r="C74" s="716" t="s">
        <v>308</v>
      </c>
      <c r="D74" s="716" t="s">
        <v>302</v>
      </c>
      <c r="E74" s="733">
        <v>200</v>
      </c>
    </row>
    <row r="75" spans="1:5" ht="16.5" thickBot="1" x14ac:dyDescent="0.3">
      <c r="A75" s="723" t="s">
        <v>420</v>
      </c>
      <c r="B75" s="724" t="s">
        <v>421</v>
      </c>
      <c r="C75" s="723" t="s">
        <v>308</v>
      </c>
      <c r="D75" s="723" t="s">
        <v>422</v>
      </c>
      <c r="E75" s="732">
        <v>200</v>
      </c>
    </row>
    <row r="76" spans="1:5" x14ac:dyDescent="0.25">
      <c r="A76" s="2128" t="s">
        <v>423</v>
      </c>
      <c r="B76" s="2130" t="s">
        <v>424</v>
      </c>
      <c r="C76" s="2128" t="s">
        <v>308</v>
      </c>
      <c r="D76" s="2128" t="s">
        <v>305</v>
      </c>
      <c r="E76" s="2132">
        <v>400</v>
      </c>
    </row>
    <row r="77" spans="1:5" ht="16.5" thickBot="1" x14ac:dyDescent="0.3">
      <c r="A77" s="2129"/>
      <c r="B77" s="2131"/>
      <c r="C77" s="2129"/>
      <c r="D77" s="2129"/>
      <c r="E77" s="2133"/>
    </row>
    <row r="78" spans="1:5" x14ac:dyDescent="0.25">
      <c r="A78" s="723" t="s">
        <v>425</v>
      </c>
      <c r="B78" s="724" t="s">
        <v>426</v>
      </c>
      <c r="C78" s="723" t="s">
        <v>308</v>
      </c>
      <c r="D78" s="723" t="s">
        <v>305</v>
      </c>
      <c r="E78" s="732">
        <v>300</v>
      </c>
    </row>
    <row r="79" spans="1:5" ht="16.5" thickBot="1" x14ac:dyDescent="0.3">
      <c r="A79" s="721" t="s">
        <v>427</v>
      </c>
      <c r="B79" s="720" t="s">
        <v>428</v>
      </c>
      <c r="C79" s="719" t="s">
        <v>429</v>
      </c>
      <c r="D79" s="719" t="s">
        <v>305</v>
      </c>
      <c r="E79" s="737">
        <v>200</v>
      </c>
    </row>
    <row r="80" spans="1:5" ht="16.5" thickBot="1" x14ac:dyDescent="0.3">
      <c r="A80" s="721" t="s">
        <v>430</v>
      </c>
      <c r="B80" s="720" t="s">
        <v>431</v>
      </c>
      <c r="C80" s="719" t="s">
        <v>308</v>
      </c>
      <c r="D80" s="719" t="s">
        <v>432</v>
      </c>
      <c r="E80" s="737">
        <v>200</v>
      </c>
    </row>
    <row r="81" spans="1:5" ht="16.5" thickBot="1" x14ac:dyDescent="0.3">
      <c r="A81" s="721" t="s">
        <v>433</v>
      </c>
      <c r="B81" s="720" t="s">
        <v>434</v>
      </c>
      <c r="C81" s="719" t="s">
        <v>308</v>
      </c>
      <c r="D81" s="719" t="s">
        <v>361</v>
      </c>
      <c r="E81" s="737">
        <v>200</v>
      </c>
    </row>
    <row r="82" spans="1:5" ht="32.25" thickBot="1" x14ac:dyDescent="0.3">
      <c r="A82" s="721" t="s">
        <v>435</v>
      </c>
      <c r="B82" s="720" t="s">
        <v>436</v>
      </c>
      <c r="C82" s="719" t="s">
        <v>308</v>
      </c>
      <c r="D82" s="719" t="s">
        <v>361</v>
      </c>
      <c r="E82" s="737">
        <v>200</v>
      </c>
    </row>
    <row r="83" spans="1:5" ht="16.5" thickBot="1" x14ac:dyDescent="0.3">
      <c r="A83" s="721" t="s">
        <v>437</v>
      </c>
      <c r="B83" s="720" t="s">
        <v>438</v>
      </c>
      <c r="C83" s="719" t="s">
        <v>308</v>
      </c>
      <c r="D83" s="719" t="s">
        <v>439</v>
      </c>
      <c r="E83" s="737">
        <v>200</v>
      </c>
    </row>
    <row r="84" spans="1:5" ht="16.5" thickBot="1" x14ac:dyDescent="0.3">
      <c r="A84" s="721" t="s">
        <v>440</v>
      </c>
      <c r="B84" s="714" t="s">
        <v>441</v>
      </c>
      <c r="C84" s="719" t="s">
        <v>308</v>
      </c>
      <c r="D84" s="719" t="s">
        <v>399</v>
      </c>
      <c r="E84" s="737">
        <v>200</v>
      </c>
    </row>
    <row r="85" spans="1:5" ht="16.5" thickBot="1" x14ac:dyDescent="0.3">
      <c r="A85" s="721" t="s">
        <v>442</v>
      </c>
      <c r="B85" s="714" t="s">
        <v>443</v>
      </c>
      <c r="C85" s="719" t="s">
        <v>308</v>
      </c>
      <c r="D85" s="719" t="s">
        <v>399</v>
      </c>
      <c r="E85" s="737">
        <v>300</v>
      </c>
    </row>
    <row r="86" spans="1:5" ht="32.25" thickBot="1" x14ac:dyDescent="0.3">
      <c r="A86" s="721" t="s">
        <v>444</v>
      </c>
      <c r="B86" s="714" t="s">
        <v>445</v>
      </c>
      <c r="C86" s="719" t="s">
        <v>429</v>
      </c>
      <c r="D86" s="719" t="s">
        <v>399</v>
      </c>
      <c r="E86" s="737">
        <v>300</v>
      </c>
    </row>
    <row r="87" spans="1:5" ht="32.25" thickBot="1" x14ac:dyDescent="0.3">
      <c r="A87" s="721" t="s">
        <v>446</v>
      </c>
      <c r="B87" s="714" t="s">
        <v>447</v>
      </c>
      <c r="C87" s="719" t="s">
        <v>308</v>
      </c>
      <c r="D87" s="719" t="s">
        <v>399</v>
      </c>
      <c r="E87" s="737">
        <v>200</v>
      </c>
    </row>
    <row r="88" spans="1:5" ht="16.5" thickBot="1" x14ac:dyDescent="0.3">
      <c r="A88" s="721" t="s">
        <v>448</v>
      </c>
      <c r="B88" s="714" t="s">
        <v>449</v>
      </c>
      <c r="C88" s="719" t="s">
        <v>308</v>
      </c>
      <c r="D88" s="719" t="s">
        <v>321</v>
      </c>
      <c r="E88" s="737">
        <v>200</v>
      </c>
    </row>
    <row r="89" spans="1:5" ht="16.5" thickBot="1" x14ac:dyDescent="0.3">
      <c r="D89" s="731" t="s">
        <v>16</v>
      </c>
      <c r="E89" s="735">
        <f>SUM(E68:E88)</f>
        <v>14700</v>
      </c>
    </row>
    <row r="90" spans="1:5" x14ac:dyDescent="0.25">
      <c r="E90" s="739"/>
    </row>
    <row r="91" spans="1:5" ht="16.5" thickBot="1" x14ac:dyDescent="0.3">
      <c r="A91" s="727" t="s">
        <v>450</v>
      </c>
      <c r="B91" s="753" t="s">
        <v>593</v>
      </c>
    </row>
    <row r="92" spans="1:5" ht="16.5" thickBot="1" x14ac:dyDescent="0.3">
      <c r="A92" s="715" t="s">
        <v>451</v>
      </c>
      <c r="B92" s="726" t="s">
        <v>452</v>
      </c>
      <c r="C92" s="716" t="s">
        <v>297</v>
      </c>
      <c r="D92" s="716" t="s">
        <v>294</v>
      </c>
      <c r="E92" s="733">
        <v>200</v>
      </c>
    </row>
    <row r="93" spans="1:5" ht="16.5" thickBot="1" x14ac:dyDescent="0.3">
      <c r="A93" s="721" t="s">
        <v>453</v>
      </c>
      <c r="B93" s="720" t="s">
        <v>454</v>
      </c>
      <c r="C93" s="719" t="s">
        <v>297</v>
      </c>
      <c r="D93" s="719" t="s">
        <v>294</v>
      </c>
      <c r="E93" s="737">
        <v>200</v>
      </c>
    </row>
    <row r="94" spans="1:5" ht="16.5" thickBot="1" x14ac:dyDescent="0.3">
      <c r="A94" s="721" t="s">
        <v>455</v>
      </c>
      <c r="B94" s="720" t="s">
        <v>456</v>
      </c>
      <c r="C94" s="719" t="s">
        <v>297</v>
      </c>
      <c r="D94" s="719" t="s">
        <v>294</v>
      </c>
      <c r="E94" s="737">
        <v>300</v>
      </c>
    </row>
    <row r="95" spans="1:5" ht="16.5" thickBot="1" x14ac:dyDescent="0.3">
      <c r="A95" s="721" t="s">
        <v>457</v>
      </c>
      <c r="B95" s="720" t="s">
        <v>458</v>
      </c>
      <c r="C95" s="719" t="s">
        <v>429</v>
      </c>
      <c r="D95" s="719" t="s">
        <v>294</v>
      </c>
      <c r="E95" s="737">
        <v>200</v>
      </c>
    </row>
    <row r="96" spans="1:5" ht="16.5" thickBot="1" x14ac:dyDescent="0.3">
      <c r="A96" s="721" t="s">
        <v>459</v>
      </c>
      <c r="B96" s="720" t="s">
        <v>460</v>
      </c>
      <c r="C96" s="719" t="s">
        <v>297</v>
      </c>
      <c r="D96" s="719" t="s">
        <v>302</v>
      </c>
      <c r="E96" s="737">
        <v>200</v>
      </c>
    </row>
    <row r="97" spans="1:5" ht="16.5" thickBot="1" x14ac:dyDescent="0.3">
      <c r="A97" s="721" t="s">
        <v>461</v>
      </c>
      <c r="B97" s="720" t="s">
        <v>462</v>
      </c>
      <c r="C97" s="719" t="s">
        <v>429</v>
      </c>
      <c r="D97" s="719" t="s">
        <v>294</v>
      </c>
      <c r="E97" s="737">
        <v>200</v>
      </c>
    </row>
    <row r="98" spans="1:5" ht="16.5" thickBot="1" x14ac:dyDescent="0.3">
      <c r="A98" s="721" t="s">
        <v>463</v>
      </c>
      <c r="B98" s="720" t="s">
        <v>464</v>
      </c>
      <c r="C98" s="719" t="s">
        <v>297</v>
      </c>
      <c r="D98" s="719" t="s">
        <v>302</v>
      </c>
      <c r="E98" s="737">
        <v>200</v>
      </c>
    </row>
    <row r="99" spans="1:5" ht="32.25" thickBot="1" x14ac:dyDescent="0.3">
      <c r="A99" s="721" t="s">
        <v>465</v>
      </c>
      <c r="B99" s="720" t="s">
        <v>466</v>
      </c>
      <c r="C99" s="719" t="s">
        <v>297</v>
      </c>
      <c r="D99" s="719" t="s">
        <v>302</v>
      </c>
      <c r="E99" s="737">
        <v>400</v>
      </c>
    </row>
    <row r="100" spans="1:5" ht="16.5" thickBot="1" x14ac:dyDescent="0.3">
      <c r="A100" s="721" t="s">
        <v>467</v>
      </c>
      <c r="B100" s="720" t="s">
        <v>468</v>
      </c>
      <c r="C100" s="719" t="s">
        <v>429</v>
      </c>
      <c r="D100" s="719" t="s">
        <v>302</v>
      </c>
      <c r="E100" s="737">
        <v>200</v>
      </c>
    </row>
    <row r="101" spans="1:5" ht="16.5" thickBot="1" x14ac:dyDescent="0.3">
      <c r="A101" s="723" t="s">
        <v>469</v>
      </c>
      <c r="B101" s="724" t="s">
        <v>470</v>
      </c>
      <c r="C101" s="723" t="s">
        <v>297</v>
      </c>
      <c r="D101" s="723" t="s">
        <v>302</v>
      </c>
      <c r="E101" s="732">
        <v>400</v>
      </c>
    </row>
    <row r="102" spans="1:5" ht="16.5" thickBot="1" x14ac:dyDescent="0.3">
      <c r="A102" s="723" t="s">
        <v>471</v>
      </c>
      <c r="B102" s="724" t="s">
        <v>472</v>
      </c>
      <c r="C102" s="723" t="s">
        <v>297</v>
      </c>
      <c r="D102" s="723" t="s">
        <v>302</v>
      </c>
      <c r="E102" s="732">
        <v>600</v>
      </c>
    </row>
    <row r="103" spans="1:5" x14ac:dyDescent="0.25">
      <c r="A103" s="723" t="s">
        <v>473</v>
      </c>
      <c r="B103" s="724" t="s">
        <v>474</v>
      </c>
      <c r="C103" s="723" t="s">
        <v>297</v>
      </c>
      <c r="D103" s="723" t="s">
        <v>305</v>
      </c>
      <c r="E103" s="732">
        <v>200</v>
      </c>
    </row>
    <row r="104" spans="1:5" ht="16.5" thickBot="1" x14ac:dyDescent="0.3">
      <c r="A104" s="721" t="s">
        <v>475</v>
      </c>
      <c r="B104" s="720" t="s">
        <v>476</v>
      </c>
      <c r="C104" s="719" t="s">
        <v>297</v>
      </c>
      <c r="D104" s="719" t="s">
        <v>305</v>
      </c>
      <c r="E104" s="737">
        <v>400</v>
      </c>
    </row>
    <row r="105" spans="1:5" ht="16.5" thickBot="1" x14ac:dyDescent="0.3">
      <c r="A105" s="723" t="s">
        <v>477</v>
      </c>
      <c r="B105" s="724" t="s">
        <v>478</v>
      </c>
      <c r="C105" s="723" t="s">
        <v>429</v>
      </c>
      <c r="D105" s="723" t="s">
        <v>305</v>
      </c>
      <c r="E105" s="732">
        <v>300</v>
      </c>
    </row>
    <row r="106" spans="1:5" ht="16.5" thickBot="1" x14ac:dyDescent="0.3">
      <c r="A106" s="723" t="s">
        <v>479</v>
      </c>
      <c r="B106" s="724" t="s">
        <v>480</v>
      </c>
      <c r="C106" s="723" t="s">
        <v>429</v>
      </c>
      <c r="D106" s="723" t="s">
        <v>481</v>
      </c>
      <c r="E106" s="732">
        <v>300</v>
      </c>
    </row>
    <row r="107" spans="1:5" ht="16.5" thickBot="1" x14ac:dyDescent="0.3">
      <c r="A107" s="715" t="s">
        <v>482</v>
      </c>
      <c r="B107" s="726" t="s">
        <v>483</v>
      </c>
      <c r="C107" s="716" t="s">
        <v>297</v>
      </c>
      <c r="D107" s="716" t="s">
        <v>305</v>
      </c>
      <c r="E107" s="733">
        <v>400</v>
      </c>
    </row>
    <row r="108" spans="1:5" x14ac:dyDescent="0.25">
      <c r="A108" s="2128" t="s">
        <v>484</v>
      </c>
      <c r="B108" s="2130" t="s">
        <v>485</v>
      </c>
      <c r="C108" s="2128" t="s">
        <v>297</v>
      </c>
      <c r="D108" s="2128" t="s">
        <v>305</v>
      </c>
      <c r="E108" s="2132">
        <v>200</v>
      </c>
    </row>
    <row r="109" spans="1:5" ht="16.5" thickBot="1" x14ac:dyDescent="0.3">
      <c r="A109" s="2129"/>
      <c r="B109" s="2131"/>
      <c r="C109" s="2129"/>
      <c r="D109" s="2129"/>
      <c r="E109" s="2133"/>
    </row>
    <row r="110" spans="1:5" ht="16.5" thickBot="1" x14ac:dyDescent="0.3">
      <c r="A110" s="723" t="s">
        <v>477</v>
      </c>
      <c r="B110" s="724" t="s">
        <v>486</v>
      </c>
      <c r="C110" s="723" t="s">
        <v>297</v>
      </c>
      <c r="D110" s="723" t="s">
        <v>305</v>
      </c>
      <c r="E110" s="732">
        <v>400</v>
      </c>
    </row>
    <row r="111" spans="1:5" x14ac:dyDescent="0.25">
      <c r="A111" s="2128" t="s">
        <v>487</v>
      </c>
      <c r="B111" s="2130" t="s">
        <v>488</v>
      </c>
      <c r="C111" s="2128" t="s">
        <v>297</v>
      </c>
      <c r="D111" s="2128" t="s">
        <v>305</v>
      </c>
      <c r="E111" s="2132">
        <v>300</v>
      </c>
    </row>
    <row r="112" spans="1:5" ht="16.5" thickBot="1" x14ac:dyDescent="0.3">
      <c r="A112" s="2129"/>
      <c r="B112" s="2131"/>
      <c r="C112" s="2129"/>
      <c r="D112" s="2129"/>
      <c r="E112" s="2133"/>
    </row>
    <row r="113" spans="1:5" ht="16.5" thickBot="1" x14ac:dyDescent="0.3">
      <c r="A113" s="723" t="s">
        <v>489</v>
      </c>
      <c r="B113" s="724" t="s">
        <v>490</v>
      </c>
      <c r="C113" s="723" t="s">
        <v>297</v>
      </c>
      <c r="D113" s="723" t="s">
        <v>361</v>
      </c>
      <c r="E113" s="732">
        <v>200</v>
      </c>
    </row>
    <row r="114" spans="1:5" ht="16.5" thickBot="1" x14ac:dyDescent="0.3">
      <c r="A114" s="723" t="s">
        <v>491</v>
      </c>
      <c r="B114" s="724" t="s">
        <v>492</v>
      </c>
      <c r="C114" s="723" t="s">
        <v>297</v>
      </c>
      <c r="D114" s="723" t="s">
        <v>361</v>
      </c>
      <c r="E114" s="732">
        <v>400</v>
      </c>
    </row>
    <row r="115" spans="1:5" x14ac:dyDescent="0.25">
      <c r="A115" s="2128" t="s">
        <v>493</v>
      </c>
      <c r="B115" s="2130" t="s">
        <v>494</v>
      </c>
      <c r="C115" s="2128" t="s">
        <v>297</v>
      </c>
      <c r="D115" s="2128" t="s">
        <v>361</v>
      </c>
      <c r="E115" s="2132">
        <v>200</v>
      </c>
    </row>
    <row r="116" spans="1:5" ht="16.5" thickBot="1" x14ac:dyDescent="0.3">
      <c r="A116" s="2129"/>
      <c r="B116" s="2131"/>
      <c r="C116" s="2129"/>
      <c r="D116" s="2129"/>
      <c r="E116" s="2133"/>
    </row>
    <row r="117" spans="1:5" x14ac:dyDescent="0.25">
      <c r="A117" s="2128" t="s">
        <v>495</v>
      </c>
      <c r="B117" s="2130" t="s">
        <v>496</v>
      </c>
      <c r="C117" s="2128" t="s">
        <v>297</v>
      </c>
      <c r="D117" s="2128" t="s">
        <v>361</v>
      </c>
      <c r="E117" s="2132">
        <v>200</v>
      </c>
    </row>
    <row r="118" spans="1:5" ht="16.5" thickBot="1" x14ac:dyDescent="0.3">
      <c r="A118" s="2129"/>
      <c r="B118" s="2131"/>
      <c r="C118" s="2129"/>
      <c r="D118" s="2129"/>
      <c r="E118" s="2133"/>
    </row>
    <row r="119" spans="1:5" x14ac:dyDescent="0.25">
      <c r="A119" s="2128" t="s">
        <v>497</v>
      </c>
      <c r="B119" s="2130" t="s">
        <v>498</v>
      </c>
      <c r="C119" s="2128" t="s">
        <v>297</v>
      </c>
      <c r="D119" s="2128" t="s">
        <v>361</v>
      </c>
      <c r="E119" s="2132">
        <v>400</v>
      </c>
    </row>
    <row r="120" spans="1:5" ht="16.5" thickBot="1" x14ac:dyDescent="0.3">
      <c r="A120" s="2129"/>
      <c r="B120" s="2131"/>
      <c r="C120" s="2129"/>
      <c r="D120" s="2129"/>
      <c r="E120" s="2133"/>
    </row>
    <row r="121" spans="1:5" ht="16.5" thickBot="1" x14ac:dyDescent="0.3">
      <c r="A121" s="715" t="s">
        <v>491</v>
      </c>
      <c r="B121" s="730" t="s">
        <v>499</v>
      </c>
      <c r="C121" s="715" t="s">
        <v>297</v>
      </c>
      <c r="D121" s="715" t="s">
        <v>393</v>
      </c>
      <c r="E121" s="734">
        <v>200</v>
      </c>
    </row>
    <row r="122" spans="1:5" ht="16.5" thickBot="1" x14ac:dyDescent="0.3">
      <c r="A122" s="721" t="s">
        <v>493</v>
      </c>
      <c r="B122" s="720" t="s">
        <v>500</v>
      </c>
      <c r="C122" s="719" t="s">
        <v>297</v>
      </c>
      <c r="D122" s="719" t="s">
        <v>328</v>
      </c>
      <c r="E122" s="737">
        <v>200</v>
      </c>
    </row>
    <row r="123" spans="1:5" ht="19.5" customHeight="1" thickBot="1" x14ac:dyDescent="0.3">
      <c r="A123" s="721" t="s">
        <v>495</v>
      </c>
      <c r="B123" s="720" t="s">
        <v>501</v>
      </c>
      <c r="C123" s="719" t="s">
        <v>429</v>
      </c>
      <c r="D123" s="719" t="s">
        <v>404</v>
      </c>
      <c r="E123" s="737">
        <v>200</v>
      </c>
    </row>
    <row r="124" spans="1:5" ht="16.5" thickBot="1" x14ac:dyDescent="0.3">
      <c r="D124" s="731" t="s">
        <v>16</v>
      </c>
      <c r="E124" s="735">
        <f>SUM(E92:E123)</f>
        <v>7600</v>
      </c>
    </row>
    <row r="126" spans="1:5" ht="16.5" thickBot="1" x14ac:dyDescent="0.3">
      <c r="A126" s="727" t="s">
        <v>502</v>
      </c>
      <c r="B126" s="753" t="s">
        <v>594</v>
      </c>
    </row>
    <row r="127" spans="1:5" ht="16.5" thickBot="1" x14ac:dyDescent="0.3">
      <c r="A127" s="715" t="s">
        <v>503</v>
      </c>
      <c r="B127" s="726" t="s">
        <v>504</v>
      </c>
      <c r="C127" s="716" t="s">
        <v>429</v>
      </c>
      <c r="D127" s="716" t="s">
        <v>505</v>
      </c>
      <c r="E127" s="733">
        <v>200</v>
      </c>
    </row>
    <row r="128" spans="1:5" x14ac:dyDescent="0.25">
      <c r="A128" s="2128" t="s">
        <v>506</v>
      </c>
      <c r="B128" s="2130" t="s">
        <v>507</v>
      </c>
      <c r="C128" s="2128" t="s">
        <v>297</v>
      </c>
      <c r="D128" s="717" t="s">
        <v>508</v>
      </c>
      <c r="E128" s="2132">
        <v>200</v>
      </c>
    </row>
    <row r="129" spans="1:5" ht="16.5" thickBot="1" x14ac:dyDescent="0.3">
      <c r="A129" s="2129"/>
      <c r="B129" s="2131"/>
      <c r="C129" s="2129"/>
      <c r="D129" s="719" t="s">
        <v>328</v>
      </c>
      <c r="E129" s="2133"/>
    </row>
    <row r="130" spans="1:5" ht="16.5" thickBot="1" x14ac:dyDescent="0.3">
      <c r="A130" s="721" t="s">
        <v>509</v>
      </c>
      <c r="B130" s="720" t="s">
        <v>510</v>
      </c>
      <c r="C130" s="719" t="s">
        <v>429</v>
      </c>
      <c r="D130" s="719" t="s">
        <v>302</v>
      </c>
      <c r="E130" s="737">
        <v>200</v>
      </c>
    </row>
    <row r="131" spans="1:5" x14ac:dyDescent="0.25">
      <c r="A131" s="2128" t="s">
        <v>511</v>
      </c>
      <c r="B131" s="2130" t="s">
        <v>512</v>
      </c>
      <c r="C131" s="2128" t="s">
        <v>297</v>
      </c>
      <c r="D131" s="2128" t="s">
        <v>302</v>
      </c>
      <c r="E131" s="2132">
        <v>200</v>
      </c>
    </row>
    <row r="132" spans="1:5" ht="16.5" thickBot="1" x14ac:dyDescent="0.3">
      <c r="A132" s="2129"/>
      <c r="B132" s="2131"/>
      <c r="C132" s="2129"/>
      <c r="D132" s="2129"/>
      <c r="E132" s="2133"/>
    </row>
    <row r="133" spans="1:5" ht="16.5" thickBot="1" x14ac:dyDescent="0.3">
      <c r="A133" s="721" t="s">
        <v>513</v>
      </c>
      <c r="B133" s="720" t="s">
        <v>514</v>
      </c>
      <c r="C133" s="719" t="s">
        <v>308</v>
      </c>
      <c r="D133" s="719" t="s">
        <v>305</v>
      </c>
      <c r="E133" s="737">
        <v>200</v>
      </c>
    </row>
    <row r="134" spans="1:5" ht="16.5" thickBot="1" x14ac:dyDescent="0.3">
      <c r="A134" s="721" t="s">
        <v>515</v>
      </c>
      <c r="B134" s="722" t="s">
        <v>516</v>
      </c>
      <c r="C134" s="719" t="s">
        <v>297</v>
      </c>
      <c r="D134" s="719" t="s">
        <v>305</v>
      </c>
      <c r="E134" s="737">
        <v>200</v>
      </c>
    </row>
    <row r="135" spans="1:5" ht="16.5" thickBot="1" x14ac:dyDescent="0.3">
      <c r="A135" s="721" t="s">
        <v>517</v>
      </c>
      <c r="B135" s="714" t="s">
        <v>518</v>
      </c>
      <c r="C135" s="719" t="s">
        <v>308</v>
      </c>
      <c r="D135" s="719" t="s">
        <v>305</v>
      </c>
      <c r="E135" s="737">
        <v>200</v>
      </c>
    </row>
    <row r="136" spans="1:5" ht="19.5" customHeight="1" thickBot="1" x14ac:dyDescent="0.3">
      <c r="A136" s="721" t="s">
        <v>519</v>
      </c>
      <c r="B136" s="720" t="s">
        <v>520</v>
      </c>
      <c r="C136" s="719" t="s">
        <v>308</v>
      </c>
      <c r="D136" s="719" t="s">
        <v>305</v>
      </c>
      <c r="E136" s="737">
        <v>200</v>
      </c>
    </row>
    <row r="137" spans="1:5" ht="32.25" thickBot="1" x14ac:dyDescent="0.3">
      <c r="A137" s="721" t="s">
        <v>521</v>
      </c>
      <c r="B137" s="720" t="s">
        <v>522</v>
      </c>
      <c r="C137" s="719" t="s">
        <v>429</v>
      </c>
      <c r="D137" s="719" t="s">
        <v>523</v>
      </c>
      <c r="E137" s="737">
        <v>200</v>
      </c>
    </row>
    <row r="138" spans="1:5" ht="16.5" thickBot="1" x14ac:dyDescent="0.3">
      <c r="A138" s="721" t="s">
        <v>524</v>
      </c>
      <c r="B138" s="720" t="s">
        <v>525</v>
      </c>
      <c r="C138" s="719" t="s">
        <v>297</v>
      </c>
      <c r="D138" s="719" t="s">
        <v>393</v>
      </c>
      <c r="E138" s="737">
        <v>300</v>
      </c>
    </row>
    <row r="139" spans="1:5" ht="16.5" thickBot="1" x14ac:dyDescent="0.3">
      <c r="A139" s="721" t="s">
        <v>526</v>
      </c>
      <c r="B139" s="720" t="s">
        <v>527</v>
      </c>
      <c r="C139" s="719" t="s">
        <v>297</v>
      </c>
      <c r="D139" s="719" t="s">
        <v>528</v>
      </c>
      <c r="E139" s="737">
        <v>200</v>
      </c>
    </row>
    <row r="140" spans="1:5" x14ac:dyDescent="0.25">
      <c r="A140" s="2128" t="s">
        <v>529</v>
      </c>
      <c r="B140" s="2130" t="s">
        <v>530</v>
      </c>
      <c r="C140" s="2128" t="s">
        <v>308</v>
      </c>
      <c r="D140" s="2128" t="s">
        <v>328</v>
      </c>
      <c r="E140" s="2132">
        <v>200</v>
      </c>
    </row>
    <row r="141" spans="1:5" ht="16.5" thickBot="1" x14ac:dyDescent="0.3">
      <c r="A141" s="2129"/>
      <c r="B141" s="2131"/>
      <c r="C141" s="2129"/>
      <c r="D141" s="2129"/>
      <c r="E141" s="2133"/>
    </row>
    <row r="142" spans="1:5" ht="32.25" thickBot="1" x14ac:dyDescent="0.3">
      <c r="A142" s="721" t="s">
        <v>531</v>
      </c>
      <c r="B142" s="720" t="s">
        <v>532</v>
      </c>
      <c r="C142" s="719" t="s">
        <v>297</v>
      </c>
      <c r="D142" s="719" t="s">
        <v>328</v>
      </c>
      <c r="E142" s="737">
        <v>400</v>
      </c>
    </row>
    <row r="143" spans="1:5" ht="18.75" customHeight="1" thickBot="1" x14ac:dyDescent="0.3">
      <c r="A143" s="721" t="s">
        <v>533</v>
      </c>
      <c r="B143" s="720" t="s">
        <v>534</v>
      </c>
      <c r="C143" s="719" t="s">
        <v>308</v>
      </c>
      <c r="D143" s="719" t="s">
        <v>404</v>
      </c>
      <c r="E143" s="737">
        <v>200</v>
      </c>
    </row>
    <row r="144" spans="1:5" ht="16.5" thickBot="1" x14ac:dyDescent="0.3">
      <c r="D144" s="731" t="s">
        <v>16</v>
      </c>
      <c r="E144" s="735">
        <f>SUM(E127:E143)</f>
        <v>3100</v>
      </c>
    </row>
    <row r="146" spans="1:5" ht="16.5" thickBot="1" x14ac:dyDescent="0.3">
      <c r="A146" s="727" t="s">
        <v>535</v>
      </c>
      <c r="B146" s="753" t="s">
        <v>595</v>
      </c>
    </row>
    <row r="147" spans="1:5" ht="16.5" thickBot="1" x14ac:dyDescent="0.3">
      <c r="A147" s="723" t="s">
        <v>536</v>
      </c>
      <c r="B147" s="724" t="s">
        <v>537</v>
      </c>
      <c r="C147" s="723" t="s">
        <v>429</v>
      </c>
      <c r="D147" s="723" t="s">
        <v>538</v>
      </c>
      <c r="E147" s="732">
        <v>200</v>
      </c>
    </row>
    <row r="148" spans="1:5" ht="16.5" thickBot="1" x14ac:dyDescent="0.3">
      <c r="A148" s="715" t="s">
        <v>539</v>
      </c>
      <c r="B148" s="726" t="s">
        <v>540</v>
      </c>
      <c r="C148" s="716" t="s">
        <v>297</v>
      </c>
      <c r="D148" s="716" t="s">
        <v>294</v>
      </c>
      <c r="E148" s="733">
        <v>200</v>
      </c>
    </row>
    <row r="149" spans="1:5" ht="16.5" thickBot="1" x14ac:dyDescent="0.3">
      <c r="A149" s="721" t="s">
        <v>541</v>
      </c>
      <c r="B149" s="720" t="s">
        <v>542</v>
      </c>
      <c r="C149" s="719" t="s">
        <v>308</v>
      </c>
      <c r="D149" s="719" t="s">
        <v>294</v>
      </c>
      <c r="E149" s="737">
        <v>500</v>
      </c>
    </row>
    <row r="150" spans="1:5" ht="16.5" thickBot="1" x14ac:dyDescent="0.3">
      <c r="A150" s="721" t="s">
        <v>543</v>
      </c>
      <c r="B150" s="720" t="s">
        <v>544</v>
      </c>
      <c r="C150" s="719" t="s">
        <v>297</v>
      </c>
      <c r="D150" s="719" t="s">
        <v>545</v>
      </c>
      <c r="E150" s="737">
        <v>400</v>
      </c>
    </row>
    <row r="151" spans="1:5" ht="16.5" thickBot="1" x14ac:dyDescent="0.3">
      <c r="A151" s="721" t="s">
        <v>546</v>
      </c>
      <c r="B151" s="720" t="s">
        <v>547</v>
      </c>
      <c r="C151" s="719" t="s">
        <v>308</v>
      </c>
      <c r="D151" s="719" t="s">
        <v>294</v>
      </c>
      <c r="E151" s="737">
        <v>1200</v>
      </c>
    </row>
    <row r="152" spans="1:5" ht="16.5" thickBot="1" x14ac:dyDescent="0.3">
      <c r="A152" s="721" t="s">
        <v>548</v>
      </c>
      <c r="B152" s="720" t="s">
        <v>549</v>
      </c>
      <c r="C152" s="719" t="s">
        <v>297</v>
      </c>
      <c r="D152" s="719" t="s">
        <v>302</v>
      </c>
      <c r="E152" s="737">
        <v>200</v>
      </c>
    </row>
    <row r="153" spans="1:5" ht="32.25" thickBot="1" x14ac:dyDescent="0.3">
      <c r="A153" s="721" t="s">
        <v>550</v>
      </c>
      <c r="B153" s="720" t="s">
        <v>551</v>
      </c>
      <c r="C153" s="719" t="s">
        <v>293</v>
      </c>
      <c r="D153" s="719" t="s">
        <v>302</v>
      </c>
      <c r="E153" s="737">
        <v>300</v>
      </c>
    </row>
    <row r="154" spans="1:5" ht="32.25" thickBot="1" x14ac:dyDescent="0.3">
      <c r="A154" s="721" t="s">
        <v>552</v>
      </c>
      <c r="B154" s="720" t="s">
        <v>599</v>
      </c>
      <c r="C154" s="719" t="s">
        <v>297</v>
      </c>
      <c r="D154" s="719" t="s">
        <v>553</v>
      </c>
      <c r="E154" s="737">
        <v>5000</v>
      </c>
    </row>
    <row r="155" spans="1:5" x14ac:dyDescent="0.25">
      <c r="A155" s="2128" t="s">
        <v>554</v>
      </c>
      <c r="B155" s="2130" t="s">
        <v>555</v>
      </c>
      <c r="C155" s="2128" t="s">
        <v>297</v>
      </c>
      <c r="D155" s="2128" t="s">
        <v>305</v>
      </c>
      <c r="E155" s="2132">
        <v>200</v>
      </c>
    </row>
    <row r="156" spans="1:5" ht="16.5" thickBot="1" x14ac:dyDescent="0.3">
      <c r="A156" s="2129"/>
      <c r="B156" s="2131"/>
      <c r="C156" s="2129"/>
      <c r="D156" s="2129"/>
      <c r="E156" s="2133"/>
    </row>
    <row r="157" spans="1:5" x14ac:dyDescent="0.25">
      <c r="A157" s="2128" t="s">
        <v>556</v>
      </c>
      <c r="B157" s="2130" t="s">
        <v>557</v>
      </c>
      <c r="C157" s="2128" t="s">
        <v>293</v>
      </c>
      <c r="D157" s="2128" t="s">
        <v>305</v>
      </c>
      <c r="E157" s="2132">
        <v>500</v>
      </c>
    </row>
    <row r="158" spans="1:5" ht="16.5" thickBot="1" x14ac:dyDescent="0.3">
      <c r="A158" s="2129"/>
      <c r="B158" s="2131"/>
      <c r="C158" s="2129"/>
      <c r="D158" s="2129"/>
      <c r="E158" s="2133"/>
    </row>
    <row r="159" spans="1:5" ht="16.5" thickBot="1" x14ac:dyDescent="0.3">
      <c r="A159" s="723" t="s">
        <v>558</v>
      </c>
      <c r="B159" s="724" t="s">
        <v>559</v>
      </c>
      <c r="C159" s="723" t="s">
        <v>308</v>
      </c>
      <c r="D159" s="723" t="s">
        <v>305</v>
      </c>
      <c r="E159" s="732">
        <v>200</v>
      </c>
    </row>
    <row r="160" spans="1:5" ht="16.5" thickBot="1" x14ac:dyDescent="0.3">
      <c r="A160" s="723" t="s">
        <v>560</v>
      </c>
      <c r="B160" s="724" t="s">
        <v>561</v>
      </c>
      <c r="C160" s="723" t="s">
        <v>308</v>
      </c>
      <c r="D160" s="723" t="s">
        <v>305</v>
      </c>
      <c r="E160" s="732">
        <v>200</v>
      </c>
    </row>
    <row r="161" spans="1:5" ht="16.5" thickBot="1" x14ac:dyDescent="0.3">
      <c r="A161" s="715" t="s">
        <v>562</v>
      </c>
      <c r="B161" s="726" t="s">
        <v>563</v>
      </c>
      <c r="C161" s="716" t="s">
        <v>297</v>
      </c>
      <c r="D161" s="716" t="s">
        <v>361</v>
      </c>
      <c r="E161" s="733">
        <v>200</v>
      </c>
    </row>
    <row r="162" spans="1:5" ht="16.5" thickBot="1" x14ac:dyDescent="0.3">
      <c r="A162" s="721" t="s">
        <v>564</v>
      </c>
      <c r="B162" s="720" t="s">
        <v>565</v>
      </c>
      <c r="C162" s="719" t="s">
        <v>293</v>
      </c>
      <c r="D162" s="719" t="s">
        <v>361</v>
      </c>
      <c r="E162" s="737">
        <v>200</v>
      </c>
    </row>
    <row r="163" spans="1:5" ht="16.5" thickBot="1" x14ac:dyDescent="0.3">
      <c r="A163" s="721" t="s">
        <v>566</v>
      </c>
      <c r="B163" s="720" t="s">
        <v>567</v>
      </c>
      <c r="C163" s="719" t="s">
        <v>293</v>
      </c>
      <c r="D163" s="719" t="s">
        <v>361</v>
      </c>
      <c r="E163" s="737">
        <v>1000</v>
      </c>
    </row>
    <row r="164" spans="1:5" ht="16.5" thickBot="1" x14ac:dyDescent="0.3">
      <c r="A164" s="723" t="s">
        <v>568</v>
      </c>
      <c r="B164" s="724" t="s">
        <v>569</v>
      </c>
      <c r="C164" s="723" t="s">
        <v>429</v>
      </c>
      <c r="D164" s="723" t="s">
        <v>361</v>
      </c>
      <c r="E164" s="732">
        <v>200</v>
      </c>
    </row>
    <row r="165" spans="1:5" ht="32.25" thickBot="1" x14ac:dyDescent="0.3">
      <c r="A165" s="715" t="s">
        <v>570</v>
      </c>
      <c r="B165" s="726" t="s">
        <v>571</v>
      </c>
      <c r="C165" s="716" t="s">
        <v>297</v>
      </c>
      <c r="D165" s="716" t="s">
        <v>361</v>
      </c>
      <c r="E165" s="733">
        <v>1000</v>
      </c>
    </row>
    <row r="166" spans="1:5" ht="16.5" thickBot="1" x14ac:dyDescent="0.3">
      <c r="A166" s="723" t="s">
        <v>572</v>
      </c>
      <c r="B166" s="724" t="s">
        <v>573</v>
      </c>
      <c r="C166" s="723" t="s">
        <v>297</v>
      </c>
      <c r="D166" s="723" t="s">
        <v>361</v>
      </c>
      <c r="E166" s="732">
        <v>300</v>
      </c>
    </row>
    <row r="167" spans="1:5" ht="16.5" thickBot="1" x14ac:dyDescent="0.3">
      <c r="A167" s="715" t="s">
        <v>574</v>
      </c>
      <c r="B167" s="726" t="s">
        <v>575</v>
      </c>
      <c r="C167" s="716" t="s">
        <v>293</v>
      </c>
      <c r="D167" s="716" t="s">
        <v>393</v>
      </c>
      <c r="E167" s="733">
        <v>500</v>
      </c>
    </row>
    <row r="168" spans="1:5" ht="16.5" thickBot="1" x14ac:dyDescent="0.3">
      <c r="A168" s="721" t="s">
        <v>576</v>
      </c>
      <c r="B168" s="720" t="s">
        <v>577</v>
      </c>
      <c r="C168" s="719" t="s">
        <v>429</v>
      </c>
      <c r="D168" s="719" t="s">
        <v>361</v>
      </c>
      <c r="E168" s="737">
        <v>400</v>
      </c>
    </row>
    <row r="169" spans="1:5" ht="16.5" thickBot="1" x14ac:dyDescent="0.3">
      <c r="A169" s="721" t="s">
        <v>578</v>
      </c>
      <c r="B169" s="720" t="s">
        <v>579</v>
      </c>
      <c r="C169" s="719" t="s">
        <v>308</v>
      </c>
      <c r="D169" s="719" t="s">
        <v>580</v>
      </c>
      <c r="E169" s="737">
        <v>200</v>
      </c>
    </row>
    <row r="170" spans="1:5" x14ac:dyDescent="0.25">
      <c r="A170" s="2128" t="s">
        <v>581</v>
      </c>
      <c r="B170" s="2130" t="s">
        <v>582</v>
      </c>
      <c r="C170" s="2128" t="s">
        <v>429</v>
      </c>
      <c r="D170" s="2128" t="s">
        <v>321</v>
      </c>
      <c r="E170" s="2132">
        <v>200</v>
      </c>
    </row>
    <row r="171" spans="1:5" ht="16.5" thickBot="1" x14ac:dyDescent="0.3">
      <c r="A171" s="2129"/>
      <c r="B171" s="2131"/>
      <c r="C171" s="2129"/>
      <c r="D171" s="2129"/>
      <c r="E171" s="2133"/>
    </row>
    <row r="172" spans="1:5" ht="16.5" thickBot="1" x14ac:dyDescent="0.3">
      <c r="A172" s="721" t="s">
        <v>583</v>
      </c>
      <c r="B172" s="720" t="s">
        <v>584</v>
      </c>
      <c r="C172" s="719" t="s">
        <v>293</v>
      </c>
      <c r="D172" s="719" t="s">
        <v>321</v>
      </c>
      <c r="E172" s="737">
        <v>200</v>
      </c>
    </row>
    <row r="173" spans="1:5" ht="16.5" thickBot="1" x14ac:dyDescent="0.3">
      <c r="A173" s="723" t="s">
        <v>585</v>
      </c>
      <c r="B173" s="724" t="s">
        <v>586</v>
      </c>
      <c r="C173" s="723" t="s">
        <v>297</v>
      </c>
      <c r="D173" s="723" t="s">
        <v>328</v>
      </c>
      <c r="E173" s="732">
        <v>200</v>
      </c>
    </row>
    <row r="174" spans="1:5" ht="16.5" thickBot="1" x14ac:dyDescent="0.3">
      <c r="A174" s="715" t="s">
        <v>587</v>
      </c>
      <c r="B174" s="730" t="s">
        <v>588</v>
      </c>
      <c r="C174" s="715" t="s">
        <v>293</v>
      </c>
      <c r="D174" s="715" t="s">
        <v>328</v>
      </c>
      <c r="E174" s="732">
        <v>400</v>
      </c>
    </row>
    <row r="175" spans="1:5" ht="16.5" thickBot="1" x14ac:dyDescent="0.3">
      <c r="D175" s="749" t="s">
        <v>16</v>
      </c>
      <c r="E175" s="754">
        <f>SUM(E147:E174)</f>
        <v>14100</v>
      </c>
    </row>
    <row r="177" spans="3:5" x14ac:dyDescent="0.25">
      <c r="C177" s="2127" t="s">
        <v>600</v>
      </c>
      <c r="D177" s="2127"/>
      <c r="E177" s="740">
        <f>+E175+E144+E124+E89+E65+E51+E17</f>
        <v>87800</v>
      </c>
    </row>
  </sheetData>
  <mergeCells count="100">
    <mergeCell ref="A45:A46"/>
    <mergeCell ref="B45:B46"/>
    <mergeCell ref="C45:C46"/>
    <mergeCell ref="D45:D46"/>
    <mergeCell ref="E45:E46"/>
    <mergeCell ref="A43:A44"/>
    <mergeCell ref="B43:B44"/>
    <mergeCell ref="C43:C44"/>
    <mergeCell ref="D43:D44"/>
    <mergeCell ref="E43:E44"/>
    <mergeCell ref="A119:A120"/>
    <mergeCell ref="B119:B120"/>
    <mergeCell ref="A76:A77"/>
    <mergeCell ref="B76:B77"/>
    <mergeCell ref="C76:C77"/>
    <mergeCell ref="A117:A118"/>
    <mergeCell ref="B117:B118"/>
    <mergeCell ref="C117:C118"/>
    <mergeCell ref="A111:A112"/>
    <mergeCell ref="B111:B112"/>
    <mergeCell ref="C111:C112"/>
    <mergeCell ref="A115:A116"/>
    <mergeCell ref="B115:B116"/>
    <mergeCell ref="C115:C116"/>
    <mergeCell ref="D131:D132"/>
    <mergeCell ref="E131:E132"/>
    <mergeCell ref="A128:A129"/>
    <mergeCell ref="B128:B129"/>
    <mergeCell ref="C128:C129"/>
    <mergeCell ref="E128:E129"/>
    <mergeCell ref="A131:A132"/>
    <mergeCell ref="B131:B132"/>
    <mergeCell ref="C131:C132"/>
    <mergeCell ref="A20:A21"/>
    <mergeCell ref="B20:B21"/>
    <mergeCell ref="C20:C21"/>
    <mergeCell ref="D20:D21"/>
    <mergeCell ref="E20:E21"/>
    <mergeCell ref="A37:A38"/>
    <mergeCell ref="B37:B38"/>
    <mergeCell ref="C37:C38"/>
    <mergeCell ref="D37:D38"/>
    <mergeCell ref="E37:E38"/>
    <mergeCell ref="A33:A34"/>
    <mergeCell ref="B33:B34"/>
    <mergeCell ref="C33:C34"/>
    <mergeCell ref="D33:D34"/>
    <mergeCell ref="E33:E34"/>
    <mergeCell ref="A41:A42"/>
    <mergeCell ref="B41:B42"/>
    <mergeCell ref="C41:C42"/>
    <mergeCell ref="D41:D42"/>
    <mergeCell ref="E41:E42"/>
    <mergeCell ref="A39:A40"/>
    <mergeCell ref="B39:B40"/>
    <mergeCell ref="C39:C40"/>
    <mergeCell ref="D39:D40"/>
    <mergeCell ref="E39:E40"/>
    <mergeCell ref="E49:E50"/>
    <mergeCell ref="A108:A109"/>
    <mergeCell ref="B108:B109"/>
    <mergeCell ref="C108:C109"/>
    <mergeCell ref="D108:D109"/>
    <mergeCell ref="E108:E109"/>
    <mergeCell ref="D76:D77"/>
    <mergeCell ref="E76:E77"/>
    <mergeCell ref="A49:A50"/>
    <mergeCell ref="B49:B50"/>
    <mergeCell ref="C49:C50"/>
    <mergeCell ref="D49:D50"/>
    <mergeCell ref="D111:D112"/>
    <mergeCell ref="E111:E112"/>
    <mergeCell ref="C119:C120"/>
    <mergeCell ref="D119:D120"/>
    <mergeCell ref="E119:E120"/>
    <mergeCell ref="D117:D118"/>
    <mergeCell ref="E117:E118"/>
    <mergeCell ref="D115:D116"/>
    <mergeCell ref="E115:E116"/>
    <mergeCell ref="A155:A156"/>
    <mergeCell ref="B155:B156"/>
    <mergeCell ref="C155:C156"/>
    <mergeCell ref="D155:D156"/>
    <mergeCell ref="E155:E156"/>
    <mergeCell ref="A140:A141"/>
    <mergeCell ref="B140:B141"/>
    <mergeCell ref="C140:C141"/>
    <mergeCell ref="D140:D141"/>
    <mergeCell ref="E140:E141"/>
    <mergeCell ref="E170:E171"/>
    <mergeCell ref="A157:A158"/>
    <mergeCell ref="B157:B158"/>
    <mergeCell ref="C157:C158"/>
    <mergeCell ref="D157:D158"/>
    <mergeCell ref="E157:E158"/>
    <mergeCell ref="C177:D177"/>
    <mergeCell ref="A170:A171"/>
    <mergeCell ref="B170:B171"/>
    <mergeCell ref="C170:C171"/>
    <mergeCell ref="D170:D1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6</vt:i4>
      </vt:variant>
    </vt:vector>
  </HeadingPairs>
  <TitlesOfParts>
    <vt:vector size="14" baseType="lpstr">
      <vt:lpstr>10 programa</vt:lpstr>
      <vt:lpstr>Lyginamasis</vt:lpstr>
      <vt:lpstr>Aiškinamoji lentelė</vt:lpstr>
      <vt:lpstr>LITNET</vt:lpstr>
      <vt:lpstr>Priešgaisrinė sauga</vt:lpstr>
      <vt:lpstr>Elektros instaliacijos remontas</vt:lpstr>
      <vt:lpstr>Sanitarinių patalpų remontas</vt:lpstr>
      <vt:lpstr>01.01.02 priemonė </vt:lpstr>
      <vt:lpstr>'10 programa'!Print_Area</vt:lpstr>
      <vt:lpstr>'Aiškinamoji lentelė'!Print_Area</vt:lpstr>
      <vt:lpstr>Lyginamasis!Print_Area</vt:lpstr>
      <vt:lpstr>'10 programa'!Print_Titles</vt:lpstr>
      <vt:lpstr>'Aiškinamoji lentelė'!Print_Titles</vt:lpstr>
      <vt:lpstr>Lyginamasis!Print_Titles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Snieguole Kacerauskaite</cp:lastModifiedBy>
  <cp:lastPrinted>2019-09-06T12:36:44Z</cp:lastPrinted>
  <dcterms:created xsi:type="dcterms:W3CDTF">2006-05-12T05:50:12Z</dcterms:created>
  <dcterms:modified xsi:type="dcterms:W3CDTF">2019-09-06T12:37:02Z</dcterms:modified>
</cp:coreProperties>
</file>